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documenttasks/documenttask1.xml" ContentType="application/vnd.ms-excel.documenttask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emp Tech\Desktop\Datos\"/>
    </mc:Choice>
  </mc:AlternateContent>
  <xr:revisionPtr revIDLastSave="0" documentId="13_ncr:1_{89141E8D-5DC0-453B-B69C-BA1BEED69823}" xr6:coauthVersionLast="47" xr6:coauthVersionMax="47" xr10:uidLastSave="{00000000-0000-0000-0000-000000000000}"/>
  <bookViews>
    <workbookView xWindow="-120" yWindow="-120" windowWidth="29040" windowHeight="15840" activeTab="2" xr2:uid="{0D95DB4E-CB6F-4EA4-AE00-D25E344B4569}"/>
  </bookViews>
  <sheets>
    <sheet name="Detallado" sheetId="1" r:id="rId1"/>
    <sheet name="Seguimiento total" sheetId="3" r:id="rId2"/>
    <sheet name="Real vs Q10" sheetId="4" r:id="rId3"/>
    <sheet name="S.Pasantias" sheetId="6" state="hidden" r:id="rId4"/>
    <sheet name="Diferencias" sheetId="7" state="hidden" r:id="rId5"/>
    <sheet name="Espacios 2023" sheetId="5" r:id="rId6"/>
    <sheet name="Talento Humano Pagos" sheetId="9" r:id="rId7"/>
    <sheet name="Capacidad-Salones" sheetId="2" r:id="rId8"/>
    <sheet name="Talento Humano Adm" sheetId="8" r:id="rId9"/>
  </sheets>
  <externalReferences>
    <externalReference r:id="rId10"/>
  </externalReferences>
  <definedNames>
    <definedName name="_xlnm._FilterDatabase" localSheetId="0" hidden="1">Detallado!$A$4:$BN$4</definedName>
    <definedName name="_xlnm._FilterDatabase" localSheetId="2" hidden="1">'Real vs Q10'!$D$4:$Y$4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3" i="3" l="1"/>
  <c r="AD4" i="3" l="1"/>
  <c r="AD5" i="3"/>
  <c r="AD6" i="3"/>
  <c r="AD7" i="3"/>
  <c r="AD8" i="3"/>
  <c r="AD9" i="3"/>
  <c r="AD10" i="3"/>
  <c r="AD11" i="3"/>
  <c r="AD12" i="3"/>
  <c r="AD13" i="3"/>
  <c r="AD14" i="3"/>
  <c r="AU89" i="1"/>
  <c r="AM8" i="1" l="1"/>
  <c r="AM7" i="1"/>
  <c r="AO9" i="1"/>
  <c r="AU9" i="1" s="1"/>
  <c r="AO7" i="1"/>
  <c r="V9" i="1"/>
  <c r="S9" i="1"/>
  <c r="X9" i="1" s="1"/>
  <c r="S7" i="1"/>
  <c r="X7" i="1" s="1"/>
  <c r="S6" i="1"/>
  <c r="X6" i="1" s="1"/>
  <c r="AO6" i="1"/>
  <c r="AU6" i="1" s="1"/>
  <c r="AU93" i="1"/>
  <c r="AU88" i="1"/>
  <c r="AU78" i="1"/>
  <c r="AU65" i="1"/>
  <c r="AU50" i="1"/>
  <c r="AU40" i="1"/>
  <c r="AU30" i="1"/>
  <c r="AU20" i="1"/>
  <c r="AU16" i="1"/>
  <c r="AU7" i="1"/>
  <c r="AU11" i="1"/>
  <c r="AU12" i="1"/>
  <c r="AU13" i="1"/>
  <c r="AU14" i="1"/>
  <c r="AU15" i="1"/>
  <c r="AU17" i="1"/>
  <c r="AU18" i="1"/>
  <c r="AU19" i="1"/>
  <c r="AU21" i="1"/>
  <c r="AU22" i="1"/>
  <c r="AU23" i="1"/>
  <c r="AU24" i="1"/>
  <c r="AU25" i="1"/>
  <c r="AU26" i="1"/>
  <c r="AU27" i="1"/>
  <c r="AU28" i="1"/>
  <c r="AU29" i="1"/>
  <c r="AU31" i="1"/>
  <c r="AU32" i="1"/>
  <c r="AU33" i="1"/>
  <c r="AU34" i="1"/>
  <c r="AU35" i="1"/>
  <c r="AU36" i="1"/>
  <c r="AU37" i="1"/>
  <c r="AU38" i="1"/>
  <c r="AU39" i="1"/>
  <c r="AU41" i="1"/>
  <c r="AU42" i="1"/>
  <c r="AU43" i="1"/>
  <c r="AU44" i="1"/>
  <c r="AU45" i="1"/>
  <c r="AU46" i="1"/>
  <c r="AU47" i="1"/>
  <c r="AU48" i="1"/>
  <c r="AU49" i="1"/>
  <c r="AU51" i="1"/>
  <c r="AU52" i="1"/>
  <c r="AU53" i="1"/>
  <c r="AU54" i="1"/>
  <c r="AU55" i="1"/>
  <c r="AU56" i="1"/>
  <c r="AU57" i="1"/>
  <c r="AU58" i="1"/>
  <c r="AU59" i="1"/>
  <c r="AU60" i="1"/>
  <c r="AU61" i="1"/>
  <c r="AU62" i="1"/>
  <c r="AU63" i="1"/>
  <c r="AU64" i="1"/>
  <c r="AU66" i="1"/>
  <c r="AU67" i="1"/>
  <c r="AU68" i="1"/>
  <c r="AU69" i="1"/>
  <c r="AU70" i="1"/>
  <c r="AU71" i="1"/>
  <c r="AU72" i="1"/>
  <c r="AU73" i="1"/>
  <c r="AU74" i="1"/>
  <c r="AU75" i="1"/>
  <c r="AU76" i="1"/>
  <c r="AU77" i="1"/>
  <c r="AU79" i="1"/>
  <c r="AU80" i="1"/>
  <c r="AU81" i="1"/>
  <c r="AU82" i="1"/>
  <c r="AU83" i="1"/>
  <c r="AU84" i="1"/>
  <c r="AU85" i="1"/>
  <c r="AU86" i="1"/>
  <c r="AU87" i="1"/>
  <c r="AU90" i="1"/>
  <c r="AU91" i="1"/>
  <c r="AU92" i="1"/>
  <c r="X93" i="1"/>
  <c r="X88" i="1"/>
  <c r="X78" i="1"/>
  <c r="X65" i="1"/>
  <c r="X50" i="1"/>
  <c r="X40" i="1"/>
  <c r="X30" i="1"/>
  <c r="X20" i="1"/>
  <c r="X16" i="1"/>
  <c r="X89" i="1"/>
  <c r="X90" i="1"/>
  <c r="X91" i="1"/>
  <c r="X92" i="1"/>
  <c r="X79" i="1"/>
  <c r="X80" i="1"/>
  <c r="X81" i="1"/>
  <c r="X82" i="1"/>
  <c r="X83" i="1"/>
  <c r="X84" i="1"/>
  <c r="X85" i="1"/>
  <c r="X86" i="1"/>
  <c r="X87" i="1"/>
  <c r="X69" i="1"/>
  <c r="X70" i="1"/>
  <c r="X71" i="1"/>
  <c r="X72" i="1"/>
  <c r="X73" i="1"/>
  <c r="X74" i="1"/>
  <c r="X75" i="1"/>
  <c r="X76" i="1"/>
  <c r="X77" i="1"/>
  <c r="X66" i="1"/>
  <c r="X67" i="1"/>
  <c r="X51" i="1"/>
  <c r="X52" i="1"/>
  <c r="X53" i="1"/>
  <c r="X54" i="1"/>
  <c r="X55" i="1"/>
  <c r="X56" i="1"/>
  <c r="X57" i="1"/>
  <c r="X58" i="1"/>
  <c r="X59" i="1"/>
  <c r="X60" i="1"/>
  <c r="X61" i="1"/>
  <c r="X62" i="1"/>
  <c r="X63" i="1"/>
  <c r="X64" i="1"/>
  <c r="X41" i="1"/>
  <c r="X42" i="1"/>
  <c r="X43" i="1"/>
  <c r="X44" i="1"/>
  <c r="X45" i="1"/>
  <c r="X46" i="1"/>
  <c r="X47" i="1"/>
  <c r="X48" i="1"/>
  <c r="X49" i="1"/>
  <c r="X31" i="1"/>
  <c r="X32" i="1"/>
  <c r="X33" i="1"/>
  <c r="X34" i="1"/>
  <c r="X35" i="1"/>
  <c r="X36" i="1"/>
  <c r="X37" i="1"/>
  <c r="X38" i="1"/>
  <c r="X39" i="1"/>
  <c r="X21" i="1"/>
  <c r="X22" i="1"/>
  <c r="X23" i="1"/>
  <c r="X24" i="1"/>
  <c r="X25" i="1"/>
  <c r="X26" i="1"/>
  <c r="X27" i="1"/>
  <c r="X28" i="1"/>
  <c r="X29" i="1"/>
  <c r="X17" i="1"/>
  <c r="X18" i="1"/>
  <c r="X19" i="1"/>
  <c r="X11" i="1"/>
  <c r="X12" i="1"/>
  <c r="X13" i="1"/>
  <c r="X14" i="1"/>
  <c r="X15" i="1"/>
  <c r="L12" i="1"/>
  <c r="L13" i="1"/>
  <c r="L14" i="1"/>
  <c r="L15" i="1"/>
  <c r="AP7" i="3"/>
  <c r="AD3" i="3"/>
  <c r="AL5" i="3"/>
  <c r="AZ8" i="1" l="1"/>
  <c r="AA3" i="3"/>
  <c r="AR26" i="1"/>
  <c r="F13" i="2"/>
  <c r="E13" i="2"/>
  <c r="AR17" i="1" l="1"/>
  <c r="AR45" i="1"/>
  <c r="AQ45" i="1"/>
  <c r="AR51" i="1"/>
  <c r="AR59" i="1" l="1"/>
  <c r="AR52" i="1"/>
  <c r="AQ59" i="1"/>
  <c r="AQ51" i="1"/>
  <c r="AQ52" i="1"/>
  <c r="AR85" i="1"/>
  <c r="AR70" i="1"/>
  <c r="AQ6" i="1" l="1"/>
  <c r="AQ7" i="1"/>
  <c r="AQ9" i="1"/>
  <c r="U6" i="1"/>
  <c r="U7" i="1"/>
  <c r="U9" i="1"/>
  <c r="AI11" i="3"/>
  <c r="AI14" i="3"/>
  <c r="AI4" i="3"/>
  <c r="AI5" i="3"/>
  <c r="AI6" i="3"/>
  <c r="AI7" i="3"/>
  <c r="AI8" i="3"/>
  <c r="AI9" i="3"/>
  <c r="AI10" i="3"/>
  <c r="AI12" i="3"/>
  <c r="AI13" i="3"/>
  <c r="AI3" i="3"/>
  <c r="AI15" i="3" l="1"/>
  <c r="AA21" i="3" l="1"/>
  <c r="O25" i="1" l="1"/>
  <c r="R21" i="1"/>
  <c r="Y16" i="1"/>
  <c r="AA16" i="1"/>
  <c r="AF16" i="1"/>
  <c r="AG16" i="1"/>
  <c r="AI16" i="1"/>
  <c r="AJ16" i="1"/>
  <c r="AM16" i="1"/>
  <c r="AO16" i="1"/>
  <c r="AP16" i="1"/>
  <c r="AK25" i="1" l="1"/>
  <c r="AK24" i="1"/>
  <c r="O24" i="1"/>
  <c r="AR11" i="1"/>
  <c r="AR9" i="1"/>
  <c r="AR6" i="1"/>
  <c r="W20" i="3" l="1"/>
  <c r="V20" i="3"/>
  <c r="V19" i="3"/>
  <c r="AA8" i="1"/>
  <c r="AA5" i="1"/>
  <c r="V6" i="1"/>
  <c r="E5" i="1" l="1"/>
  <c r="E8" i="1"/>
  <c r="S8" i="1" l="1"/>
  <c r="X8" i="1" s="1"/>
  <c r="AO8" i="1"/>
  <c r="AU8" i="1" s="1"/>
  <c r="S5" i="1"/>
  <c r="AO5" i="1"/>
  <c r="U5" i="1"/>
  <c r="U8" i="1"/>
  <c r="AG13" i="3"/>
  <c r="H3" i="3" a="1"/>
  <c r="H3" i="3" s="1"/>
  <c r="AA10" i="1"/>
  <c r="E10" i="1"/>
  <c r="AQ8" i="1" l="1"/>
  <c r="AU5" i="1"/>
  <c r="AU10" i="1" s="1"/>
  <c r="AQ5" i="1"/>
  <c r="X5" i="1"/>
  <c r="X10" i="1" s="1"/>
  <c r="V5" i="1"/>
  <c r="U10" i="1"/>
  <c r="AQ10" i="1"/>
  <c r="X18" i="3"/>
  <c r="AY25" i="1" l="1"/>
  <c r="AH15" i="3" l="1"/>
  <c r="U11" i="1" l="1"/>
  <c r="U12" i="1"/>
  <c r="U13" i="1"/>
  <c r="U14" i="1"/>
  <c r="U15" i="1"/>
  <c r="U17" i="1"/>
  <c r="U18" i="1"/>
  <c r="U19" i="1"/>
  <c r="U21" i="1"/>
  <c r="U22" i="1"/>
  <c r="U23" i="1"/>
  <c r="U24" i="1"/>
  <c r="U25" i="1"/>
  <c r="U26" i="1"/>
  <c r="U27" i="1"/>
  <c r="U28" i="1"/>
  <c r="U29" i="1"/>
  <c r="U31" i="1"/>
  <c r="U32" i="1"/>
  <c r="U33" i="1"/>
  <c r="U34" i="1"/>
  <c r="U35" i="1"/>
  <c r="U36" i="1"/>
  <c r="U37" i="1"/>
  <c r="U38" i="1"/>
  <c r="U39" i="1"/>
  <c r="U41" i="1"/>
  <c r="U42" i="1"/>
  <c r="U43" i="1"/>
  <c r="U44" i="1"/>
  <c r="U45" i="1"/>
  <c r="U46" i="1"/>
  <c r="U47" i="1"/>
  <c r="U48" i="1"/>
  <c r="U49" i="1"/>
  <c r="U51" i="1"/>
  <c r="U52" i="1"/>
  <c r="U53" i="1"/>
  <c r="U54" i="1"/>
  <c r="U55" i="1"/>
  <c r="U56" i="1"/>
  <c r="U57" i="1"/>
  <c r="U58" i="1"/>
  <c r="U59" i="1"/>
  <c r="U60" i="1"/>
  <c r="U61" i="1"/>
  <c r="U62" i="1"/>
  <c r="U63" i="1"/>
  <c r="U64" i="1"/>
  <c r="U66" i="1"/>
  <c r="U67" i="1"/>
  <c r="U69" i="1"/>
  <c r="U70" i="1"/>
  <c r="U71" i="1"/>
  <c r="U72" i="1"/>
  <c r="U73" i="1"/>
  <c r="U74" i="1"/>
  <c r="U75" i="1"/>
  <c r="U76" i="1"/>
  <c r="U77" i="1"/>
  <c r="U79" i="1"/>
  <c r="U80" i="1"/>
  <c r="U81" i="1"/>
  <c r="U82" i="1"/>
  <c r="U83" i="1"/>
  <c r="U84" i="1"/>
  <c r="U85" i="1"/>
  <c r="U86" i="1"/>
  <c r="U87" i="1"/>
  <c r="U89" i="1"/>
  <c r="U90" i="1"/>
  <c r="U91" i="1"/>
  <c r="U92" i="1"/>
  <c r="AQ11" i="1"/>
  <c r="AQ12" i="1"/>
  <c r="AQ13" i="1"/>
  <c r="AQ14" i="1"/>
  <c r="AQ15" i="1"/>
  <c r="AQ17" i="1"/>
  <c r="AQ18" i="1"/>
  <c r="AQ19" i="1"/>
  <c r="AQ21" i="1"/>
  <c r="AQ22" i="1"/>
  <c r="AQ23" i="1"/>
  <c r="AQ24" i="1"/>
  <c r="AQ25" i="1"/>
  <c r="AQ26" i="1"/>
  <c r="AQ27" i="1"/>
  <c r="AQ28" i="1"/>
  <c r="AQ29" i="1"/>
  <c r="AQ31" i="1"/>
  <c r="AQ32" i="1"/>
  <c r="AQ33" i="1"/>
  <c r="AQ34" i="1"/>
  <c r="AQ35" i="1"/>
  <c r="AQ36" i="1"/>
  <c r="AQ37" i="1"/>
  <c r="AQ38" i="1"/>
  <c r="AQ39" i="1"/>
  <c r="AQ41" i="1"/>
  <c r="AQ42" i="1"/>
  <c r="AQ43" i="1"/>
  <c r="AQ44" i="1"/>
  <c r="AQ46" i="1"/>
  <c r="AQ47" i="1"/>
  <c r="AQ48" i="1"/>
  <c r="AQ49" i="1"/>
  <c r="AQ53" i="1"/>
  <c r="AQ54" i="1"/>
  <c r="AQ56" i="1"/>
  <c r="AQ57" i="1"/>
  <c r="AQ58" i="1"/>
  <c r="AQ60" i="1"/>
  <c r="AQ61" i="1"/>
  <c r="AQ62" i="1"/>
  <c r="AQ63" i="1"/>
  <c r="AQ64" i="1"/>
  <c r="AQ66" i="1"/>
  <c r="AQ67" i="1"/>
  <c r="AQ69" i="1"/>
  <c r="AQ70" i="1"/>
  <c r="AQ71" i="1"/>
  <c r="AQ72" i="1"/>
  <c r="AQ73" i="1"/>
  <c r="AQ74" i="1"/>
  <c r="AQ75" i="1"/>
  <c r="AQ76" i="1"/>
  <c r="AQ77" i="1"/>
  <c r="AQ79" i="1"/>
  <c r="AQ80" i="1"/>
  <c r="AQ81" i="1"/>
  <c r="AQ82" i="1"/>
  <c r="AQ83" i="1"/>
  <c r="AQ84" i="1"/>
  <c r="AQ86" i="1"/>
  <c r="AQ87" i="1"/>
  <c r="AQ89" i="1"/>
  <c r="AQ90" i="1"/>
  <c r="AQ91" i="1"/>
  <c r="AQ92" i="1"/>
  <c r="O46" i="1"/>
  <c r="AR5" i="1"/>
  <c r="AP93" i="1"/>
  <c r="AP10" i="1"/>
  <c r="AP88" i="1"/>
  <c r="AP78" i="1"/>
  <c r="AP68" i="1"/>
  <c r="AP65" i="1"/>
  <c r="AP50" i="1"/>
  <c r="AP40" i="1"/>
  <c r="AP30" i="1"/>
  <c r="AP20" i="1"/>
  <c r="T93" i="1"/>
  <c r="T10" i="1"/>
  <c r="T88" i="1"/>
  <c r="T78" i="1"/>
  <c r="T68" i="1"/>
  <c r="T65" i="1"/>
  <c r="T50" i="1"/>
  <c r="T40" i="1"/>
  <c r="T30" i="1"/>
  <c r="T20" i="1"/>
  <c r="T16" i="1"/>
  <c r="AK91" i="1"/>
  <c r="O92" i="1"/>
  <c r="AI93" i="1"/>
  <c r="AJ93" i="1"/>
  <c r="AK89" i="1"/>
  <c r="AK90" i="1"/>
  <c r="AK92" i="1"/>
  <c r="AI88" i="1"/>
  <c r="AJ88" i="1"/>
  <c r="AK79" i="1"/>
  <c r="AK80" i="1"/>
  <c r="AK81" i="1"/>
  <c r="AK82" i="1"/>
  <c r="AK83" i="1"/>
  <c r="AK84" i="1"/>
  <c r="AK85" i="1"/>
  <c r="AK86" i="1"/>
  <c r="AK87" i="1"/>
  <c r="AI78" i="1"/>
  <c r="AJ78" i="1"/>
  <c r="AK69" i="1"/>
  <c r="AK70" i="1"/>
  <c r="AK71" i="1"/>
  <c r="AK72" i="1"/>
  <c r="AK73" i="1"/>
  <c r="AK74" i="1"/>
  <c r="AK75" i="1"/>
  <c r="AK76" i="1"/>
  <c r="AK77" i="1"/>
  <c r="AF68" i="1"/>
  <c r="AG68" i="1"/>
  <c r="AH68" i="1"/>
  <c r="AI68" i="1"/>
  <c r="AJ68" i="1"/>
  <c r="AL68" i="1"/>
  <c r="AM68" i="1"/>
  <c r="AK66" i="1"/>
  <c r="AK67" i="1"/>
  <c r="AI65" i="1"/>
  <c r="AJ65" i="1"/>
  <c r="AK51" i="1"/>
  <c r="AK52" i="1"/>
  <c r="AK53" i="1"/>
  <c r="AK54" i="1"/>
  <c r="AK55" i="1"/>
  <c r="AK56" i="1"/>
  <c r="AK57" i="1"/>
  <c r="AK58" i="1"/>
  <c r="AK59" i="1"/>
  <c r="AK60" i="1"/>
  <c r="AK61" i="1"/>
  <c r="AK62" i="1"/>
  <c r="AK63" i="1"/>
  <c r="AK64" i="1"/>
  <c r="AI50" i="1"/>
  <c r="AJ50" i="1"/>
  <c r="AK41" i="1"/>
  <c r="AK42" i="1"/>
  <c r="AK43" i="1"/>
  <c r="AK44" i="1"/>
  <c r="AK45" i="1"/>
  <c r="AK46" i="1"/>
  <c r="AK47" i="1"/>
  <c r="AK48" i="1"/>
  <c r="AK49" i="1"/>
  <c r="AI40" i="1"/>
  <c r="AJ40" i="1"/>
  <c r="AK31" i="1"/>
  <c r="AK32" i="1"/>
  <c r="AK33" i="1"/>
  <c r="AK34" i="1"/>
  <c r="AK35" i="1"/>
  <c r="AK36" i="1"/>
  <c r="AK37" i="1"/>
  <c r="AK38" i="1"/>
  <c r="AK39" i="1"/>
  <c r="AI30" i="1"/>
  <c r="AJ30" i="1"/>
  <c r="AK21" i="1"/>
  <c r="AK22" i="1"/>
  <c r="AK23" i="1"/>
  <c r="AK26" i="1"/>
  <c r="AK27" i="1"/>
  <c r="AK28" i="1"/>
  <c r="AK29" i="1"/>
  <c r="AI20" i="1"/>
  <c r="AJ20" i="1"/>
  <c r="AK17" i="1"/>
  <c r="AK18" i="1"/>
  <c r="AK19" i="1"/>
  <c r="AK11" i="1"/>
  <c r="AK12" i="1"/>
  <c r="AK13" i="1"/>
  <c r="AK14" i="1"/>
  <c r="AK15" i="1"/>
  <c r="AI10" i="1"/>
  <c r="AJ10" i="1"/>
  <c r="AK6" i="1"/>
  <c r="AK7" i="1"/>
  <c r="AK8" i="1"/>
  <c r="AK9" i="1"/>
  <c r="AK5" i="1"/>
  <c r="M93" i="1"/>
  <c r="N93" i="1"/>
  <c r="O91" i="1"/>
  <c r="O90" i="1"/>
  <c r="O89" i="1"/>
  <c r="M88" i="1"/>
  <c r="N88" i="1"/>
  <c r="O87" i="1"/>
  <c r="O86" i="1"/>
  <c r="O85" i="1"/>
  <c r="O84" i="1"/>
  <c r="O83" i="1"/>
  <c r="O82" i="1"/>
  <c r="O81" i="1"/>
  <c r="O80" i="1"/>
  <c r="O79" i="1"/>
  <c r="M78" i="1"/>
  <c r="N78" i="1"/>
  <c r="O77" i="1"/>
  <c r="O76" i="1"/>
  <c r="O75" i="1"/>
  <c r="O74" i="1"/>
  <c r="O73" i="1"/>
  <c r="O72" i="1"/>
  <c r="O71" i="1"/>
  <c r="O70" i="1"/>
  <c r="O69" i="1"/>
  <c r="J68" i="1"/>
  <c r="K68" i="1"/>
  <c r="L68" i="1"/>
  <c r="M68" i="1"/>
  <c r="N68" i="1"/>
  <c r="P68" i="1"/>
  <c r="Q68" i="1"/>
  <c r="O67" i="1"/>
  <c r="O66" i="1"/>
  <c r="M65" i="1"/>
  <c r="N65" i="1"/>
  <c r="O64" i="1"/>
  <c r="O63" i="1"/>
  <c r="O62" i="1"/>
  <c r="O61" i="1"/>
  <c r="O60" i="1"/>
  <c r="O59" i="1"/>
  <c r="O58" i="1"/>
  <c r="O57" i="1"/>
  <c r="O56" i="1"/>
  <c r="O55" i="1"/>
  <c r="O54" i="1"/>
  <c r="O53" i="1"/>
  <c r="O52" i="1"/>
  <c r="O51" i="1"/>
  <c r="N50" i="1"/>
  <c r="O49" i="1"/>
  <c r="O48" i="1"/>
  <c r="O47" i="1"/>
  <c r="O45" i="1"/>
  <c r="O44" i="1"/>
  <c r="O43" i="1"/>
  <c r="O42" i="1"/>
  <c r="O41" i="1"/>
  <c r="M40" i="1"/>
  <c r="N40" i="1"/>
  <c r="O39" i="1"/>
  <c r="O38" i="1"/>
  <c r="O37" i="1"/>
  <c r="O36" i="1"/>
  <c r="O35" i="1"/>
  <c r="O34" i="1"/>
  <c r="O33" i="1"/>
  <c r="O32" i="1"/>
  <c r="O31" i="1"/>
  <c r="AK16" i="1" l="1"/>
  <c r="U16" i="1"/>
  <c r="AQ16" i="1"/>
  <c r="O50" i="1"/>
  <c r="O93" i="1"/>
  <c r="O68" i="1"/>
  <c r="AJ94" i="1"/>
  <c r="AI94" i="1"/>
  <c r="O88" i="1"/>
  <c r="AK10" i="1"/>
  <c r="T94" i="1"/>
  <c r="AP94" i="1"/>
  <c r="O40" i="1"/>
  <c r="O65" i="1"/>
  <c r="O78" i="1"/>
  <c r="AK93" i="1"/>
  <c r="AK68" i="1"/>
  <c r="AK78" i="1"/>
  <c r="AK88" i="1"/>
  <c r="AK20" i="1"/>
  <c r="AK30" i="1"/>
  <c r="AK40" i="1"/>
  <c r="AK50" i="1"/>
  <c r="AK65" i="1"/>
  <c r="M50" i="1"/>
  <c r="M30" i="1"/>
  <c r="N30" i="1"/>
  <c r="O29" i="1"/>
  <c r="O28" i="1"/>
  <c r="O27" i="1"/>
  <c r="O26" i="1"/>
  <c r="O23" i="1"/>
  <c r="O22" i="1"/>
  <c r="O21" i="1"/>
  <c r="M20" i="1"/>
  <c r="N20" i="1"/>
  <c r="O19" i="1"/>
  <c r="O18" i="1"/>
  <c r="O17" i="1"/>
  <c r="M16" i="1"/>
  <c r="N16" i="1"/>
  <c r="O15" i="1"/>
  <c r="O14" i="1"/>
  <c r="O13" i="1"/>
  <c r="O12" i="1"/>
  <c r="O11" i="1"/>
  <c r="M10" i="1"/>
  <c r="N10" i="1"/>
  <c r="O6" i="1"/>
  <c r="O7" i="1"/>
  <c r="O8" i="1"/>
  <c r="O9" i="1"/>
  <c r="O5" i="1"/>
  <c r="AP75" i="9"/>
  <c r="AQ75" i="9"/>
  <c r="AR75" i="9"/>
  <c r="AS75" i="9"/>
  <c r="V90" i="1"/>
  <c r="C58" i="9"/>
  <c r="B58" i="9"/>
  <c r="AB6" i="3"/>
  <c r="AF13" i="3"/>
  <c r="W5" i="1"/>
  <c r="AF3" i="8" a="1"/>
  <c r="AF3" i="8"/>
  <c r="AG3" i="8" a="1"/>
  <c r="AG3" i="8"/>
  <c r="AF4" i="8" a="1"/>
  <c r="AF4" i="8"/>
  <c r="AG4" i="8" a="1"/>
  <c r="AG4" i="8"/>
  <c r="AF5" i="8" a="1"/>
  <c r="AF5" i="8"/>
  <c r="AG5" i="8" a="1"/>
  <c r="AG5" i="8"/>
  <c r="AF6" i="8" a="1"/>
  <c r="AF6" i="8"/>
  <c r="AG6" i="8" a="1"/>
  <c r="AG6" i="8"/>
  <c r="AF7" i="8" a="1"/>
  <c r="AF7" i="8"/>
  <c r="AG7" i="8" a="1"/>
  <c r="AG7" i="8"/>
  <c r="AF8" i="8"/>
  <c r="AG8" i="8"/>
  <c r="AH8" i="8"/>
  <c r="AF18" i="8"/>
  <c r="AG18" i="8"/>
  <c r="AH18" i="8"/>
  <c r="AF22" i="8"/>
  <c r="AG22" i="8"/>
  <c r="AH22" i="8"/>
  <c r="AF23" i="8"/>
  <c r="AG23" i="8"/>
  <c r="AH23" i="8"/>
  <c r="AF24" i="8"/>
  <c r="AG24" i="8"/>
  <c r="AH24" i="8"/>
  <c r="AF25" i="8"/>
  <c r="AG25" i="8"/>
  <c r="AH25" i="8"/>
  <c r="AF26" i="8"/>
  <c r="AG26" i="8"/>
  <c r="AH26" i="8"/>
  <c r="AF27" i="8"/>
  <c r="AG27" i="8"/>
  <c r="AH27" i="8"/>
  <c r="AG74" i="8"/>
  <c r="R72" i="8"/>
  <c r="J64" i="8"/>
  <c r="J65" i="8"/>
  <c r="D58" i="8"/>
  <c r="E58" i="8" s="1"/>
  <c r="E58" i="9"/>
  <c r="B58" i="8"/>
  <c r="D58" i="9"/>
  <c r="AI34" i="8"/>
  <c r="AE64" i="1"/>
  <c r="S50" i="8" s="1"/>
  <c r="I64" i="1"/>
  <c r="Q50" i="8" s="1"/>
  <c r="J87" i="4"/>
  <c r="H9" i="3" a="1"/>
  <c r="H9" i="3" s="1"/>
  <c r="H8" i="3" a="1"/>
  <c r="H8" i="3" s="1"/>
  <c r="H7" i="3" a="1"/>
  <c r="H7" i="3" s="1"/>
  <c r="H5" i="3" a="1"/>
  <c r="H5" i="3" s="1"/>
  <c r="H4" i="3" a="1"/>
  <c r="H4" i="3" s="1"/>
  <c r="K85" i="4"/>
  <c r="AN92" i="1"/>
  <c r="AN91" i="1"/>
  <c r="AN90" i="1"/>
  <c r="AN89" i="1"/>
  <c r="AN87" i="1"/>
  <c r="AN86" i="1"/>
  <c r="AN85" i="1"/>
  <c r="AN84" i="1"/>
  <c r="AN83" i="1"/>
  <c r="AN82" i="1"/>
  <c r="AN81" i="1"/>
  <c r="AN80" i="1"/>
  <c r="AN79" i="1"/>
  <c r="AN77" i="1"/>
  <c r="AN76" i="1"/>
  <c r="AN75" i="1"/>
  <c r="AN74" i="1"/>
  <c r="AN73" i="1"/>
  <c r="AN72" i="1"/>
  <c r="AN71" i="1"/>
  <c r="AN70" i="1"/>
  <c r="AN69" i="1"/>
  <c r="AN66" i="1"/>
  <c r="AN67" i="1"/>
  <c r="AN63" i="1"/>
  <c r="AN62" i="1"/>
  <c r="AN61" i="1"/>
  <c r="AN60" i="1"/>
  <c r="AN59" i="1"/>
  <c r="AN58" i="1"/>
  <c r="AN57" i="1"/>
  <c r="AN56" i="1"/>
  <c r="AN55" i="1"/>
  <c r="AN54" i="1"/>
  <c r="AN53" i="1"/>
  <c r="AN52" i="1"/>
  <c r="AN51" i="1"/>
  <c r="AN49" i="1"/>
  <c r="AN48" i="1"/>
  <c r="AN47" i="1"/>
  <c r="AN46" i="1"/>
  <c r="AN45" i="1"/>
  <c r="AN44" i="1"/>
  <c r="AN43" i="1"/>
  <c r="AN42" i="1"/>
  <c r="AN41" i="1"/>
  <c r="AN39" i="1"/>
  <c r="AN38" i="1"/>
  <c r="AN37" i="1"/>
  <c r="AN36" i="1"/>
  <c r="AN35" i="1"/>
  <c r="AN34" i="1"/>
  <c r="AN33" i="1"/>
  <c r="AN32" i="1"/>
  <c r="AN31" i="1"/>
  <c r="AN29" i="1"/>
  <c r="AN28" i="1"/>
  <c r="AN27" i="1"/>
  <c r="AN26" i="1"/>
  <c r="AN25" i="1"/>
  <c r="AN24" i="1"/>
  <c r="AN23" i="1"/>
  <c r="AN22" i="1"/>
  <c r="AN21" i="1"/>
  <c r="AN19" i="1"/>
  <c r="AN18" i="1"/>
  <c r="AN17" i="1"/>
  <c r="AN15" i="1"/>
  <c r="AN14" i="1"/>
  <c r="AN13" i="1"/>
  <c r="AN12" i="1"/>
  <c r="AN11" i="1"/>
  <c r="AN9" i="1"/>
  <c r="AN8" i="1"/>
  <c r="AN7" i="1"/>
  <c r="AN6" i="1"/>
  <c r="AN5" i="1"/>
  <c r="R92" i="1"/>
  <c r="R91" i="1"/>
  <c r="R90" i="1"/>
  <c r="R89" i="1"/>
  <c r="R87" i="1"/>
  <c r="R86" i="1"/>
  <c r="R85" i="1"/>
  <c r="R84" i="1"/>
  <c r="R83" i="1"/>
  <c r="R82" i="1"/>
  <c r="R81" i="1"/>
  <c r="R80" i="1"/>
  <c r="R79" i="1"/>
  <c r="R77" i="1"/>
  <c r="R76" i="1"/>
  <c r="R75" i="1"/>
  <c r="R74" i="1"/>
  <c r="R73" i="1"/>
  <c r="R72" i="1"/>
  <c r="R71" i="1"/>
  <c r="R70" i="1"/>
  <c r="R69" i="1"/>
  <c r="R67" i="1"/>
  <c r="R66" i="1"/>
  <c r="R63" i="1"/>
  <c r="R62" i="1"/>
  <c r="R61" i="1"/>
  <c r="R60" i="1"/>
  <c r="R59" i="1"/>
  <c r="R58" i="1"/>
  <c r="R57" i="1"/>
  <c r="R56" i="1"/>
  <c r="R55" i="1"/>
  <c r="R54" i="1"/>
  <c r="R53" i="1"/>
  <c r="R52" i="1"/>
  <c r="R51" i="1"/>
  <c r="R49" i="1"/>
  <c r="R48" i="1"/>
  <c r="R47" i="1"/>
  <c r="R46" i="1"/>
  <c r="R45" i="1"/>
  <c r="R44" i="1"/>
  <c r="R43" i="1"/>
  <c r="R42" i="1"/>
  <c r="R41" i="1"/>
  <c r="R39" i="1"/>
  <c r="R38" i="1"/>
  <c r="R37" i="1"/>
  <c r="R36" i="1"/>
  <c r="R35" i="1"/>
  <c r="R34" i="1"/>
  <c r="R33" i="1"/>
  <c r="R32" i="1"/>
  <c r="R31" i="1"/>
  <c r="R29" i="1"/>
  <c r="R28" i="1"/>
  <c r="R27" i="1"/>
  <c r="R26" i="1"/>
  <c r="R25" i="1"/>
  <c r="R24" i="1"/>
  <c r="R23" i="1"/>
  <c r="R22" i="1"/>
  <c r="R19" i="1"/>
  <c r="R18" i="1"/>
  <c r="R17" i="1"/>
  <c r="R15" i="1"/>
  <c r="R13" i="1"/>
  <c r="R14" i="1"/>
  <c r="R12" i="1"/>
  <c r="R11" i="1"/>
  <c r="R8" i="1"/>
  <c r="R9" i="1"/>
  <c r="R7" i="1"/>
  <c r="R6" i="1"/>
  <c r="R5" i="1"/>
  <c r="I85" i="4"/>
  <c r="Z67" i="1"/>
  <c r="Z66" i="1"/>
  <c r="Z92" i="1"/>
  <c r="Z91" i="1"/>
  <c r="Z90" i="1"/>
  <c r="Z89" i="1"/>
  <c r="Z87" i="1"/>
  <c r="Z86" i="1"/>
  <c r="Z85" i="1"/>
  <c r="Z84" i="1"/>
  <c r="Z83" i="1"/>
  <c r="Z82" i="1"/>
  <c r="Z81" i="1"/>
  <c r="Z80" i="1"/>
  <c r="Z79" i="1"/>
  <c r="Z77" i="1"/>
  <c r="Z76" i="1"/>
  <c r="Z75" i="1"/>
  <c r="Z74" i="1"/>
  <c r="Z73" i="1"/>
  <c r="Z72" i="1"/>
  <c r="Z71" i="1"/>
  <c r="Z70" i="1"/>
  <c r="Z69" i="1"/>
  <c r="Z54" i="1"/>
  <c r="Z63" i="1"/>
  <c r="Z62" i="1"/>
  <c r="Z61" i="1"/>
  <c r="Z60" i="1"/>
  <c r="Z59" i="1"/>
  <c r="Z58" i="1"/>
  <c r="Z57" i="1"/>
  <c r="Z56" i="1"/>
  <c r="Z55" i="1"/>
  <c r="Z51" i="1"/>
  <c r="AR89" i="1"/>
  <c r="AR90" i="1"/>
  <c r="AE41" i="9" s="1"/>
  <c r="AN65" i="9" s="1"/>
  <c r="AO65" i="9" s="1"/>
  <c r="AR91" i="1"/>
  <c r="AE42" i="9" s="1"/>
  <c r="AN66" i="9" s="1"/>
  <c r="AO66" i="9" s="1"/>
  <c r="AR92" i="1"/>
  <c r="AR79" i="1"/>
  <c r="AR80" i="1"/>
  <c r="AB40" i="9" s="1"/>
  <c r="AJ64" i="9" s="1"/>
  <c r="AK64" i="9" s="1"/>
  <c r="AR81" i="1"/>
  <c r="AB41" i="9" s="1"/>
  <c r="AJ65" i="9" s="1"/>
  <c r="AK65" i="9" s="1"/>
  <c r="AR82" i="1"/>
  <c r="AB42" i="9" s="1"/>
  <c r="AJ66" i="9" s="1"/>
  <c r="AK66" i="9" s="1"/>
  <c r="AR83" i="1"/>
  <c r="AB43" i="9" s="1"/>
  <c r="AJ67" i="9" s="1"/>
  <c r="AK67" i="9" s="1"/>
  <c r="AR84" i="1"/>
  <c r="AB44" i="9" s="1"/>
  <c r="AJ68" i="9" s="1"/>
  <c r="AK68" i="9" s="1"/>
  <c r="AR86" i="1"/>
  <c r="AB46" i="9" s="1"/>
  <c r="AJ70" i="9" s="1"/>
  <c r="AK70" i="9" s="1"/>
  <c r="AR87" i="1"/>
  <c r="AR69" i="1"/>
  <c r="AR71" i="1"/>
  <c r="V41" i="9" s="1"/>
  <c r="AB65" i="9" s="1"/>
  <c r="AC65" i="9" s="1"/>
  <c r="AR72" i="1"/>
  <c r="V42" i="9" s="1"/>
  <c r="AB66" i="9" s="1"/>
  <c r="AC66" i="9" s="1"/>
  <c r="AR73" i="1"/>
  <c r="V43" i="9" s="1"/>
  <c r="AB67" i="9" s="1"/>
  <c r="AC67" i="9" s="1"/>
  <c r="AR74" i="1"/>
  <c r="AR75" i="1"/>
  <c r="V45" i="9" s="1"/>
  <c r="AB69" i="9" s="1"/>
  <c r="AC69" i="9" s="1"/>
  <c r="AR76" i="1"/>
  <c r="V46" i="9" s="1"/>
  <c r="AB70" i="9" s="1"/>
  <c r="AC70" i="9" s="1"/>
  <c r="AR77" i="1"/>
  <c r="V47" i="9" s="1"/>
  <c r="AB71" i="9" s="1"/>
  <c r="AC71" i="9" s="1"/>
  <c r="AR66" i="1"/>
  <c r="AR67" i="1"/>
  <c r="S38" i="9"/>
  <c r="X62" i="9" s="1"/>
  <c r="Y62" i="9" s="1"/>
  <c r="AR53" i="1"/>
  <c r="S39" i="9" s="1"/>
  <c r="X63" i="9" s="1"/>
  <c r="Y63" i="9" s="1"/>
  <c r="AR54" i="1"/>
  <c r="S40" i="9" s="1"/>
  <c r="X64" i="9" s="1"/>
  <c r="Y64" i="9" s="1"/>
  <c r="AR55" i="1"/>
  <c r="S41" i="9" s="1"/>
  <c r="X65" i="9" s="1"/>
  <c r="Y65" i="9" s="1"/>
  <c r="AR56" i="1"/>
  <c r="S42" i="9" s="1"/>
  <c r="X66" i="9" s="1"/>
  <c r="Y66" i="9" s="1"/>
  <c r="AR57" i="1"/>
  <c r="S43" i="9" s="1"/>
  <c r="X67" i="9" s="1"/>
  <c r="Y67" i="9" s="1"/>
  <c r="AR58" i="1"/>
  <c r="S44" i="9" s="1"/>
  <c r="X68" i="9" s="1"/>
  <c r="Y68" i="9" s="1"/>
  <c r="S45" i="9"/>
  <c r="X69" i="9" s="1"/>
  <c r="Y69" i="9" s="1"/>
  <c r="AR60" i="1"/>
  <c r="S46" i="9" s="1"/>
  <c r="X70" i="9" s="1"/>
  <c r="Y70" i="9" s="1"/>
  <c r="AR61" i="1"/>
  <c r="S47" i="9" s="1"/>
  <c r="X71" i="9" s="1"/>
  <c r="Y71" i="9" s="1"/>
  <c r="AR62" i="1"/>
  <c r="S48" i="9" s="1"/>
  <c r="X72" i="9" s="1"/>
  <c r="Y72" i="9" s="1"/>
  <c r="AR63" i="1"/>
  <c r="AR64" i="1"/>
  <c r="S50" i="9" s="1"/>
  <c r="X74" i="9" s="1"/>
  <c r="Y74" i="9" s="1"/>
  <c r="AR41" i="1"/>
  <c r="M39" i="9" s="1"/>
  <c r="P63" i="9" s="1"/>
  <c r="AR42" i="1"/>
  <c r="AR43" i="1"/>
  <c r="M41" i="9" s="1"/>
  <c r="P65" i="9" s="1"/>
  <c r="Q65" i="9" s="1"/>
  <c r="AR44" i="1"/>
  <c r="M42" i="9" s="1"/>
  <c r="P66" i="9" s="1"/>
  <c r="Q66" i="9" s="1"/>
  <c r="AR46" i="1"/>
  <c r="AR47" i="1"/>
  <c r="M45" i="9" s="1"/>
  <c r="P69" i="9" s="1"/>
  <c r="Q69" i="9" s="1"/>
  <c r="AR48" i="1"/>
  <c r="M46" i="9" s="1"/>
  <c r="P70" i="9" s="1"/>
  <c r="Q70" i="9" s="1"/>
  <c r="AR49" i="1"/>
  <c r="M47" i="9" s="1"/>
  <c r="P71" i="9" s="1"/>
  <c r="Q71" i="9" s="1"/>
  <c r="AR31" i="1"/>
  <c r="AR32" i="1"/>
  <c r="Y40" i="9" s="1"/>
  <c r="AF64" i="9" s="1"/>
  <c r="AG64" i="9" s="1"/>
  <c r="AR33" i="1"/>
  <c r="Y41" i="9" s="1"/>
  <c r="AF65" i="9" s="1"/>
  <c r="AG65" i="9" s="1"/>
  <c r="AR34" i="1"/>
  <c r="Y42" i="9" s="1"/>
  <c r="AF66" i="9" s="1"/>
  <c r="AG66" i="9" s="1"/>
  <c r="AR35" i="1"/>
  <c r="Y43" i="9" s="1"/>
  <c r="AF67" i="9" s="1"/>
  <c r="AG67" i="9" s="1"/>
  <c r="AR36" i="1"/>
  <c r="AR37" i="1"/>
  <c r="Y45" i="9" s="1"/>
  <c r="AF69" i="9" s="1"/>
  <c r="AG69" i="9" s="1"/>
  <c r="AR38" i="1"/>
  <c r="Y46" i="9" s="1"/>
  <c r="AF70" i="9" s="1"/>
  <c r="AG70" i="9" s="1"/>
  <c r="AR39" i="1"/>
  <c r="Y47" i="9" s="1"/>
  <c r="AF71" i="9" s="1"/>
  <c r="AG71" i="9" s="1"/>
  <c r="AR21" i="1"/>
  <c r="AR22" i="1"/>
  <c r="P41" i="9" s="1"/>
  <c r="T65" i="9" s="1"/>
  <c r="U65" i="9" s="1"/>
  <c r="AR23" i="1"/>
  <c r="P42" i="9" s="1"/>
  <c r="T66" i="9" s="1"/>
  <c r="U66" i="9" s="1"/>
  <c r="AR24" i="1"/>
  <c r="P43" i="9" s="1"/>
  <c r="T67" i="9" s="1"/>
  <c r="U67" i="9" s="1"/>
  <c r="AR25" i="1"/>
  <c r="P45" i="9"/>
  <c r="T69" i="9" s="1"/>
  <c r="U69" i="9" s="1"/>
  <c r="AR27" i="1"/>
  <c r="P46" i="9" s="1"/>
  <c r="T70" i="9" s="1"/>
  <c r="U70" i="9" s="1"/>
  <c r="AR28" i="1"/>
  <c r="P47" i="9" s="1"/>
  <c r="T71" i="9" s="1"/>
  <c r="U71" i="9" s="1"/>
  <c r="AR29" i="1"/>
  <c r="P48" i="9" s="1"/>
  <c r="T72" i="9" s="1"/>
  <c r="U72" i="9" s="1"/>
  <c r="G36" i="9"/>
  <c r="AR18" i="1"/>
  <c r="AR19" i="1"/>
  <c r="G38" i="9" s="1"/>
  <c r="H62" i="9" s="1"/>
  <c r="I62" i="9" s="1"/>
  <c r="J37" i="9"/>
  <c r="L61" i="9" s="1"/>
  <c r="AR12" i="1"/>
  <c r="J38" i="9" s="1"/>
  <c r="L62" i="9" s="1"/>
  <c r="M62" i="9" s="1"/>
  <c r="AR13" i="1"/>
  <c r="J39" i="9" s="1"/>
  <c r="L63" i="9" s="1"/>
  <c r="M63" i="9" s="1"/>
  <c r="AR14" i="1"/>
  <c r="J40" i="9" s="1"/>
  <c r="L64" i="9" s="1"/>
  <c r="M64" i="9" s="1"/>
  <c r="AR15" i="1"/>
  <c r="J41" i="9" s="1"/>
  <c r="L65" i="9" s="1"/>
  <c r="D35" i="9"/>
  <c r="D59" i="9" s="1"/>
  <c r="E59" i="9" s="1"/>
  <c r="AR7" i="1"/>
  <c r="D37" i="9" s="1"/>
  <c r="D61" i="9" s="1"/>
  <c r="E61" i="9" s="1"/>
  <c r="AR8" i="1"/>
  <c r="D38" i="9" s="1"/>
  <c r="D62" i="9" s="1"/>
  <c r="E62" i="9" s="1"/>
  <c r="V89" i="1"/>
  <c r="V91" i="1"/>
  <c r="AC42" i="9" s="1"/>
  <c r="AL66" i="9" s="1"/>
  <c r="AM66" i="9" s="1"/>
  <c r="V92" i="1"/>
  <c r="AC43" i="9" s="1"/>
  <c r="AL67" i="9" s="1"/>
  <c r="V81" i="1"/>
  <c r="Z41" i="9" s="1"/>
  <c r="AH65" i="9" s="1"/>
  <c r="AI65" i="9" s="1"/>
  <c r="V82" i="1"/>
  <c r="Z42" i="9" s="1"/>
  <c r="AH66" i="9" s="1"/>
  <c r="AI66" i="9" s="1"/>
  <c r="V83" i="1"/>
  <c r="V84" i="1"/>
  <c r="Z44" i="9" s="1"/>
  <c r="AH68" i="9" s="1"/>
  <c r="AI68" i="9" s="1"/>
  <c r="V85" i="1"/>
  <c r="V86" i="1"/>
  <c r="Z46" i="9" s="1"/>
  <c r="AH70" i="9" s="1"/>
  <c r="AI70" i="9" s="1"/>
  <c r="V87" i="1"/>
  <c r="Z47" i="9" s="1"/>
  <c r="AH71" i="9" s="1"/>
  <c r="V79" i="1"/>
  <c r="V69" i="1"/>
  <c r="V70" i="1"/>
  <c r="T40" i="9" s="1"/>
  <c r="Z64" i="9" s="1"/>
  <c r="V71" i="1"/>
  <c r="T41" i="9" s="1"/>
  <c r="Z65" i="9" s="1"/>
  <c r="AA65" i="9" s="1"/>
  <c r="V72" i="1"/>
  <c r="T42" i="9" s="1"/>
  <c r="Z66" i="9" s="1"/>
  <c r="AA66" i="9" s="1"/>
  <c r="V73" i="1"/>
  <c r="V74" i="1"/>
  <c r="T44" i="9" s="1"/>
  <c r="Z68" i="9" s="1"/>
  <c r="AA68" i="9" s="1"/>
  <c r="V75" i="1"/>
  <c r="T45" i="9" s="1"/>
  <c r="Z69" i="9" s="1"/>
  <c r="AA69" i="9" s="1"/>
  <c r="V76" i="1"/>
  <c r="T46" i="9" s="1"/>
  <c r="Z70" i="9" s="1"/>
  <c r="AA70" i="9" s="1"/>
  <c r="V77" i="1"/>
  <c r="T47" i="9" s="1"/>
  <c r="Z71" i="9" s="1"/>
  <c r="AA71" i="9" s="1"/>
  <c r="V66" i="1"/>
  <c r="V67" i="1"/>
  <c r="V51" i="1"/>
  <c r="Q37" i="9" s="1"/>
  <c r="V61" i="9" s="1"/>
  <c r="W61" i="9" s="1"/>
  <c r="V52" i="1"/>
  <c r="Q38" i="9" s="1"/>
  <c r="V62" i="9" s="1"/>
  <c r="W62" i="9" s="1"/>
  <c r="V53" i="1"/>
  <c r="Q39" i="9" s="1"/>
  <c r="V63" i="9" s="1"/>
  <c r="W63" i="9" s="1"/>
  <c r="V54" i="1"/>
  <c r="Q40" i="9" s="1"/>
  <c r="V64" i="9" s="1"/>
  <c r="W64" i="9" s="1"/>
  <c r="V55" i="1"/>
  <c r="Q41" i="9" s="1"/>
  <c r="V65" i="9" s="1"/>
  <c r="W65" i="9" s="1"/>
  <c r="V56" i="1"/>
  <c r="Q42" i="9" s="1"/>
  <c r="V66" i="9" s="1"/>
  <c r="W66" i="9" s="1"/>
  <c r="V57" i="1"/>
  <c r="Q43" i="9" s="1"/>
  <c r="V67" i="9" s="1"/>
  <c r="W67" i="9" s="1"/>
  <c r="V58" i="1"/>
  <c r="V59" i="1"/>
  <c r="Q45" i="9" s="1"/>
  <c r="V69" i="9" s="1"/>
  <c r="W69" i="9" s="1"/>
  <c r="V60" i="1"/>
  <c r="V61" i="1"/>
  <c r="Q47" i="9" s="1"/>
  <c r="V71" i="9" s="1"/>
  <c r="W71" i="9" s="1"/>
  <c r="V62" i="1"/>
  <c r="Q48" i="9" s="1"/>
  <c r="V72" i="9" s="1"/>
  <c r="W72" i="9" s="1"/>
  <c r="V63" i="1"/>
  <c r="Q49" i="9" s="1"/>
  <c r="V64" i="1"/>
  <c r="Q50" i="9" s="1"/>
  <c r="V74" i="9" s="1"/>
  <c r="V41" i="1"/>
  <c r="V42" i="1"/>
  <c r="V43" i="1"/>
  <c r="K41" i="9" s="1"/>
  <c r="N65" i="9" s="1"/>
  <c r="O65" i="9" s="1"/>
  <c r="V44" i="1"/>
  <c r="V45" i="1"/>
  <c r="K43" i="9" s="1"/>
  <c r="N67" i="9" s="1"/>
  <c r="O67" i="9" s="1"/>
  <c r="V46" i="1"/>
  <c r="K44" i="9" s="1"/>
  <c r="N68" i="9" s="1"/>
  <c r="O68" i="9" s="1"/>
  <c r="V47" i="1"/>
  <c r="K45" i="9" s="1"/>
  <c r="N69" i="9" s="1"/>
  <c r="O69" i="9" s="1"/>
  <c r="V48" i="1"/>
  <c r="K46" i="9" s="1"/>
  <c r="N70" i="9" s="1"/>
  <c r="O70" i="9" s="1"/>
  <c r="V49" i="1"/>
  <c r="K47" i="9" s="1"/>
  <c r="N71" i="9" s="1"/>
  <c r="O71" i="9" s="1"/>
  <c r="V31" i="1"/>
  <c r="V32" i="1"/>
  <c r="W40" i="9" s="1"/>
  <c r="AD64" i="9" s="1"/>
  <c r="AE64" i="9" s="1"/>
  <c r="V33" i="1"/>
  <c r="W41" i="9" s="1"/>
  <c r="AD65" i="9" s="1"/>
  <c r="AE65" i="9" s="1"/>
  <c r="V34" i="1"/>
  <c r="W42" i="9" s="1"/>
  <c r="AD66" i="9" s="1"/>
  <c r="AE66" i="9" s="1"/>
  <c r="V35" i="1"/>
  <c r="W43" i="9" s="1"/>
  <c r="AD67" i="9" s="1"/>
  <c r="V36" i="1"/>
  <c r="W44" i="9" s="1"/>
  <c r="AD68" i="9" s="1"/>
  <c r="AE68" i="9" s="1"/>
  <c r="V37" i="1"/>
  <c r="W45" i="9" s="1"/>
  <c r="AD69" i="9" s="1"/>
  <c r="AE69" i="9" s="1"/>
  <c r="V38" i="1"/>
  <c r="W46" i="9" s="1"/>
  <c r="AD70" i="9" s="1"/>
  <c r="AE70" i="9" s="1"/>
  <c r="V39" i="1"/>
  <c r="W47" i="9" s="1"/>
  <c r="AD71" i="9" s="1"/>
  <c r="AE71" i="9" s="1"/>
  <c r="V21" i="1"/>
  <c r="V22" i="1"/>
  <c r="N41" i="9" s="1"/>
  <c r="R65" i="9" s="1"/>
  <c r="S65" i="9" s="1"/>
  <c r="V23" i="1"/>
  <c r="N42" i="9" s="1"/>
  <c r="R66" i="9" s="1"/>
  <c r="S66" i="9" s="1"/>
  <c r="V24" i="1"/>
  <c r="N43" i="9" s="1"/>
  <c r="R67" i="9" s="1"/>
  <c r="S67" i="9" s="1"/>
  <c r="V25" i="1"/>
  <c r="N44" i="9" s="1"/>
  <c r="R68" i="9" s="1"/>
  <c r="S68" i="9" s="1"/>
  <c r="V26" i="1"/>
  <c r="N45" i="9" s="1"/>
  <c r="R69" i="9" s="1"/>
  <c r="V27" i="1"/>
  <c r="N46" i="9" s="1"/>
  <c r="R70" i="9" s="1"/>
  <c r="S70" i="9" s="1"/>
  <c r="V28" i="1"/>
  <c r="N47" i="9" s="1"/>
  <c r="R71" i="9" s="1"/>
  <c r="S71" i="9" s="1"/>
  <c r="V29" i="1"/>
  <c r="N48" i="9" s="1"/>
  <c r="R72" i="9" s="1"/>
  <c r="S72" i="9" s="1"/>
  <c r="V17" i="1"/>
  <c r="V18" i="1"/>
  <c r="E37" i="9" s="1"/>
  <c r="F61" i="9" s="1"/>
  <c r="G61" i="9" s="1"/>
  <c r="V19" i="1"/>
  <c r="E38" i="9" s="1"/>
  <c r="F62" i="9" s="1"/>
  <c r="G62" i="9" s="1"/>
  <c r="V11" i="1"/>
  <c r="V12" i="1"/>
  <c r="H38" i="9" s="1"/>
  <c r="J62" i="9" s="1"/>
  <c r="K62" i="9" s="1"/>
  <c r="V13" i="1"/>
  <c r="H39" i="9" s="1"/>
  <c r="J63" i="9" s="1"/>
  <c r="V14" i="1"/>
  <c r="V15" i="1"/>
  <c r="B35" i="9"/>
  <c r="B59" i="9" s="1"/>
  <c r="V7" i="1"/>
  <c r="B37" i="9" s="1"/>
  <c r="B61" i="9" s="1"/>
  <c r="C61" i="9" s="1"/>
  <c r="V8" i="1"/>
  <c r="B38" i="9" s="1"/>
  <c r="B62" i="9" s="1"/>
  <c r="C62" i="9" s="1"/>
  <c r="V80" i="1"/>
  <c r="Z40" i="9" s="1"/>
  <c r="AH64" i="9" s="1"/>
  <c r="AI64" i="9" s="1"/>
  <c r="D36" i="9"/>
  <c r="D60" i="9" s="1"/>
  <c r="E60" i="9" s="1"/>
  <c r="B36" i="9"/>
  <c r="B60" i="9" s="1"/>
  <c r="C60" i="9" s="1"/>
  <c r="T44" i="4"/>
  <c r="AO65" i="1"/>
  <c r="AQ65" i="1" s="1"/>
  <c r="AO93" i="1"/>
  <c r="AQ93" i="1" s="1"/>
  <c r="AO88" i="1"/>
  <c r="AQ88" i="1" s="1"/>
  <c r="AO78" i="1"/>
  <c r="AQ78" i="1" s="1"/>
  <c r="AO68" i="1"/>
  <c r="AQ68" i="1" s="1"/>
  <c r="AO50" i="1"/>
  <c r="AQ50" i="1" s="1"/>
  <c r="AO40" i="1"/>
  <c r="AQ40" i="1" s="1"/>
  <c r="AO30" i="1"/>
  <c r="AQ30" i="1" s="1"/>
  <c r="AO20" i="1"/>
  <c r="AQ20" i="1" s="1"/>
  <c r="AO10" i="1"/>
  <c r="S93" i="1"/>
  <c r="U93" i="1" s="1"/>
  <c r="S88" i="1"/>
  <c r="U88" i="1" s="1"/>
  <c r="S78" i="1"/>
  <c r="U78" i="1" s="1"/>
  <c r="S68" i="1"/>
  <c r="U68" i="1" s="1"/>
  <c r="S65" i="1"/>
  <c r="U65" i="1" s="1"/>
  <c r="S50" i="1"/>
  <c r="U50" i="1" s="1"/>
  <c r="S40" i="1"/>
  <c r="U40" i="1" s="1"/>
  <c r="S30" i="1"/>
  <c r="U30" i="1" s="1"/>
  <c r="S20" i="1"/>
  <c r="U20" i="1" s="1"/>
  <c r="S16" i="1"/>
  <c r="S10" i="1"/>
  <c r="H5" i="9"/>
  <c r="K98" i="1"/>
  <c r="Q44" i="9"/>
  <c r="V68" i="9" s="1"/>
  <c r="W68" i="9" s="1"/>
  <c r="Q46" i="9"/>
  <c r="V70" i="9" s="1"/>
  <c r="W70" i="9" s="1"/>
  <c r="Y20" i="1"/>
  <c r="AF20" i="1"/>
  <c r="AG20" i="1"/>
  <c r="AM20" i="1"/>
  <c r="Y10" i="1"/>
  <c r="AF10" i="1"/>
  <c r="AG10" i="1"/>
  <c r="AM10" i="1"/>
  <c r="G37" i="9"/>
  <c r="H61" i="9" s="1"/>
  <c r="I61" i="9" s="1"/>
  <c r="J10" i="1"/>
  <c r="K10" i="1"/>
  <c r="Q10" i="1"/>
  <c r="J16" i="1"/>
  <c r="K16" i="1"/>
  <c r="Q16" i="1"/>
  <c r="J20" i="1"/>
  <c r="K20" i="1"/>
  <c r="Q20" i="1"/>
  <c r="AH51" i="9"/>
  <c r="AF51" i="9"/>
  <c r="AH26" i="9"/>
  <c r="AE26" i="9"/>
  <c r="AB26" i="9"/>
  <c r="Y26" i="9"/>
  <c r="V26" i="9"/>
  <c r="S26" i="9"/>
  <c r="P26" i="9"/>
  <c r="M26" i="9"/>
  <c r="J26" i="9"/>
  <c r="G26" i="9"/>
  <c r="D26" i="9"/>
  <c r="AH25" i="9"/>
  <c r="AE25" i="9"/>
  <c r="AB25" i="9"/>
  <c r="Y25" i="9"/>
  <c r="V25" i="9"/>
  <c r="S25" i="9"/>
  <c r="P25" i="9"/>
  <c r="M25" i="9"/>
  <c r="J25" i="9"/>
  <c r="G25" i="9"/>
  <c r="D25" i="9"/>
  <c r="AH24" i="9"/>
  <c r="AE24" i="9"/>
  <c r="AB24" i="9"/>
  <c r="Y24" i="9"/>
  <c r="V24" i="9"/>
  <c r="S24" i="9"/>
  <c r="P24" i="9"/>
  <c r="M24" i="9"/>
  <c r="J24" i="9"/>
  <c r="G24" i="9"/>
  <c r="D24" i="9"/>
  <c r="AH23" i="9"/>
  <c r="AE23" i="9"/>
  <c r="AB23" i="9"/>
  <c r="Y23" i="9"/>
  <c r="V23" i="9"/>
  <c r="S23" i="9"/>
  <c r="P23" i="9"/>
  <c r="M23" i="9"/>
  <c r="J23" i="9"/>
  <c r="G23" i="9"/>
  <c r="D23" i="9"/>
  <c r="AH22" i="9"/>
  <c r="AE22" i="9"/>
  <c r="AB22" i="9"/>
  <c r="Y22" i="9"/>
  <c r="V22" i="9"/>
  <c r="S22" i="9"/>
  <c r="P22" i="9"/>
  <c r="M22" i="9"/>
  <c r="J22" i="9"/>
  <c r="G22" i="9"/>
  <c r="D22" i="9"/>
  <c r="AH18" i="9"/>
  <c r="AG18" i="9"/>
  <c r="AF18" i="9"/>
  <c r="AE18" i="9"/>
  <c r="AD18" i="9"/>
  <c r="AC18" i="9"/>
  <c r="AB18" i="9"/>
  <c r="AA18" i="9"/>
  <c r="Z18" i="9"/>
  <c r="Y18" i="9"/>
  <c r="X18" i="9"/>
  <c r="W18" i="9"/>
  <c r="V18" i="9"/>
  <c r="U18" i="9"/>
  <c r="T18" i="9"/>
  <c r="S18" i="9"/>
  <c r="R18" i="9"/>
  <c r="Q18" i="9"/>
  <c r="P18" i="9"/>
  <c r="O18" i="9"/>
  <c r="N18" i="9"/>
  <c r="M18" i="9"/>
  <c r="L18" i="9"/>
  <c r="K18" i="9"/>
  <c r="J18" i="9"/>
  <c r="I18" i="9"/>
  <c r="H18" i="9"/>
  <c r="G18" i="9"/>
  <c r="F18" i="9"/>
  <c r="E18" i="9"/>
  <c r="D18" i="9"/>
  <c r="C18" i="9"/>
  <c r="B18" i="9"/>
  <c r="AJ17" i="9"/>
  <c r="AI17" i="9"/>
  <c r="AJ16" i="9"/>
  <c r="AI16" i="9"/>
  <c r="AJ15" i="9"/>
  <c r="AI15" i="9"/>
  <c r="AJ14" i="9"/>
  <c r="AI14" i="9"/>
  <c r="AJ13" i="9"/>
  <c r="AI13" i="9"/>
  <c r="AH8" i="9"/>
  <c r="AE8" i="9"/>
  <c r="AB8" i="9"/>
  <c r="Y8" i="9"/>
  <c r="V8" i="9"/>
  <c r="S8" i="9"/>
  <c r="P8" i="9"/>
  <c r="M8" i="9"/>
  <c r="J8" i="9"/>
  <c r="G8" i="9"/>
  <c r="D8" i="9"/>
  <c r="AG7" i="9" a="1"/>
  <c r="AG7" i="9" s="1"/>
  <c r="AG26" i="9" s="1"/>
  <c r="AF7" i="9" a="1"/>
  <c r="AF7" i="9" s="1"/>
  <c r="AF26" i="9" s="1"/>
  <c r="AD7" i="9" a="1"/>
  <c r="AD7" i="9" s="1"/>
  <c r="AD26" i="9" s="1"/>
  <c r="AC7" i="9" a="1"/>
  <c r="AC7" i="9" s="1"/>
  <c r="AC26" i="9" s="1"/>
  <c r="AA7" i="9" a="1"/>
  <c r="AA7" i="9" s="1"/>
  <c r="AA26" i="9" s="1"/>
  <c r="Z7" i="9" a="1"/>
  <c r="Z7" i="9" s="1"/>
  <c r="Z26" i="9" s="1"/>
  <c r="X7" i="9" a="1"/>
  <c r="X7" i="9" s="1"/>
  <c r="X26" i="9" s="1"/>
  <c r="W7" i="9" a="1"/>
  <c r="W7" i="9" s="1"/>
  <c r="W26" i="9" s="1"/>
  <c r="U7" i="9" a="1"/>
  <c r="U7" i="9" s="1"/>
  <c r="U26" i="9" s="1"/>
  <c r="T7" i="9" a="1"/>
  <c r="T7" i="9" s="1"/>
  <c r="T26" i="9" s="1"/>
  <c r="L7" i="9" a="1"/>
  <c r="L7" i="9" s="1"/>
  <c r="L26" i="9" s="1"/>
  <c r="K7" i="9" a="1"/>
  <c r="K7" i="9" s="1"/>
  <c r="K26" i="9" s="1"/>
  <c r="I7" i="9" a="1"/>
  <c r="I7" i="9" s="1"/>
  <c r="I26" i="9" s="1"/>
  <c r="H7" i="9" a="1"/>
  <c r="H7" i="9" s="1"/>
  <c r="H26" i="9" s="1"/>
  <c r="F7" i="9" a="1"/>
  <c r="F7" i="9" s="1"/>
  <c r="F26" i="9" s="1"/>
  <c r="E7" i="9" a="1"/>
  <c r="E7" i="9" s="1"/>
  <c r="C7" i="9" a="1"/>
  <c r="C7" i="9" s="1"/>
  <c r="B7" i="9" a="1"/>
  <c r="B7" i="9" s="1"/>
  <c r="B26" i="9" s="1"/>
  <c r="AG6" i="9" a="1"/>
  <c r="AG6" i="9" s="1"/>
  <c r="AG25" i="9" s="1"/>
  <c r="AF6" i="9" a="1"/>
  <c r="AF6" i="9" s="1"/>
  <c r="AF25" i="9" s="1"/>
  <c r="AD6" i="9" a="1"/>
  <c r="AD6" i="9" s="1"/>
  <c r="AD25" i="9" s="1"/>
  <c r="AC6" i="9" a="1"/>
  <c r="AC6" i="9" s="1"/>
  <c r="AC25" i="9" s="1"/>
  <c r="I6" i="9" a="1"/>
  <c r="I6" i="9" s="1"/>
  <c r="I25" i="9" s="1"/>
  <c r="H6" i="9" a="1"/>
  <c r="H6" i="9" s="1"/>
  <c r="H25" i="9" s="1"/>
  <c r="F6" i="9" a="1"/>
  <c r="F6" i="9" s="1"/>
  <c r="F25" i="9" s="1"/>
  <c r="E6" i="9" a="1"/>
  <c r="E6" i="9" s="1"/>
  <c r="E25" i="9" s="1"/>
  <c r="C6" i="9" a="1"/>
  <c r="C6" i="9" s="1"/>
  <c r="B6" i="9" a="1"/>
  <c r="B6" i="9" s="1"/>
  <c r="B25" i="9" s="1"/>
  <c r="AG5" i="9" a="1"/>
  <c r="AG5" i="9" s="1"/>
  <c r="AG24" i="9" s="1"/>
  <c r="AF5" i="9" a="1"/>
  <c r="AF5" i="9" s="1"/>
  <c r="AF24" i="9" s="1"/>
  <c r="I5" i="9" a="1"/>
  <c r="I5" i="9" s="1"/>
  <c r="F5" i="9" a="1"/>
  <c r="F5" i="9" s="1"/>
  <c r="F24" i="9" s="1"/>
  <c r="E5" i="9" a="1"/>
  <c r="E5" i="9" s="1"/>
  <c r="E24" i="9" s="1"/>
  <c r="C5" i="9" a="1"/>
  <c r="C5" i="9" s="1"/>
  <c r="B5" i="9" a="1"/>
  <c r="B5" i="9" s="1"/>
  <c r="AG4" i="9" a="1"/>
  <c r="AG4" i="9" s="1"/>
  <c r="AG23" i="9" s="1"/>
  <c r="AF4" i="9" a="1"/>
  <c r="AF4" i="9" s="1"/>
  <c r="AF23" i="9" s="1"/>
  <c r="F4" i="9" a="1"/>
  <c r="F4" i="9" s="1"/>
  <c r="F23" i="9" s="1"/>
  <c r="E4" i="9" a="1"/>
  <c r="E4" i="9" s="1"/>
  <c r="E23" i="9" s="1"/>
  <c r="C4" i="9" a="1"/>
  <c r="C4" i="9" s="1"/>
  <c r="B4" i="9" a="1"/>
  <c r="B4" i="9" s="1"/>
  <c r="AG3" i="9" a="1"/>
  <c r="AG3" i="9" s="1"/>
  <c r="AF3" i="9" a="1"/>
  <c r="AF3" i="9" s="1"/>
  <c r="AD3" i="9" a="1"/>
  <c r="AD3" i="9" s="1"/>
  <c r="AC3" i="9" a="1"/>
  <c r="AC3" i="9" s="1"/>
  <c r="AA3" i="9" a="1"/>
  <c r="AA3" i="9" s="1"/>
  <c r="Z3" i="9" a="1"/>
  <c r="Z3" i="9" s="1"/>
  <c r="X3" i="9" a="1"/>
  <c r="X3" i="9" s="1"/>
  <c r="W3" i="9" a="1"/>
  <c r="W3" i="9" s="1"/>
  <c r="U3" i="9" a="1"/>
  <c r="U3" i="9" s="1"/>
  <c r="T3" i="9" a="1"/>
  <c r="T3" i="9" s="1"/>
  <c r="O3" i="9" a="1"/>
  <c r="O3" i="9" s="1"/>
  <c r="N3" i="9" a="1"/>
  <c r="N3" i="9" s="1"/>
  <c r="L3" i="9" a="1"/>
  <c r="L3" i="9" s="1"/>
  <c r="K3" i="9" a="1"/>
  <c r="K3" i="9" s="1"/>
  <c r="AE43" i="9"/>
  <c r="AN67" i="9" s="1"/>
  <c r="AO67" i="9" s="1"/>
  <c r="AB47" i="9"/>
  <c r="AJ71" i="9" s="1"/>
  <c r="AK71" i="9" s="1"/>
  <c r="AB45" i="9"/>
  <c r="AJ69" i="9" s="1"/>
  <c r="AK69" i="9" s="1"/>
  <c r="V44" i="9"/>
  <c r="AB68" i="9" s="1"/>
  <c r="AC68" i="9" s="1"/>
  <c r="V40" i="9"/>
  <c r="AB64" i="9" s="1"/>
  <c r="AC64" i="9" s="1"/>
  <c r="S49" i="9"/>
  <c r="X73" i="9" s="1"/>
  <c r="Y73" i="9" s="1"/>
  <c r="M44" i="9"/>
  <c r="P68" i="9" s="1"/>
  <c r="Q68" i="9" s="1"/>
  <c r="M43" i="9"/>
  <c r="P67" i="9" s="1"/>
  <c r="Q67" i="9" s="1"/>
  <c r="Y44" i="9"/>
  <c r="AF68" i="9" s="1"/>
  <c r="AG68" i="9" s="1"/>
  <c r="AC41" i="9"/>
  <c r="AL65" i="9" s="1"/>
  <c r="Z45" i="9"/>
  <c r="AH69" i="9" s="1"/>
  <c r="AI69" i="9" s="1"/>
  <c r="Z43" i="9"/>
  <c r="AH67" i="9" s="1"/>
  <c r="T43" i="9"/>
  <c r="Z67" i="9" s="1"/>
  <c r="K42" i="9"/>
  <c r="N66" i="9" s="1"/>
  <c r="K40" i="9"/>
  <c r="N64" i="9" s="1"/>
  <c r="O64" i="9" s="1"/>
  <c r="P44" i="9"/>
  <c r="T68" i="9" s="1"/>
  <c r="U68" i="9" s="1"/>
  <c r="N94" i="1" l="1"/>
  <c r="AN16" i="1"/>
  <c r="AF6" i="3"/>
  <c r="AG6" i="3"/>
  <c r="AF4" i="3"/>
  <c r="AG4" i="3"/>
  <c r="AF11" i="3"/>
  <c r="AG11" i="3"/>
  <c r="AF8" i="3"/>
  <c r="AG8" i="3"/>
  <c r="AF5" i="3"/>
  <c r="AG5" i="3"/>
  <c r="AF14" i="3"/>
  <c r="AG14" i="3"/>
  <c r="AF12" i="3"/>
  <c r="AG12" i="3"/>
  <c r="AF10" i="3"/>
  <c r="AG10" i="3"/>
  <c r="AF9" i="3"/>
  <c r="AG9" i="3"/>
  <c r="AF7" i="3"/>
  <c r="AG7" i="3"/>
  <c r="S94" i="1"/>
  <c r="AF3" i="3"/>
  <c r="AG3" i="3"/>
  <c r="V68" i="1"/>
  <c r="O20" i="1"/>
  <c r="C59" i="9"/>
  <c r="C3" i="9" s="1" a="1"/>
  <c r="C3" i="9" s="1"/>
  <c r="B3" i="9" a="1"/>
  <c r="B3" i="9" s="1"/>
  <c r="B22" i="9" s="1"/>
  <c r="AB15" i="3"/>
  <c r="AD15" i="3" s="1"/>
  <c r="AL75" i="9"/>
  <c r="AI50" i="8"/>
  <c r="O16" i="1"/>
  <c r="O10" i="1"/>
  <c r="V50" i="1"/>
  <c r="AR10" i="1"/>
  <c r="O30" i="1"/>
  <c r="AK94" i="1"/>
  <c r="R4" i="9" a="1"/>
  <c r="R4" i="9" s="1"/>
  <c r="R23" i="9" s="1"/>
  <c r="R6" i="9" a="1"/>
  <c r="R6" i="9" s="1"/>
  <c r="R25" i="9" s="1"/>
  <c r="V30" i="1"/>
  <c r="M94" i="1"/>
  <c r="M61" i="9"/>
  <c r="L75" i="9"/>
  <c r="Q63" i="9"/>
  <c r="R10" i="1"/>
  <c r="B75" i="9"/>
  <c r="D75" i="9"/>
  <c r="V20" i="1"/>
  <c r="V10" i="1"/>
  <c r="C58" i="8"/>
  <c r="AT58" i="8" s="1"/>
  <c r="K65" i="8"/>
  <c r="K64" i="8"/>
  <c r="W74" i="9"/>
  <c r="AT74" i="9" s="1"/>
  <c r="AR93" i="1"/>
  <c r="AE40" i="9"/>
  <c r="AR88" i="1"/>
  <c r="AB39" i="9"/>
  <c r="AJ63" i="9" s="1"/>
  <c r="AR78" i="1"/>
  <c r="V39" i="9"/>
  <c r="AB63" i="9" s="1"/>
  <c r="AR68" i="1"/>
  <c r="AR65" i="1"/>
  <c r="S37" i="9"/>
  <c r="X61" i="9" s="1"/>
  <c r="Q3" i="9" s="1" a="1"/>
  <c r="Q3" i="9" s="1"/>
  <c r="Q22" i="9" s="1"/>
  <c r="AR50" i="1"/>
  <c r="AR40" i="1"/>
  <c r="Y39" i="9"/>
  <c r="AF63" i="9" s="1"/>
  <c r="G51" i="9"/>
  <c r="H60" i="9"/>
  <c r="AM65" i="9"/>
  <c r="V93" i="1"/>
  <c r="AC40" i="9"/>
  <c r="AM67" i="9"/>
  <c r="AD5" i="9" s="1" a="1"/>
  <c r="AD5" i="9" s="1"/>
  <c r="AD24" i="9" s="1"/>
  <c r="AC5" i="9" a="1"/>
  <c r="AC5" i="9" s="1"/>
  <c r="AC24" i="9" s="1"/>
  <c r="V88" i="1"/>
  <c r="Z39" i="9"/>
  <c r="AH63" i="9" s="1"/>
  <c r="AI71" i="9"/>
  <c r="AA6" i="9" s="1" a="1"/>
  <c r="AA6" i="9" s="1"/>
  <c r="AA25" i="9" s="1"/>
  <c r="Z6" i="9" a="1"/>
  <c r="Z6" i="9" s="1"/>
  <c r="Z25" i="9" s="1"/>
  <c r="AI67" i="9"/>
  <c r="AA5" i="9" s="1" a="1"/>
  <c r="AA5" i="9" s="1"/>
  <c r="AA24" i="9" s="1"/>
  <c r="Z5" i="9" a="1"/>
  <c r="Z5" i="9" s="1"/>
  <c r="Z24" i="9" s="1"/>
  <c r="V78" i="1"/>
  <c r="T39" i="9"/>
  <c r="Z63" i="9" s="1"/>
  <c r="AA64" i="9"/>
  <c r="U6" i="9" a="1"/>
  <c r="U6" i="9" s="1"/>
  <c r="U25" i="9" s="1"/>
  <c r="AA67" i="9"/>
  <c r="T5" i="9" a="1"/>
  <c r="T5" i="9" s="1"/>
  <c r="T24" i="9" s="1"/>
  <c r="Q4" i="9" a="1"/>
  <c r="Q4" i="9" s="1"/>
  <c r="Q23" i="9" s="1"/>
  <c r="V73" i="9"/>
  <c r="W73" i="9" s="1"/>
  <c r="R7" i="9" s="1" a="1"/>
  <c r="R7" i="9" s="1"/>
  <c r="R26" i="9" s="1"/>
  <c r="AI49" i="9"/>
  <c r="V40" i="1"/>
  <c r="W39" i="9"/>
  <c r="AD63" i="9" s="1"/>
  <c r="X6" i="9" a="1"/>
  <c r="X6" i="9" s="1"/>
  <c r="X25" i="9" s="1"/>
  <c r="AE67" i="9"/>
  <c r="X5" i="9" s="1" a="1"/>
  <c r="X5" i="9" s="1"/>
  <c r="X24" i="9" s="1"/>
  <c r="W5" i="9" a="1"/>
  <c r="W5" i="9" s="1"/>
  <c r="W24" i="9" s="1"/>
  <c r="K63" i="9"/>
  <c r="H4" i="9"/>
  <c r="H23" i="9" s="1"/>
  <c r="H37" i="9"/>
  <c r="J61" i="9" s="1"/>
  <c r="K61" i="9" s="1"/>
  <c r="V16" i="1"/>
  <c r="W6" i="9" a="1"/>
  <c r="W6" i="9" s="1"/>
  <c r="W25" i="9" s="1"/>
  <c r="T6" i="9" a="1"/>
  <c r="T6" i="9" s="1"/>
  <c r="T25" i="9" s="1"/>
  <c r="R5" i="9" a="1"/>
  <c r="R5" i="9" s="1"/>
  <c r="R24" i="9" s="1"/>
  <c r="Q5" i="9" a="1"/>
  <c r="Q5" i="9" s="1"/>
  <c r="Q24" i="9" s="1"/>
  <c r="O66" i="9"/>
  <c r="L5" i="9" s="1" a="1"/>
  <c r="L5" i="9" s="1"/>
  <c r="K5" i="9" a="1"/>
  <c r="K5" i="9" s="1"/>
  <c r="K24" i="9" s="1"/>
  <c r="O5" i="9" a="1"/>
  <c r="O5" i="9" s="1"/>
  <c r="N5" i="9" a="1"/>
  <c r="N5" i="9" s="1"/>
  <c r="N24" i="9" s="1"/>
  <c r="N6" i="9" a="1"/>
  <c r="N6" i="9" s="1"/>
  <c r="N25" i="9" s="1"/>
  <c r="E75" i="9"/>
  <c r="Q6" i="9" a="1"/>
  <c r="Q6" i="9" s="1"/>
  <c r="Q25" i="9" s="1"/>
  <c r="M65" i="9"/>
  <c r="N7" i="9" a="1"/>
  <c r="N7" i="9" s="1"/>
  <c r="N26" i="9" s="1"/>
  <c r="O7" i="9" a="1"/>
  <c r="O7" i="9" s="1"/>
  <c r="O26" i="9" s="1"/>
  <c r="S69" i="9"/>
  <c r="O6" i="9" s="1" a="1"/>
  <c r="O6" i="9" s="1"/>
  <c r="O25" i="9" s="1"/>
  <c r="AT70" i="9"/>
  <c r="K6" i="9" a="1"/>
  <c r="K6" i="9" s="1"/>
  <c r="K25" i="9" s="1"/>
  <c r="AT58" i="9"/>
  <c r="Y27" i="9"/>
  <c r="AT62" i="9"/>
  <c r="AC51" i="9"/>
  <c r="Q51" i="9"/>
  <c r="AI45" i="9"/>
  <c r="AI42" i="9"/>
  <c r="AI43" i="9"/>
  <c r="AI44" i="9"/>
  <c r="AT68" i="9"/>
  <c r="AR30" i="1"/>
  <c r="K39" i="9"/>
  <c r="N63" i="9" s="1"/>
  <c r="N75" i="9" s="1"/>
  <c r="D51" i="9"/>
  <c r="AR16" i="1"/>
  <c r="M40" i="9"/>
  <c r="AO94" i="1"/>
  <c r="N40" i="9"/>
  <c r="E36" i="9"/>
  <c r="AI36" i="9" s="1"/>
  <c r="P40" i="9"/>
  <c r="V65" i="1"/>
  <c r="AR20" i="1"/>
  <c r="AI46" i="9"/>
  <c r="AI47" i="9"/>
  <c r="AI48" i="9"/>
  <c r="L6" i="9" a="1"/>
  <c r="L6" i="9" s="1"/>
  <c r="L25" i="9" s="1"/>
  <c r="AI41" i="9"/>
  <c r="J51" i="9"/>
  <c r="AI38" i="9"/>
  <c r="P27" i="9"/>
  <c r="S27" i="9"/>
  <c r="D27" i="9"/>
  <c r="V27" i="9"/>
  <c r="G27" i="9"/>
  <c r="AH27" i="9"/>
  <c r="J27" i="9"/>
  <c r="AB27" i="9"/>
  <c r="AE27" i="9"/>
  <c r="M27" i="9"/>
  <c r="AJ18" i="9"/>
  <c r="AI18" i="9"/>
  <c r="B51" i="9"/>
  <c r="B23" i="9"/>
  <c r="Z22" i="9"/>
  <c r="X22" i="9"/>
  <c r="C23" i="9"/>
  <c r="E26" i="9"/>
  <c r="O22" i="9"/>
  <c r="AA22" i="9"/>
  <c r="AC22" i="9"/>
  <c r="AG22" i="9"/>
  <c r="AG27" i="9" s="1"/>
  <c r="AG8" i="9"/>
  <c r="K22" i="9"/>
  <c r="W22" i="9"/>
  <c r="L22" i="9"/>
  <c r="C24" i="9"/>
  <c r="N22" i="9"/>
  <c r="AD22" i="9"/>
  <c r="H24" i="9"/>
  <c r="T22" i="9"/>
  <c r="AF22" i="9"/>
  <c r="AF27" i="9" s="1"/>
  <c r="AF8" i="9"/>
  <c r="I24" i="9"/>
  <c r="C25" i="9"/>
  <c r="U22" i="9"/>
  <c r="B24" i="9"/>
  <c r="C26" i="9"/>
  <c r="AQ94" i="1" l="1"/>
  <c r="U94" i="1"/>
  <c r="X94" i="1"/>
  <c r="AB51" i="9"/>
  <c r="AR95" i="1"/>
  <c r="AT59" i="9"/>
  <c r="V95" i="1"/>
  <c r="C75" i="9"/>
  <c r="S51" i="9"/>
  <c r="AB18" i="3"/>
  <c r="AB16" i="3"/>
  <c r="H51" i="9"/>
  <c r="AI37" i="9"/>
  <c r="W51" i="9"/>
  <c r="AT71" i="9"/>
  <c r="O94" i="1"/>
  <c r="V51" i="9"/>
  <c r="AT72" i="9"/>
  <c r="AT67" i="9"/>
  <c r="U5" i="9" a="1"/>
  <c r="U5" i="9" s="1"/>
  <c r="U24" i="9" s="1"/>
  <c r="V94" i="1"/>
  <c r="AI63" i="9"/>
  <c r="AH75" i="9"/>
  <c r="AG63" i="9"/>
  <c r="AG75" i="9" s="1"/>
  <c r="AF75" i="9"/>
  <c r="Z4" i="9" a="1"/>
  <c r="Z4" i="9" s="1"/>
  <c r="Z23" i="9" s="1"/>
  <c r="Z27" i="9" s="1"/>
  <c r="AI39" i="9"/>
  <c r="T51" i="9"/>
  <c r="Y61" i="9"/>
  <c r="X75" i="9"/>
  <c r="K75" i="9"/>
  <c r="AA63" i="9"/>
  <c r="Z75" i="9"/>
  <c r="AE63" i="9"/>
  <c r="AD75" i="9"/>
  <c r="M75" i="9"/>
  <c r="AT73" i="9"/>
  <c r="Y51" i="9"/>
  <c r="H3" i="9"/>
  <c r="J75" i="9"/>
  <c r="AM75" i="9"/>
  <c r="V75" i="9"/>
  <c r="AT66" i="9"/>
  <c r="AK63" i="9"/>
  <c r="AK75" i="9" s="1"/>
  <c r="AJ75" i="9"/>
  <c r="Z51" i="9"/>
  <c r="W4" i="9" a="1"/>
  <c r="W4" i="9" s="1"/>
  <c r="W23" i="9" s="1"/>
  <c r="W27" i="9" s="1"/>
  <c r="Q7" i="9" a="1"/>
  <c r="Q7" i="9" s="1"/>
  <c r="Q26" i="9" s="1"/>
  <c r="Q27" i="9" s="1"/>
  <c r="T4" i="9" a="1"/>
  <c r="T4" i="9" s="1"/>
  <c r="T23" i="9" s="1"/>
  <c r="T27" i="9" s="1"/>
  <c r="I60" i="9"/>
  <c r="I75" i="9" s="1"/>
  <c r="H75" i="9"/>
  <c r="AC63" i="9"/>
  <c r="AC75" i="9" s="1"/>
  <c r="AB75" i="9"/>
  <c r="W75" i="9"/>
  <c r="O24" i="9"/>
  <c r="AN64" i="9"/>
  <c r="AN75" i="9" s="1"/>
  <c r="AE51" i="9"/>
  <c r="AT65" i="9"/>
  <c r="I4" i="9"/>
  <c r="I23" i="9" s="1"/>
  <c r="I3" i="9"/>
  <c r="N51" i="9"/>
  <c r="R64" i="9"/>
  <c r="R75" i="9" s="1"/>
  <c r="AI5" i="9"/>
  <c r="AI24" i="9" s="1"/>
  <c r="AT69" i="9"/>
  <c r="E51" i="9"/>
  <c r="F60" i="9"/>
  <c r="F75" i="9" s="1"/>
  <c r="M51" i="9"/>
  <c r="P64" i="9"/>
  <c r="P75" i="9" s="1"/>
  <c r="P51" i="9"/>
  <c r="T64" i="9"/>
  <c r="T75" i="9" s="1"/>
  <c r="AJ7" i="9"/>
  <c r="AJ26" i="9" s="1"/>
  <c r="K51" i="9"/>
  <c r="AI6" i="9"/>
  <c r="AI25" i="9" s="1"/>
  <c r="B8" i="9"/>
  <c r="AI40" i="9"/>
  <c r="L24" i="9"/>
  <c r="AR94" i="1"/>
  <c r="AJ6" i="9"/>
  <c r="AJ25" i="9" s="1"/>
  <c r="B27" i="9"/>
  <c r="AR96" i="1" l="1"/>
  <c r="AR97" i="1" s="1"/>
  <c r="U95" i="1"/>
  <c r="AI7" i="9"/>
  <c r="AI26" i="9" s="1"/>
  <c r="W8" i="9"/>
  <c r="Z8" i="9"/>
  <c r="Q8" i="9"/>
  <c r="T8" i="9"/>
  <c r="R3" i="9" a="1"/>
  <c r="R3" i="9" s="1"/>
  <c r="Y75" i="9"/>
  <c r="AT61" i="9"/>
  <c r="AE75" i="9"/>
  <c r="X4" i="9" a="1"/>
  <c r="X4" i="9" s="1"/>
  <c r="H22" i="9"/>
  <c r="H27" i="9" s="1"/>
  <c r="H8" i="9"/>
  <c r="AA75" i="9"/>
  <c r="U4" i="9" a="1"/>
  <c r="U4" i="9" s="1"/>
  <c r="AI51" i="9"/>
  <c r="AI75" i="9"/>
  <c r="AA4" i="9" a="1"/>
  <c r="AA4" i="9" s="1"/>
  <c r="AO64" i="9"/>
  <c r="AO75" i="9" s="1"/>
  <c r="AC4" i="9" a="1"/>
  <c r="AC4" i="9" s="1"/>
  <c r="I22" i="9"/>
  <c r="I27" i="9" s="1"/>
  <c r="I8" i="9"/>
  <c r="Q64" i="9"/>
  <c r="Q75" i="9" s="1"/>
  <c r="U64" i="9"/>
  <c r="U75" i="9" s="1"/>
  <c r="O63" i="9"/>
  <c r="O75" i="9" s="1"/>
  <c r="K4" i="9" a="1"/>
  <c r="K4" i="9" s="1"/>
  <c r="S64" i="9"/>
  <c r="S75" i="9" s="1"/>
  <c r="N4" i="9" a="1"/>
  <c r="N4" i="9" s="1"/>
  <c r="G60" i="9"/>
  <c r="G75" i="9" s="1"/>
  <c r="E3" i="9" a="1"/>
  <c r="E3" i="9" s="1"/>
  <c r="C22" i="9"/>
  <c r="C27" i="9" s="1"/>
  <c r="C8" i="9"/>
  <c r="AJ5" i="9"/>
  <c r="AJ24" i="9" s="1"/>
  <c r="AA23" i="9" l="1"/>
  <c r="AA27" i="9" s="1"/>
  <c r="AA8" i="9"/>
  <c r="R22" i="9"/>
  <c r="R27" i="9" s="1"/>
  <c r="R8" i="9"/>
  <c r="X23" i="9"/>
  <c r="X27" i="9" s="1"/>
  <c r="X8" i="9"/>
  <c r="U23" i="9"/>
  <c r="U27" i="9" s="1"/>
  <c r="U8" i="9"/>
  <c r="AT60" i="9"/>
  <c r="AC23" i="9"/>
  <c r="AC27" i="9" s="1"/>
  <c r="AC8" i="9"/>
  <c r="AD4" i="9" a="1"/>
  <c r="AD4" i="9" s="1"/>
  <c r="N23" i="9"/>
  <c r="N27" i="9" s="1"/>
  <c r="N8" i="9"/>
  <c r="O4" i="9" a="1"/>
  <c r="O4" i="9" s="1"/>
  <c r="O8" i="9" s="1"/>
  <c r="AT64" i="9"/>
  <c r="L4" i="9" a="1"/>
  <c r="L4" i="9" s="1"/>
  <c r="F3" i="9" a="1"/>
  <c r="F3" i="9" s="1"/>
  <c r="AT63" i="9"/>
  <c r="E22" i="9"/>
  <c r="E27" i="9" s="1"/>
  <c r="E8" i="9"/>
  <c r="AI3" i="9"/>
  <c r="K23" i="9"/>
  <c r="K27" i="9" s="1"/>
  <c r="AI4" i="9"/>
  <c r="AI23" i="9" s="1"/>
  <c r="K8" i="9"/>
  <c r="AT75" i="9" l="1"/>
  <c r="AD23" i="9"/>
  <c r="AD27" i="9" s="1"/>
  <c r="AD8" i="9"/>
  <c r="L23" i="9"/>
  <c r="L27" i="9" s="1"/>
  <c r="AJ4" i="9"/>
  <c r="AJ23" i="9" s="1"/>
  <c r="L8" i="9"/>
  <c r="AI22" i="9"/>
  <c r="AI27" i="9" s="1"/>
  <c r="AI8" i="9"/>
  <c r="O23" i="9"/>
  <c r="O27" i="9" s="1"/>
  <c r="F22" i="9"/>
  <c r="F27" i="9" s="1"/>
  <c r="F8" i="9"/>
  <c r="AJ3" i="9"/>
  <c r="AJ22" i="9" l="1"/>
  <c r="AJ27" i="9" s="1"/>
  <c r="AJ8" i="9"/>
  <c r="H10" i="3" l="1" a="1"/>
  <c r="H10" i="3" s="1"/>
  <c r="H11" i="3" a="1"/>
  <c r="H11" i="3" s="1"/>
  <c r="AN20" i="1" l="1"/>
  <c r="Z15" i="3"/>
  <c r="Z17" i="3" s="1"/>
  <c r="Z18" i="3" s="1"/>
  <c r="AD9" i="1"/>
  <c r="AE9" i="1" s="1"/>
  <c r="I14" i="4"/>
  <c r="H14" i="3" a="1"/>
  <c r="H14" i="3" s="1"/>
  <c r="H13" i="3" a="1"/>
  <c r="H13" i="3" s="1"/>
  <c r="H12" i="3" a="1"/>
  <c r="H12" i="3" s="1"/>
  <c r="E5" i="4"/>
  <c r="V6" i="4"/>
  <c r="AD6" i="1" s="1"/>
  <c r="AE6" i="1" s="1"/>
  <c r="D35" i="8" s="1"/>
  <c r="V7" i="4"/>
  <c r="AD7" i="1" s="1"/>
  <c r="AE7" i="1" s="1"/>
  <c r="D37" i="8" s="1"/>
  <c r="D61" i="8" s="1"/>
  <c r="E61" i="8" s="1"/>
  <c r="V8" i="4"/>
  <c r="AD8" i="1" s="1"/>
  <c r="AE8" i="1" s="1"/>
  <c r="D38" i="8" s="1"/>
  <c r="D62" i="8" s="1"/>
  <c r="E62" i="8" s="1"/>
  <c r="V9" i="4"/>
  <c r="V10" i="4"/>
  <c r="AD11" i="1" s="1"/>
  <c r="V11" i="4"/>
  <c r="AD12" i="1" s="1"/>
  <c r="AE12" i="1" s="1"/>
  <c r="J38" i="8" s="1"/>
  <c r="L62" i="8" s="1"/>
  <c r="V12" i="4"/>
  <c r="AD14" i="1" s="1"/>
  <c r="AE14" i="1" s="1"/>
  <c r="J40" i="8" s="1"/>
  <c r="L64" i="8" s="1"/>
  <c r="V13" i="4"/>
  <c r="AD15" i="1" s="1"/>
  <c r="AE15" i="1" s="1"/>
  <c r="J41" i="8" s="1"/>
  <c r="L65" i="8" s="1"/>
  <c r="V14" i="4"/>
  <c r="AD13" i="1" s="1"/>
  <c r="AE13" i="1" s="1"/>
  <c r="J39" i="8" s="1"/>
  <c r="L63" i="8" s="1"/>
  <c r="V15" i="4"/>
  <c r="AD17" i="1" s="1"/>
  <c r="AE17" i="1" s="1"/>
  <c r="V16" i="4"/>
  <c r="AD18" i="1" s="1"/>
  <c r="AE18" i="1" s="1"/>
  <c r="G37" i="8" s="1"/>
  <c r="H61" i="8" s="1"/>
  <c r="I61" i="8" s="1"/>
  <c r="V17" i="4"/>
  <c r="AD19" i="1" s="1"/>
  <c r="AE19" i="1" s="1"/>
  <c r="G38" i="8" s="1"/>
  <c r="H62" i="8" s="1"/>
  <c r="I62" i="8" s="1"/>
  <c r="V18" i="4"/>
  <c r="V19" i="4"/>
  <c r="V20" i="4"/>
  <c r="V21" i="4"/>
  <c r="V22" i="4"/>
  <c r="V23" i="4"/>
  <c r="AD24" i="1" s="1"/>
  <c r="AE24" i="1" s="1"/>
  <c r="P43" i="8" s="1"/>
  <c r="T67" i="8" s="1"/>
  <c r="V24" i="4"/>
  <c r="AD29" i="1" s="1"/>
  <c r="AE29" i="1" s="1"/>
  <c r="P48" i="8" s="1"/>
  <c r="T72" i="8" s="1"/>
  <c r="V25" i="4"/>
  <c r="AD28" i="1" s="1"/>
  <c r="AE28" i="1" s="1"/>
  <c r="P47" i="8" s="1"/>
  <c r="T71" i="8" s="1"/>
  <c r="V26" i="4"/>
  <c r="AD21" i="1" s="1"/>
  <c r="AE21" i="1" s="1"/>
  <c r="V27" i="4"/>
  <c r="AD25" i="1" s="1"/>
  <c r="AE25" i="1" s="1"/>
  <c r="P44" i="8" s="1"/>
  <c r="T68" i="8" s="1"/>
  <c r="V28" i="4"/>
  <c r="AD22" i="1" s="1"/>
  <c r="AE22" i="1" s="1"/>
  <c r="P41" i="8" s="1"/>
  <c r="T65" i="8" s="1"/>
  <c r="V29" i="4"/>
  <c r="AD27" i="1" s="1"/>
  <c r="AE27" i="1" s="1"/>
  <c r="P46" i="8" s="1"/>
  <c r="T70" i="8" s="1"/>
  <c r="V30" i="4"/>
  <c r="AD26" i="1" s="1"/>
  <c r="AE26" i="1" s="1"/>
  <c r="P45" i="8" s="1"/>
  <c r="T69" i="8" s="1"/>
  <c r="V31" i="4"/>
  <c r="AD23" i="1" s="1"/>
  <c r="AE23" i="1" s="1"/>
  <c r="P42" i="8" s="1"/>
  <c r="T66" i="8" s="1"/>
  <c r="V32" i="4"/>
  <c r="AD35" i="1" s="1"/>
  <c r="AE35" i="1" s="1"/>
  <c r="Y43" i="8" s="1"/>
  <c r="AF67" i="8" s="1"/>
  <c r="V33" i="4"/>
  <c r="AD39" i="1" s="1"/>
  <c r="AE39" i="1" s="1"/>
  <c r="Y47" i="8" s="1"/>
  <c r="AF71" i="8" s="1"/>
  <c r="V34" i="4"/>
  <c r="AD32" i="1" s="1"/>
  <c r="AE32" i="1" s="1"/>
  <c r="Y40" i="8" s="1"/>
  <c r="AF64" i="8" s="1"/>
  <c r="V35" i="4"/>
  <c r="AD36" i="1" s="1"/>
  <c r="AE36" i="1" s="1"/>
  <c r="Y44" i="8" s="1"/>
  <c r="AF68" i="8" s="1"/>
  <c r="V36" i="4"/>
  <c r="AD33" i="1" s="1"/>
  <c r="AE33" i="1" s="1"/>
  <c r="Y41" i="8" s="1"/>
  <c r="AF65" i="8" s="1"/>
  <c r="V37" i="4"/>
  <c r="AD38" i="1" s="1"/>
  <c r="AE38" i="1" s="1"/>
  <c r="Y46" i="8" s="1"/>
  <c r="AF70" i="8" s="1"/>
  <c r="V38" i="4"/>
  <c r="AD37" i="1" s="1"/>
  <c r="AE37" i="1" s="1"/>
  <c r="Y45" i="8" s="1"/>
  <c r="AF69" i="8" s="1"/>
  <c r="V39" i="4"/>
  <c r="AD34" i="1" s="1"/>
  <c r="AE34" i="1" s="1"/>
  <c r="Y42" i="8" s="1"/>
  <c r="AF66" i="8" s="1"/>
  <c r="V40" i="4"/>
  <c r="AD31" i="1" s="1"/>
  <c r="AE31" i="1" s="1"/>
  <c r="V41" i="4"/>
  <c r="AD45" i="1" s="1"/>
  <c r="AE45" i="1" s="1"/>
  <c r="M43" i="8" s="1"/>
  <c r="P67" i="8" s="1"/>
  <c r="V42" i="4"/>
  <c r="AD49" i="1" s="1"/>
  <c r="AE49" i="1" s="1"/>
  <c r="M47" i="8" s="1"/>
  <c r="P71" i="8" s="1"/>
  <c r="V43" i="4"/>
  <c r="AD42" i="1" s="1"/>
  <c r="AE42" i="1" s="1"/>
  <c r="M40" i="8" s="1"/>
  <c r="P64" i="8" s="1"/>
  <c r="V44" i="4"/>
  <c r="AD46" i="1" s="1"/>
  <c r="AE46" i="1" s="1"/>
  <c r="M44" i="8" s="1"/>
  <c r="P68" i="8" s="1"/>
  <c r="V45" i="4"/>
  <c r="AD43" i="1" s="1"/>
  <c r="AE43" i="1" s="1"/>
  <c r="M41" i="8" s="1"/>
  <c r="P65" i="8" s="1"/>
  <c r="V46" i="4"/>
  <c r="AD48" i="1" s="1"/>
  <c r="AE48" i="1" s="1"/>
  <c r="M46" i="8" s="1"/>
  <c r="P70" i="8" s="1"/>
  <c r="V47" i="4"/>
  <c r="AD47" i="1" s="1"/>
  <c r="AE47" i="1" s="1"/>
  <c r="M45" i="8" s="1"/>
  <c r="P69" i="8" s="1"/>
  <c r="V48" i="4"/>
  <c r="AD44" i="1" s="1"/>
  <c r="AE44" i="1" s="1"/>
  <c r="M42" i="8" s="1"/>
  <c r="P66" i="8" s="1"/>
  <c r="V49" i="4"/>
  <c r="AD41" i="1" s="1"/>
  <c r="AE41" i="1" s="1"/>
  <c r="V50" i="4"/>
  <c r="AD51" i="1" s="1"/>
  <c r="AE51" i="1" s="1"/>
  <c r="V51" i="4"/>
  <c r="AD57" i="1" s="1"/>
  <c r="AE57" i="1" s="1"/>
  <c r="S43" i="8" s="1"/>
  <c r="X67" i="8" s="1"/>
  <c r="V52" i="4"/>
  <c r="AD63" i="1" s="1"/>
  <c r="AE63" i="1" s="1"/>
  <c r="S49" i="8" s="1"/>
  <c r="X73" i="8" s="1"/>
  <c r="V53" i="4"/>
  <c r="AD52" i="1" s="1"/>
  <c r="AE52" i="1" s="1"/>
  <c r="S38" i="8" s="1"/>
  <c r="X62" i="8" s="1"/>
  <c r="V54" i="4"/>
  <c r="AD62" i="1" s="1"/>
  <c r="AE62" i="1" s="1"/>
  <c r="S48" i="8" s="1"/>
  <c r="X72" i="8" s="1"/>
  <c r="V55" i="4"/>
  <c r="AD61" i="1" s="1"/>
  <c r="AE61" i="1" s="1"/>
  <c r="S47" i="8" s="1"/>
  <c r="X71" i="8" s="1"/>
  <c r="V56" i="4"/>
  <c r="AD54" i="1" s="1"/>
  <c r="AE54" i="1" s="1"/>
  <c r="S40" i="8" s="1"/>
  <c r="X64" i="8" s="1"/>
  <c r="V57" i="4"/>
  <c r="AD58" i="1" s="1"/>
  <c r="AE58" i="1" s="1"/>
  <c r="S44" i="8" s="1"/>
  <c r="X68" i="8" s="1"/>
  <c r="V58" i="4"/>
  <c r="AD55" i="1" s="1"/>
  <c r="AE55" i="1" s="1"/>
  <c r="S41" i="8" s="1"/>
  <c r="X65" i="8" s="1"/>
  <c r="V59" i="4"/>
  <c r="AD60" i="1" s="1"/>
  <c r="AE60" i="1" s="1"/>
  <c r="S46" i="8" s="1"/>
  <c r="X70" i="8" s="1"/>
  <c r="V60" i="4"/>
  <c r="AD59" i="1" s="1"/>
  <c r="AE59" i="1" s="1"/>
  <c r="S45" i="8" s="1"/>
  <c r="X69" i="8" s="1"/>
  <c r="V61" i="4"/>
  <c r="AD56" i="1" s="1"/>
  <c r="AE56" i="1" s="1"/>
  <c r="S42" i="8" s="1"/>
  <c r="X66" i="8" s="1"/>
  <c r="V62" i="4"/>
  <c r="AD53" i="1" s="1"/>
  <c r="AE53" i="1" s="1"/>
  <c r="S39" i="8" s="1"/>
  <c r="X63" i="8" s="1"/>
  <c r="V63" i="4"/>
  <c r="AD66" i="1" s="1"/>
  <c r="AE66" i="1" s="1"/>
  <c r="V64" i="4"/>
  <c r="AD67" i="1" s="1"/>
  <c r="AE67" i="1" s="1"/>
  <c r="V65" i="4"/>
  <c r="AD73" i="1" s="1"/>
  <c r="AE73" i="1" s="1"/>
  <c r="V43" i="8" s="1"/>
  <c r="AB67" i="8" s="1"/>
  <c r="V66" i="4"/>
  <c r="AD77" i="1" s="1"/>
  <c r="AE77" i="1" s="1"/>
  <c r="V47" i="8" s="1"/>
  <c r="AB71" i="8" s="1"/>
  <c r="V67" i="4"/>
  <c r="AD70" i="1" s="1"/>
  <c r="AE70" i="1" s="1"/>
  <c r="V40" i="8" s="1"/>
  <c r="AB64" i="8" s="1"/>
  <c r="V68" i="4"/>
  <c r="AD74" i="1" s="1"/>
  <c r="AE74" i="1" s="1"/>
  <c r="V44" i="8" s="1"/>
  <c r="AB68" i="8" s="1"/>
  <c r="V69" i="4"/>
  <c r="AD71" i="1" s="1"/>
  <c r="AE71" i="1" s="1"/>
  <c r="V41" i="8" s="1"/>
  <c r="AB65" i="8" s="1"/>
  <c r="V70" i="4"/>
  <c r="AD76" i="1" s="1"/>
  <c r="AE76" i="1" s="1"/>
  <c r="V46" i="8" s="1"/>
  <c r="AB70" i="8" s="1"/>
  <c r="V71" i="4"/>
  <c r="AD75" i="1" s="1"/>
  <c r="AE75" i="1" s="1"/>
  <c r="V45" i="8" s="1"/>
  <c r="AB69" i="8" s="1"/>
  <c r="V72" i="4"/>
  <c r="AD72" i="1" s="1"/>
  <c r="AE72" i="1" s="1"/>
  <c r="V42" i="8" s="1"/>
  <c r="AB66" i="8" s="1"/>
  <c r="V73" i="4"/>
  <c r="AD69" i="1" s="1"/>
  <c r="AE69" i="1" s="1"/>
  <c r="V74" i="4"/>
  <c r="AD83" i="1" s="1"/>
  <c r="AE83" i="1" s="1"/>
  <c r="AB43" i="8" s="1"/>
  <c r="AJ67" i="8" s="1"/>
  <c r="V75" i="4"/>
  <c r="AD87" i="1" s="1"/>
  <c r="AE87" i="1" s="1"/>
  <c r="AB47" i="8" s="1"/>
  <c r="AJ71" i="8" s="1"/>
  <c r="V76" i="4"/>
  <c r="AD80" i="1" s="1"/>
  <c r="AE80" i="1" s="1"/>
  <c r="AB40" i="8" s="1"/>
  <c r="AJ64" i="8" s="1"/>
  <c r="V77" i="4"/>
  <c r="AD84" i="1" s="1"/>
  <c r="AE84" i="1" s="1"/>
  <c r="AB44" i="8" s="1"/>
  <c r="AJ68" i="8" s="1"/>
  <c r="V78" i="4"/>
  <c r="AD81" i="1" s="1"/>
  <c r="AE81" i="1" s="1"/>
  <c r="AB41" i="8" s="1"/>
  <c r="AJ65" i="8" s="1"/>
  <c r="V79" i="4"/>
  <c r="AD86" i="1" s="1"/>
  <c r="AE86" i="1" s="1"/>
  <c r="AB46" i="8" s="1"/>
  <c r="AJ70" i="8" s="1"/>
  <c r="V80" i="4"/>
  <c r="AD85" i="1" s="1"/>
  <c r="AE85" i="1" s="1"/>
  <c r="AB45" i="8" s="1"/>
  <c r="AJ69" i="8" s="1"/>
  <c r="V81" i="4"/>
  <c r="AD82" i="1" s="1"/>
  <c r="AE82" i="1" s="1"/>
  <c r="AB42" i="8" s="1"/>
  <c r="AJ66" i="8" s="1"/>
  <c r="V82" i="4"/>
  <c r="AD79" i="1" s="1"/>
  <c r="AE79" i="1" s="1"/>
  <c r="V83" i="4"/>
  <c r="AD92" i="1" s="1"/>
  <c r="AE92" i="1" s="1"/>
  <c r="AE43" i="8" s="1"/>
  <c r="AN67" i="8" s="1"/>
  <c r="V84" i="4"/>
  <c r="AD89" i="1" s="1"/>
  <c r="AE89" i="1" s="1"/>
  <c r="V85" i="4"/>
  <c r="AD90" i="1" s="1"/>
  <c r="AE90" i="1" s="1"/>
  <c r="AE41" i="8" s="1"/>
  <c r="AN65" i="8" s="1"/>
  <c r="V86" i="4"/>
  <c r="AD91" i="1" s="1"/>
  <c r="AE91" i="1" s="1"/>
  <c r="AE42" i="8" s="1"/>
  <c r="AN66" i="8" s="1"/>
  <c r="V5" i="4"/>
  <c r="T5" i="4"/>
  <c r="K6" i="4"/>
  <c r="H6" i="1" s="1"/>
  <c r="I6" i="1" s="1"/>
  <c r="B35" i="8" s="1"/>
  <c r="K7" i="4"/>
  <c r="H7" i="1" s="1"/>
  <c r="I7" i="1" s="1"/>
  <c r="B37" i="8" s="1"/>
  <c r="B61" i="8" s="1"/>
  <c r="C61" i="8" s="1"/>
  <c r="K8" i="4"/>
  <c r="H8" i="1" s="1"/>
  <c r="I8" i="1" s="1"/>
  <c r="B38" i="8" s="1"/>
  <c r="B62" i="8" s="1"/>
  <c r="C62" i="8" s="1"/>
  <c r="K9" i="4"/>
  <c r="H9" i="1" s="1"/>
  <c r="I9" i="1" s="1"/>
  <c r="K10" i="4"/>
  <c r="H11" i="1" s="1"/>
  <c r="I11" i="1" s="1"/>
  <c r="K11" i="4"/>
  <c r="H12" i="1" s="1"/>
  <c r="I12" i="1" s="1"/>
  <c r="H38" i="8" s="1"/>
  <c r="J62" i="8" s="1"/>
  <c r="K62" i="8" s="1"/>
  <c r="K12" i="4"/>
  <c r="H14" i="1" s="1"/>
  <c r="I14" i="1" s="1"/>
  <c r="K13" i="4"/>
  <c r="H15" i="1" s="1"/>
  <c r="I15" i="1" s="1"/>
  <c r="K14" i="4"/>
  <c r="H13" i="1" s="1"/>
  <c r="I13" i="1" s="1"/>
  <c r="H39" i="8" s="1"/>
  <c r="J63" i="8" s="1"/>
  <c r="K15" i="4"/>
  <c r="H17" i="1" s="1"/>
  <c r="K16" i="4"/>
  <c r="H18" i="1" s="1"/>
  <c r="I18" i="1" s="1"/>
  <c r="E37" i="8" s="1"/>
  <c r="F61" i="8" s="1"/>
  <c r="G61" i="8" s="1"/>
  <c r="K17" i="4"/>
  <c r="H19" i="1" s="1"/>
  <c r="I19" i="1" s="1"/>
  <c r="E38" i="8" s="1"/>
  <c r="F62" i="8" s="1"/>
  <c r="G62" i="8" s="1"/>
  <c r="K18" i="4"/>
  <c r="K19" i="4"/>
  <c r="K20" i="4"/>
  <c r="K21" i="4"/>
  <c r="K22" i="4"/>
  <c r="K23" i="4"/>
  <c r="H24" i="1" s="1"/>
  <c r="I24" i="1" s="1"/>
  <c r="N43" i="8" s="1"/>
  <c r="R67" i="8" s="1"/>
  <c r="K24" i="4"/>
  <c r="H29" i="1" s="1"/>
  <c r="I29" i="1" s="1"/>
  <c r="K25" i="4"/>
  <c r="H28" i="1" s="1"/>
  <c r="I28" i="1" s="1"/>
  <c r="N47" i="8" s="1"/>
  <c r="R71" i="8" s="1"/>
  <c r="K26" i="4"/>
  <c r="H21" i="1" s="1"/>
  <c r="I21" i="1" s="1"/>
  <c r="K27" i="4"/>
  <c r="H25" i="1" s="1"/>
  <c r="I25" i="1" s="1"/>
  <c r="N44" i="8" s="1"/>
  <c r="R68" i="8" s="1"/>
  <c r="K28" i="4"/>
  <c r="H22" i="1" s="1"/>
  <c r="I22" i="1" s="1"/>
  <c r="N41" i="8" s="1"/>
  <c r="R65" i="8" s="1"/>
  <c r="K29" i="4"/>
  <c r="H27" i="1" s="1"/>
  <c r="I27" i="1" s="1"/>
  <c r="N46" i="8" s="1"/>
  <c r="R70" i="8" s="1"/>
  <c r="K30" i="4"/>
  <c r="H26" i="1" s="1"/>
  <c r="I26" i="1" s="1"/>
  <c r="N45" i="8" s="1"/>
  <c r="R69" i="8" s="1"/>
  <c r="K31" i="4"/>
  <c r="H23" i="1" s="1"/>
  <c r="I23" i="1" s="1"/>
  <c r="N42" i="8" s="1"/>
  <c r="R66" i="8" s="1"/>
  <c r="K32" i="4"/>
  <c r="H35" i="1" s="1"/>
  <c r="I35" i="1" s="1"/>
  <c r="W43" i="8" s="1"/>
  <c r="AD67" i="8" s="1"/>
  <c r="K33" i="4"/>
  <c r="H39" i="1" s="1"/>
  <c r="I39" i="1" s="1"/>
  <c r="W47" i="8" s="1"/>
  <c r="AD71" i="8" s="1"/>
  <c r="K34" i="4"/>
  <c r="H32" i="1" s="1"/>
  <c r="I32" i="1" s="1"/>
  <c r="W40" i="8" s="1"/>
  <c r="AD64" i="8" s="1"/>
  <c r="K35" i="4"/>
  <c r="H36" i="1" s="1"/>
  <c r="I36" i="1" s="1"/>
  <c r="W44" i="8" s="1"/>
  <c r="AD68" i="8" s="1"/>
  <c r="K36" i="4"/>
  <c r="H33" i="1" s="1"/>
  <c r="I33" i="1" s="1"/>
  <c r="W41" i="8" s="1"/>
  <c r="AD65" i="8" s="1"/>
  <c r="K37" i="4"/>
  <c r="H38" i="1" s="1"/>
  <c r="I38" i="1" s="1"/>
  <c r="W46" i="8" s="1"/>
  <c r="AD70" i="8" s="1"/>
  <c r="K38" i="4"/>
  <c r="H37" i="1" s="1"/>
  <c r="I37" i="1" s="1"/>
  <c r="W45" i="8" s="1"/>
  <c r="AD69" i="8" s="1"/>
  <c r="K39" i="4"/>
  <c r="H34" i="1" s="1"/>
  <c r="I34" i="1" s="1"/>
  <c r="W42" i="8" s="1"/>
  <c r="AD66" i="8" s="1"/>
  <c r="K40" i="4"/>
  <c r="H31" i="1" s="1"/>
  <c r="I31" i="1" s="1"/>
  <c r="K41" i="4"/>
  <c r="H45" i="1" s="1"/>
  <c r="I45" i="1" s="1"/>
  <c r="K43" i="8" s="1"/>
  <c r="N67" i="8" s="1"/>
  <c r="K42" i="4"/>
  <c r="H49" i="1" s="1"/>
  <c r="I49" i="1" s="1"/>
  <c r="K47" i="8" s="1"/>
  <c r="N71" i="8" s="1"/>
  <c r="K43" i="4"/>
  <c r="H42" i="1" s="1"/>
  <c r="I42" i="1" s="1"/>
  <c r="K40" i="8" s="1"/>
  <c r="N64" i="8" s="1"/>
  <c r="K44" i="4"/>
  <c r="H46" i="1" s="1"/>
  <c r="I46" i="1" s="1"/>
  <c r="K44" i="8" s="1"/>
  <c r="N68" i="8" s="1"/>
  <c r="K45" i="4"/>
  <c r="H43" i="1" s="1"/>
  <c r="I43" i="1" s="1"/>
  <c r="K41" i="8" s="1"/>
  <c r="N65" i="8" s="1"/>
  <c r="K46" i="4"/>
  <c r="H48" i="1" s="1"/>
  <c r="I48" i="1" s="1"/>
  <c r="K46" i="8" s="1"/>
  <c r="N70" i="8" s="1"/>
  <c r="K47" i="4"/>
  <c r="H47" i="1" s="1"/>
  <c r="I47" i="1" s="1"/>
  <c r="K45" i="8" s="1"/>
  <c r="N69" i="8" s="1"/>
  <c r="K48" i="4"/>
  <c r="H44" i="1" s="1"/>
  <c r="I44" i="1" s="1"/>
  <c r="K42" i="8" s="1"/>
  <c r="N66" i="8" s="1"/>
  <c r="K49" i="4"/>
  <c r="H41" i="1" s="1"/>
  <c r="I41" i="1" s="1"/>
  <c r="K50" i="4"/>
  <c r="H51" i="1" s="1"/>
  <c r="I51" i="1" s="1"/>
  <c r="K51" i="4"/>
  <c r="H57" i="1" s="1"/>
  <c r="I57" i="1" s="1"/>
  <c r="Q43" i="8" s="1"/>
  <c r="V67" i="8" s="1"/>
  <c r="K52" i="4"/>
  <c r="H63" i="1" s="1"/>
  <c r="I63" i="1" s="1"/>
  <c r="Q49" i="8" s="1"/>
  <c r="V73" i="8" s="1"/>
  <c r="K53" i="4"/>
  <c r="H52" i="1" s="1"/>
  <c r="I52" i="1" s="1"/>
  <c r="Q38" i="8" s="1"/>
  <c r="V62" i="8" s="1"/>
  <c r="K54" i="4"/>
  <c r="H62" i="1" s="1"/>
  <c r="I62" i="1" s="1"/>
  <c r="Q48" i="8" s="1"/>
  <c r="V72" i="8" s="1"/>
  <c r="K55" i="4"/>
  <c r="H61" i="1" s="1"/>
  <c r="I61" i="1" s="1"/>
  <c r="Q47" i="8" s="1"/>
  <c r="V71" i="8" s="1"/>
  <c r="K56" i="4"/>
  <c r="H54" i="1" s="1"/>
  <c r="I54" i="1" s="1"/>
  <c r="Q40" i="8" s="1"/>
  <c r="V64" i="8" s="1"/>
  <c r="K57" i="4"/>
  <c r="H58" i="1" s="1"/>
  <c r="I58" i="1" s="1"/>
  <c r="Q44" i="8" s="1"/>
  <c r="V68" i="8" s="1"/>
  <c r="K58" i="4"/>
  <c r="H55" i="1" s="1"/>
  <c r="I55" i="1" s="1"/>
  <c r="Q41" i="8" s="1"/>
  <c r="V65" i="8" s="1"/>
  <c r="K59" i="4"/>
  <c r="H60" i="1" s="1"/>
  <c r="I60" i="1" s="1"/>
  <c r="Q46" i="8" s="1"/>
  <c r="V70" i="8" s="1"/>
  <c r="K60" i="4"/>
  <c r="H59" i="1" s="1"/>
  <c r="I59" i="1" s="1"/>
  <c r="Q45" i="8" s="1"/>
  <c r="V69" i="8" s="1"/>
  <c r="K61" i="4"/>
  <c r="H56" i="1" s="1"/>
  <c r="I56" i="1" s="1"/>
  <c r="Q42" i="8" s="1"/>
  <c r="V66" i="8" s="1"/>
  <c r="K62" i="4"/>
  <c r="H53" i="1" s="1"/>
  <c r="I53" i="1" s="1"/>
  <c r="Q39" i="8" s="1"/>
  <c r="V63" i="8" s="1"/>
  <c r="K63" i="4"/>
  <c r="H66" i="1" s="1"/>
  <c r="I66" i="1" s="1"/>
  <c r="K64" i="4"/>
  <c r="H67" i="1" s="1"/>
  <c r="I67" i="1" s="1"/>
  <c r="K65" i="4"/>
  <c r="H73" i="1" s="1"/>
  <c r="I73" i="1" s="1"/>
  <c r="T43" i="8" s="1"/>
  <c r="Z67" i="8" s="1"/>
  <c r="K66" i="4"/>
  <c r="H77" i="1" s="1"/>
  <c r="I77" i="1" s="1"/>
  <c r="T47" i="8" s="1"/>
  <c r="Z71" i="8" s="1"/>
  <c r="K67" i="4"/>
  <c r="H70" i="1" s="1"/>
  <c r="I70" i="1" s="1"/>
  <c r="T40" i="8" s="1"/>
  <c r="Z64" i="8" s="1"/>
  <c r="K68" i="4"/>
  <c r="H74" i="1" s="1"/>
  <c r="I74" i="1" s="1"/>
  <c r="T44" i="8" s="1"/>
  <c r="Z68" i="8" s="1"/>
  <c r="K69" i="4"/>
  <c r="H71" i="1" s="1"/>
  <c r="I71" i="1" s="1"/>
  <c r="T41" i="8" s="1"/>
  <c r="Z65" i="8" s="1"/>
  <c r="K70" i="4"/>
  <c r="H76" i="1" s="1"/>
  <c r="I76" i="1" s="1"/>
  <c r="T46" i="8" s="1"/>
  <c r="Z70" i="8" s="1"/>
  <c r="K71" i="4"/>
  <c r="H75" i="1" s="1"/>
  <c r="I75" i="1" s="1"/>
  <c r="T45" i="8" s="1"/>
  <c r="Z69" i="8" s="1"/>
  <c r="K72" i="4"/>
  <c r="H72" i="1" s="1"/>
  <c r="I72" i="1" s="1"/>
  <c r="T42" i="8" s="1"/>
  <c r="Z66" i="8" s="1"/>
  <c r="K73" i="4"/>
  <c r="H69" i="1" s="1"/>
  <c r="I69" i="1" s="1"/>
  <c r="K74" i="4"/>
  <c r="H83" i="1" s="1"/>
  <c r="I83" i="1" s="1"/>
  <c r="Z43" i="8" s="1"/>
  <c r="AH67" i="8" s="1"/>
  <c r="K75" i="4"/>
  <c r="H87" i="1" s="1"/>
  <c r="I87" i="1" s="1"/>
  <c r="Z47" i="8" s="1"/>
  <c r="AH71" i="8" s="1"/>
  <c r="K76" i="4"/>
  <c r="H80" i="1" s="1"/>
  <c r="I80" i="1" s="1"/>
  <c r="Z40" i="8" s="1"/>
  <c r="AH64" i="8" s="1"/>
  <c r="K77" i="4"/>
  <c r="H84" i="1" s="1"/>
  <c r="I84" i="1" s="1"/>
  <c r="Z44" i="8" s="1"/>
  <c r="AH68" i="8" s="1"/>
  <c r="K78" i="4"/>
  <c r="H81" i="1" s="1"/>
  <c r="I81" i="1" s="1"/>
  <c r="Z41" i="8" s="1"/>
  <c r="AH65" i="8" s="1"/>
  <c r="K79" i="4"/>
  <c r="H86" i="1" s="1"/>
  <c r="I86" i="1" s="1"/>
  <c r="Z46" i="8" s="1"/>
  <c r="AH70" i="8" s="1"/>
  <c r="K80" i="4"/>
  <c r="H85" i="1" s="1"/>
  <c r="I85" i="1" s="1"/>
  <c r="Z45" i="8" s="1"/>
  <c r="AH69" i="8" s="1"/>
  <c r="K81" i="4"/>
  <c r="H82" i="1" s="1"/>
  <c r="I82" i="1" s="1"/>
  <c r="Z42" i="8" s="1"/>
  <c r="AH66" i="8" s="1"/>
  <c r="K82" i="4"/>
  <c r="H79" i="1" s="1"/>
  <c r="I79" i="1" s="1"/>
  <c r="K83" i="4"/>
  <c r="H92" i="1" s="1"/>
  <c r="I92" i="1" s="1"/>
  <c r="AC43" i="8" s="1"/>
  <c r="AL67" i="8" s="1"/>
  <c r="K84" i="4"/>
  <c r="H89" i="1" s="1"/>
  <c r="I89" i="1" s="1"/>
  <c r="H90" i="1"/>
  <c r="I90" i="1" s="1"/>
  <c r="AC41" i="8" s="1"/>
  <c r="AL65" i="8" s="1"/>
  <c r="K86" i="4"/>
  <c r="H91" i="1" s="1"/>
  <c r="I91" i="1" s="1"/>
  <c r="AC42" i="8" s="1"/>
  <c r="AL66" i="8" s="1"/>
  <c r="K5" i="4"/>
  <c r="H5" i="1" s="1"/>
  <c r="I5" i="1" s="1"/>
  <c r="AE11" i="1" l="1"/>
  <c r="AE16" i="1" s="1"/>
  <c r="AD16" i="1"/>
  <c r="AD68" i="1"/>
  <c r="AE68" i="1"/>
  <c r="I10" i="1"/>
  <c r="B36" i="8"/>
  <c r="B60" i="8" s="1"/>
  <c r="C60" i="8" s="1"/>
  <c r="I88" i="1"/>
  <c r="Z39" i="8"/>
  <c r="I78" i="1"/>
  <c r="T39" i="8"/>
  <c r="I65" i="1"/>
  <c r="Q37" i="8"/>
  <c r="I50" i="1"/>
  <c r="K39" i="8"/>
  <c r="AT66" i="8"/>
  <c r="AT69" i="8"/>
  <c r="AT70" i="8"/>
  <c r="AT71" i="8"/>
  <c r="AT67" i="8"/>
  <c r="I30" i="1"/>
  <c r="N40" i="8"/>
  <c r="K63" i="8"/>
  <c r="I16" i="1"/>
  <c r="H37" i="8"/>
  <c r="AE93" i="1"/>
  <c r="AE40" i="8"/>
  <c r="AE88" i="1"/>
  <c r="AB39" i="8"/>
  <c r="AE78" i="1"/>
  <c r="V39" i="8"/>
  <c r="AE50" i="1"/>
  <c r="M39" i="8"/>
  <c r="AE30" i="1"/>
  <c r="P40" i="8"/>
  <c r="AT72" i="8"/>
  <c r="AT65" i="8"/>
  <c r="D59" i="8"/>
  <c r="E59" i="8" s="1"/>
  <c r="AT62" i="8"/>
  <c r="B59" i="8"/>
  <c r="C59" i="8" s="1"/>
  <c r="AI35" i="8"/>
  <c r="H20" i="1"/>
  <c r="I17" i="1"/>
  <c r="I40" i="1"/>
  <c r="W39" i="8"/>
  <c r="AT68" i="8"/>
  <c r="AT73" i="8"/>
  <c r="I68" i="1"/>
  <c r="I93" i="1"/>
  <c r="AC40" i="8"/>
  <c r="G36" i="8"/>
  <c r="AE20" i="1"/>
  <c r="AE40" i="1"/>
  <c r="Y39" i="8"/>
  <c r="AE65" i="1"/>
  <c r="S37" i="8"/>
  <c r="H10" i="1"/>
  <c r="AN10" i="1"/>
  <c r="H16" i="1"/>
  <c r="AD20" i="1"/>
  <c r="AD40" i="1"/>
  <c r="H40" i="1"/>
  <c r="H68" i="1"/>
  <c r="AD93" i="1"/>
  <c r="AD50" i="1"/>
  <c r="H93" i="1"/>
  <c r="AD78" i="1"/>
  <c r="AD65" i="1"/>
  <c r="AD30" i="1"/>
  <c r="V87" i="4"/>
  <c r="AD5" i="1"/>
  <c r="AD88" i="1"/>
  <c r="H88" i="1"/>
  <c r="H78" i="1"/>
  <c r="H65" i="1"/>
  <c r="H50" i="1"/>
  <c r="H30" i="1"/>
  <c r="AA15" i="3"/>
  <c r="K6" i="3"/>
  <c r="AE15" i="3"/>
  <c r="AE17" i="3" s="1"/>
  <c r="U87" i="4"/>
  <c r="N86" i="4"/>
  <c r="N85" i="4"/>
  <c r="N84" i="4"/>
  <c r="N83" i="4"/>
  <c r="N82" i="4"/>
  <c r="N81" i="4"/>
  <c r="N80" i="4"/>
  <c r="N79" i="4"/>
  <c r="N78" i="4"/>
  <c r="N77" i="4"/>
  <c r="N76" i="4"/>
  <c r="N75" i="4"/>
  <c r="N74" i="4"/>
  <c r="N73" i="4"/>
  <c r="N72" i="4"/>
  <c r="N71" i="4"/>
  <c r="N70" i="4"/>
  <c r="N69" i="4"/>
  <c r="N68" i="4"/>
  <c r="N67" i="4"/>
  <c r="N66" i="4"/>
  <c r="N65" i="4"/>
  <c r="N64" i="4"/>
  <c r="N63" i="4"/>
  <c r="N62" i="4"/>
  <c r="N61" i="4"/>
  <c r="N60" i="4"/>
  <c r="N59" i="4"/>
  <c r="N58" i="4"/>
  <c r="N57" i="4"/>
  <c r="N56" i="4"/>
  <c r="N55" i="4"/>
  <c r="N54" i="4"/>
  <c r="N53" i="4"/>
  <c r="N52" i="4"/>
  <c r="N51" i="4"/>
  <c r="N50" i="4"/>
  <c r="N49" i="4"/>
  <c r="N48" i="4"/>
  <c r="N47" i="4"/>
  <c r="N46" i="4"/>
  <c r="N45" i="4"/>
  <c r="N44" i="4"/>
  <c r="N43" i="4"/>
  <c r="N42" i="4"/>
  <c r="N41" i="4"/>
  <c r="N40" i="4"/>
  <c r="N39" i="4"/>
  <c r="N38" i="4"/>
  <c r="N37" i="4"/>
  <c r="N36" i="4"/>
  <c r="N35" i="4"/>
  <c r="N34" i="4"/>
  <c r="N33" i="4"/>
  <c r="N32" i="4"/>
  <c r="N31" i="4"/>
  <c r="N30" i="4"/>
  <c r="N29" i="4"/>
  <c r="N28" i="4"/>
  <c r="N27" i="4"/>
  <c r="N26" i="4"/>
  <c r="N25" i="4"/>
  <c r="N24" i="4"/>
  <c r="N23" i="4"/>
  <c r="N22" i="4"/>
  <c r="N21" i="4"/>
  <c r="N20" i="4"/>
  <c r="N19" i="4"/>
  <c r="N18" i="4"/>
  <c r="N17" i="4"/>
  <c r="N16" i="4"/>
  <c r="N15" i="4"/>
  <c r="N14" i="4"/>
  <c r="N13" i="4"/>
  <c r="N12" i="4"/>
  <c r="N11" i="4"/>
  <c r="N10" i="4"/>
  <c r="N9" i="4"/>
  <c r="N8" i="4"/>
  <c r="N7" i="4"/>
  <c r="N6" i="4"/>
  <c r="N5" i="4"/>
  <c r="M38" i="4"/>
  <c r="X9" i="4"/>
  <c r="Y5" i="4"/>
  <c r="Y6" i="4"/>
  <c r="Y7" i="4"/>
  <c r="Y8" i="4"/>
  <c r="Y9" i="4"/>
  <c r="Y10" i="4"/>
  <c r="Y11" i="4"/>
  <c r="Y12" i="4"/>
  <c r="Y13" i="4"/>
  <c r="Y14" i="4"/>
  <c r="Y15" i="4"/>
  <c r="Y16" i="4"/>
  <c r="Y17" i="4"/>
  <c r="Y18" i="4"/>
  <c r="Y19" i="4"/>
  <c r="Y20" i="4"/>
  <c r="Y21" i="4"/>
  <c r="Y22" i="4"/>
  <c r="Y23" i="4"/>
  <c r="Y24" i="4"/>
  <c r="Y25" i="4"/>
  <c r="Y26" i="4"/>
  <c r="Y27" i="4"/>
  <c r="Y28" i="4"/>
  <c r="Y29" i="4"/>
  <c r="Y30" i="4"/>
  <c r="Y31" i="4"/>
  <c r="Y32" i="4"/>
  <c r="Y33" i="4"/>
  <c r="Y34" i="4"/>
  <c r="Y35" i="4"/>
  <c r="Y36" i="4"/>
  <c r="Y37" i="4"/>
  <c r="Y38" i="4"/>
  <c r="Y39" i="4"/>
  <c r="Y40" i="4"/>
  <c r="Y41" i="4"/>
  <c r="Y42" i="4"/>
  <c r="Y43" i="4"/>
  <c r="Y44" i="4"/>
  <c r="Y45" i="4"/>
  <c r="Y46" i="4"/>
  <c r="Y47" i="4"/>
  <c r="Y48" i="4"/>
  <c r="Y49" i="4"/>
  <c r="Y50" i="4"/>
  <c r="Y51" i="4"/>
  <c r="Y52" i="4"/>
  <c r="Y53" i="4"/>
  <c r="Y54" i="4"/>
  <c r="Y55" i="4"/>
  <c r="Y56" i="4"/>
  <c r="Y57" i="4"/>
  <c r="Y58" i="4"/>
  <c r="Y59" i="4"/>
  <c r="Y60" i="4"/>
  <c r="Y61" i="4"/>
  <c r="Y62" i="4"/>
  <c r="Y63" i="4"/>
  <c r="Y64" i="4"/>
  <c r="Y65" i="4"/>
  <c r="Y66" i="4"/>
  <c r="Y67" i="4"/>
  <c r="Y68" i="4"/>
  <c r="Y69" i="4"/>
  <c r="Y70" i="4"/>
  <c r="Y71" i="4"/>
  <c r="Y72" i="4"/>
  <c r="Y73" i="4"/>
  <c r="Y74" i="4"/>
  <c r="Y75" i="4"/>
  <c r="Y76" i="4"/>
  <c r="Y77" i="4"/>
  <c r="Y78" i="4"/>
  <c r="Y79" i="4"/>
  <c r="Y80" i="4"/>
  <c r="Y81" i="4"/>
  <c r="Y82" i="4"/>
  <c r="Y83" i="4"/>
  <c r="Y84" i="4"/>
  <c r="Y85" i="4"/>
  <c r="Y86" i="4"/>
  <c r="J37" i="8" l="1"/>
  <c r="J51" i="8" s="1"/>
  <c r="AT59" i="8"/>
  <c r="AF15" i="3"/>
  <c r="AG15" i="3"/>
  <c r="L6" i="3"/>
  <c r="B51" i="8"/>
  <c r="AD10" i="1"/>
  <c r="AD94" i="1" s="1"/>
  <c r="AE5" i="1"/>
  <c r="S51" i="8"/>
  <c r="X61" i="8"/>
  <c r="AF63" i="8"/>
  <c r="AF74" i="8" s="1"/>
  <c r="Y51" i="8"/>
  <c r="G51" i="8"/>
  <c r="H60" i="8"/>
  <c r="I60" i="8" s="1"/>
  <c r="AC51" i="8"/>
  <c r="AL64" i="8"/>
  <c r="W51" i="8"/>
  <c r="AD63" i="8"/>
  <c r="I20" i="1"/>
  <c r="E36" i="8"/>
  <c r="L61" i="8"/>
  <c r="P51" i="8"/>
  <c r="T64" i="8"/>
  <c r="M51" i="8"/>
  <c r="P63" i="8"/>
  <c r="V51" i="8"/>
  <c r="AB63" i="8"/>
  <c r="AB51" i="8"/>
  <c r="AJ63" i="8"/>
  <c r="AE51" i="8"/>
  <c r="AN64" i="8"/>
  <c r="H51" i="8"/>
  <c r="J61" i="8"/>
  <c r="N51" i="8"/>
  <c r="R64" i="8"/>
  <c r="K51" i="8"/>
  <c r="N63" i="8"/>
  <c r="Q51" i="8"/>
  <c r="V61" i="8"/>
  <c r="T51" i="8"/>
  <c r="Z63" i="8"/>
  <c r="AH63" i="8"/>
  <c r="Z51" i="8"/>
  <c r="I94" i="1"/>
  <c r="AB17" i="3"/>
  <c r="H94" i="1"/>
  <c r="K3" i="6"/>
  <c r="AT64" i="8" l="1"/>
  <c r="AH74" i="8"/>
  <c r="Z4" i="8" a="1"/>
  <c r="Z4" i="8" s="1"/>
  <c r="Z23" i="8" s="1"/>
  <c r="AT63" i="8"/>
  <c r="K61" i="8"/>
  <c r="K74" i="8" s="1"/>
  <c r="E51" i="8"/>
  <c r="F60" i="8"/>
  <c r="G60" i="8" s="1"/>
  <c r="F3" i="8" s="1" a="1"/>
  <c r="F3" i="8" s="1"/>
  <c r="AE10" i="1"/>
  <c r="D36" i="8"/>
  <c r="AI36" i="8" s="1"/>
  <c r="R20" i="1"/>
  <c r="R16" i="1"/>
  <c r="B18" i="6"/>
  <c r="B19" i="6"/>
  <c r="AD7" i="8" a="1"/>
  <c r="AD7" i="8"/>
  <c r="AC7" i="8" a="1"/>
  <c r="AC7" i="8"/>
  <c r="AA7" i="8" a="1"/>
  <c r="AA7" i="8"/>
  <c r="Z7" i="8" a="1"/>
  <c r="Z7" i="8"/>
  <c r="X7" i="8" a="1"/>
  <c r="X7" i="8"/>
  <c r="W7" i="8" a="1"/>
  <c r="W7" i="8"/>
  <c r="U7" i="8" a="1"/>
  <c r="U7" i="8"/>
  <c r="T7" i="8" a="1"/>
  <c r="T7" i="8"/>
  <c r="R7" i="8" a="1"/>
  <c r="R7" i="8"/>
  <c r="Q7" i="8" a="1"/>
  <c r="Q7" i="8" s="1"/>
  <c r="Q26" i="8" s="1"/>
  <c r="O7" i="8" a="1"/>
  <c r="O7" i="8"/>
  <c r="N7" i="8" a="1"/>
  <c r="N7" i="8" s="1"/>
  <c r="N26" i="8" s="1"/>
  <c r="L7" i="8" a="1"/>
  <c r="L7" i="8"/>
  <c r="K7" i="8" a="1"/>
  <c r="K7" i="8"/>
  <c r="I7" i="8" a="1"/>
  <c r="I7" i="8"/>
  <c r="H7" i="8" a="1"/>
  <c r="H7" i="8"/>
  <c r="F7" i="8" a="1"/>
  <c r="F7" i="8"/>
  <c r="E7" i="8" a="1"/>
  <c r="E7" i="8"/>
  <c r="C7" i="8" a="1"/>
  <c r="C7" i="8"/>
  <c r="AJ7" i="8" s="1"/>
  <c r="B7" i="8" a="1"/>
  <c r="B7" i="8"/>
  <c r="AD6" i="8" a="1"/>
  <c r="AD6" i="8"/>
  <c r="AC6" i="8" a="1"/>
  <c r="AC6" i="8"/>
  <c r="AA6" i="8" a="1"/>
  <c r="AA6" i="8"/>
  <c r="Z6" i="8" a="1"/>
  <c r="Z6" i="8" s="1"/>
  <c r="Z25" i="8" s="1"/>
  <c r="X6" i="8" a="1"/>
  <c r="X6" i="8"/>
  <c r="W6" i="8" a="1"/>
  <c r="W6" i="8" s="1"/>
  <c r="W25" i="8" s="1"/>
  <c r="U6" i="8" a="1"/>
  <c r="U6" i="8"/>
  <c r="T6" i="8" a="1"/>
  <c r="T6" i="8" s="1"/>
  <c r="T25" i="8" s="1"/>
  <c r="R6" i="8" a="1"/>
  <c r="R6" i="8"/>
  <c r="Q6" i="8" a="1"/>
  <c r="Q6" i="8" s="1"/>
  <c r="Q25" i="8" s="1"/>
  <c r="O6" i="8" a="1"/>
  <c r="O6" i="8"/>
  <c r="N6" i="8" a="1"/>
  <c r="N6" i="8" s="1"/>
  <c r="N25" i="8" s="1"/>
  <c r="L6" i="8" a="1"/>
  <c r="L6" i="8"/>
  <c r="K6" i="8" a="1"/>
  <c r="K6" i="8" s="1"/>
  <c r="K25" i="8" s="1"/>
  <c r="I6" i="8" a="1"/>
  <c r="I6" i="8"/>
  <c r="H6" i="8" a="1"/>
  <c r="H6" i="8"/>
  <c r="F6" i="8" a="1"/>
  <c r="F6" i="8"/>
  <c r="E6" i="8" a="1"/>
  <c r="E6" i="8"/>
  <c r="C6" i="8" a="1"/>
  <c r="C6" i="8"/>
  <c r="AJ6" i="8" s="1"/>
  <c r="B6" i="8" a="1"/>
  <c r="B6" i="8"/>
  <c r="AD5" i="8" a="1"/>
  <c r="AD5" i="8"/>
  <c r="AC5" i="8" a="1"/>
  <c r="AC5" i="8" s="1"/>
  <c r="AC24" i="8" s="1"/>
  <c r="AA5" i="8" a="1"/>
  <c r="AA5" i="8"/>
  <c r="Z5" i="8" a="1"/>
  <c r="Z5" i="8" s="1"/>
  <c r="X5" i="8" a="1"/>
  <c r="X5" i="8"/>
  <c r="W5" i="8" a="1"/>
  <c r="W5" i="8" s="1"/>
  <c r="W24" i="8" s="1"/>
  <c r="U5" i="8" a="1"/>
  <c r="U5" i="8"/>
  <c r="T5" i="8" a="1"/>
  <c r="T5" i="8" s="1"/>
  <c r="T24" i="8" s="1"/>
  <c r="R5" i="8" a="1"/>
  <c r="R5" i="8"/>
  <c r="Q5" i="8" a="1"/>
  <c r="Q5" i="8" s="1"/>
  <c r="Q24" i="8" s="1"/>
  <c r="O5" i="8" a="1"/>
  <c r="O5" i="8"/>
  <c r="N5" i="8" a="1"/>
  <c r="N5" i="8" s="1"/>
  <c r="N24" i="8" s="1"/>
  <c r="L5" i="8" a="1"/>
  <c r="L5" i="8"/>
  <c r="K5" i="8" a="1"/>
  <c r="K5" i="8" s="1"/>
  <c r="K24" i="8" s="1"/>
  <c r="I5" i="8" a="1"/>
  <c r="I5" i="8" s="1"/>
  <c r="H5" i="8" a="1"/>
  <c r="H5" i="8" s="1"/>
  <c r="F5" i="8" a="1"/>
  <c r="F5" i="8"/>
  <c r="E5" i="8" a="1"/>
  <c r="E5" i="8"/>
  <c r="C5" i="8" a="1"/>
  <c r="C5" i="8"/>
  <c r="AJ5" i="8" s="1"/>
  <c r="B5" i="8" a="1"/>
  <c r="B5" i="8"/>
  <c r="AD4" i="8" a="1"/>
  <c r="AD4" i="8"/>
  <c r="AC4" i="8" a="1"/>
  <c r="AC4" i="8" s="1"/>
  <c r="AC23" i="8" s="1"/>
  <c r="AA4" i="8" a="1"/>
  <c r="AA4" i="8"/>
  <c r="X4" i="8" a="1"/>
  <c r="X4" i="8"/>
  <c r="W4" i="8" a="1"/>
  <c r="W4" i="8" s="1"/>
  <c r="U4" i="8" a="1"/>
  <c r="U4" i="8"/>
  <c r="T4" i="8" a="1"/>
  <c r="T4" i="8" s="1"/>
  <c r="T23" i="8" s="1"/>
  <c r="R4" i="8" a="1"/>
  <c r="R4" i="8"/>
  <c r="Q4" i="8" a="1"/>
  <c r="Q4" i="8" s="1"/>
  <c r="Q23" i="8" s="1"/>
  <c r="O4" i="8" a="1"/>
  <c r="O4" i="8"/>
  <c r="N4" i="8" a="1"/>
  <c r="N4" i="8" s="1"/>
  <c r="N23" i="8" s="1"/>
  <c r="L4" i="8" a="1"/>
  <c r="L4" i="8"/>
  <c r="K4" i="8" a="1"/>
  <c r="K4" i="8" s="1"/>
  <c r="F4" i="8" a="1"/>
  <c r="F4" i="8"/>
  <c r="E4" i="8" a="1"/>
  <c r="E4" i="8"/>
  <c r="C4" i="8" a="1"/>
  <c r="C4" i="8"/>
  <c r="AJ4" i="8" s="1"/>
  <c r="B4" i="8" a="1"/>
  <c r="B4" i="8"/>
  <c r="AD3" i="8" a="1"/>
  <c r="AD3" i="8"/>
  <c r="AC3" i="8" a="1"/>
  <c r="AC3" i="8"/>
  <c r="AA3" i="8" a="1"/>
  <c r="AA3" i="8"/>
  <c r="Z3" i="8" a="1"/>
  <c r="Z3" i="8"/>
  <c r="X3" i="8" a="1"/>
  <c r="X3" i="8"/>
  <c r="W3" i="8" a="1"/>
  <c r="W3" i="8"/>
  <c r="U3" i="8" a="1"/>
  <c r="U3" i="8"/>
  <c r="T3" i="8" a="1"/>
  <c r="T3" i="8"/>
  <c r="R3" i="8" a="1"/>
  <c r="R3" i="8"/>
  <c r="Q3" i="8" a="1"/>
  <c r="Q3" i="8" s="1"/>
  <c r="Q22" i="8" s="1"/>
  <c r="O3" i="8" a="1"/>
  <c r="O3" i="8"/>
  <c r="N3" i="8" a="1"/>
  <c r="N3" i="8"/>
  <c r="L3" i="8" a="1"/>
  <c r="L3" i="8"/>
  <c r="K3" i="8" a="1"/>
  <c r="K3" i="8"/>
  <c r="B74" i="8"/>
  <c r="C74" i="8"/>
  <c r="H74" i="8"/>
  <c r="I74" i="8"/>
  <c r="J74" i="8"/>
  <c r="L74" i="8"/>
  <c r="M74" i="8"/>
  <c r="N74" i="8"/>
  <c r="O74" i="8"/>
  <c r="P74" i="8"/>
  <c r="Q74" i="8"/>
  <c r="R74" i="8"/>
  <c r="S74" i="8"/>
  <c r="T74" i="8"/>
  <c r="U74" i="8"/>
  <c r="V74" i="8"/>
  <c r="W74" i="8"/>
  <c r="X74" i="8"/>
  <c r="Y74" i="8"/>
  <c r="Z74" i="8"/>
  <c r="AA74" i="8"/>
  <c r="AB74" i="8"/>
  <c r="AC74" i="8"/>
  <c r="AD74" i="8"/>
  <c r="AE74" i="8"/>
  <c r="AI74" i="8"/>
  <c r="AJ74" i="8"/>
  <c r="AK74" i="8"/>
  <c r="AL74" i="8"/>
  <c r="AM74" i="8"/>
  <c r="AN74" i="8"/>
  <c r="AO74" i="8"/>
  <c r="AP74" i="8"/>
  <c r="AQ74" i="8"/>
  <c r="AR74" i="8"/>
  <c r="AS74" i="8"/>
  <c r="D22" i="8"/>
  <c r="G22" i="8"/>
  <c r="H22" i="8"/>
  <c r="I22" i="8"/>
  <c r="J22" i="8"/>
  <c r="K22" i="8"/>
  <c r="L22" i="8"/>
  <c r="M22" i="8"/>
  <c r="N22" i="8"/>
  <c r="O22" i="8"/>
  <c r="P22" i="8"/>
  <c r="R22" i="8"/>
  <c r="S22" i="8"/>
  <c r="T22" i="8"/>
  <c r="U22" i="8"/>
  <c r="V22" i="8"/>
  <c r="W22" i="8"/>
  <c r="X22" i="8"/>
  <c r="Y22" i="8"/>
  <c r="Z22" i="8"/>
  <c r="AA22" i="8"/>
  <c r="AB22" i="8"/>
  <c r="AC22" i="8"/>
  <c r="AD22" i="8"/>
  <c r="AE22" i="8"/>
  <c r="B23" i="8"/>
  <c r="C23" i="8"/>
  <c r="D23" i="8"/>
  <c r="E23" i="8"/>
  <c r="F23" i="8"/>
  <c r="G23" i="8"/>
  <c r="H23" i="8"/>
  <c r="I23" i="8"/>
  <c r="J23" i="8"/>
  <c r="L23" i="8"/>
  <c r="M23" i="8"/>
  <c r="O23" i="8"/>
  <c r="P23" i="8"/>
  <c r="R23" i="8"/>
  <c r="S23" i="8"/>
  <c r="U23" i="8"/>
  <c r="V23" i="8"/>
  <c r="X23" i="8"/>
  <c r="Y23" i="8"/>
  <c r="AA23" i="8"/>
  <c r="AB23" i="8"/>
  <c r="AD23" i="8"/>
  <c r="AE23" i="8"/>
  <c r="B24" i="8"/>
  <c r="C24" i="8"/>
  <c r="D24" i="8"/>
  <c r="E24" i="8"/>
  <c r="F24" i="8"/>
  <c r="G24" i="8"/>
  <c r="J24" i="8"/>
  <c r="L24" i="8"/>
  <c r="M24" i="8"/>
  <c r="O24" i="8"/>
  <c r="P24" i="8"/>
  <c r="R24" i="8"/>
  <c r="S24" i="8"/>
  <c r="U24" i="8"/>
  <c r="V24" i="8"/>
  <c r="X24" i="8"/>
  <c r="Y24" i="8"/>
  <c r="AA24" i="8"/>
  <c r="AB24" i="8"/>
  <c r="AD24" i="8"/>
  <c r="AE24" i="8"/>
  <c r="B25" i="8"/>
  <c r="C25" i="8"/>
  <c r="D25" i="8"/>
  <c r="E25" i="8"/>
  <c r="F25" i="8"/>
  <c r="G25" i="8"/>
  <c r="H25" i="8"/>
  <c r="I25" i="8"/>
  <c r="J25" i="8"/>
  <c r="L25" i="8"/>
  <c r="M25" i="8"/>
  <c r="O25" i="8"/>
  <c r="P25" i="8"/>
  <c r="R25" i="8"/>
  <c r="S25" i="8"/>
  <c r="U25" i="8"/>
  <c r="V25" i="8"/>
  <c r="X25" i="8"/>
  <c r="Y25" i="8"/>
  <c r="AA25" i="8"/>
  <c r="AB25" i="8"/>
  <c r="AC25" i="8"/>
  <c r="AD25" i="8"/>
  <c r="AE25" i="8"/>
  <c r="B26" i="8"/>
  <c r="C26" i="8"/>
  <c r="D26" i="8"/>
  <c r="E26" i="8"/>
  <c r="F26" i="8"/>
  <c r="G26" i="8"/>
  <c r="H26" i="8"/>
  <c r="I26" i="8"/>
  <c r="J26" i="8"/>
  <c r="K26" i="8"/>
  <c r="L26" i="8"/>
  <c r="M26" i="8"/>
  <c r="O26" i="8"/>
  <c r="P26" i="8"/>
  <c r="R26" i="8"/>
  <c r="S26" i="8"/>
  <c r="T26" i="8"/>
  <c r="U26" i="8"/>
  <c r="V26" i="8"/>
  <c r="W26" i="8"/>
  <c r="X26" i="8"/>
  <c r="Y26" i="8"/>
  <c r="Z26" i="8"/>
  <c r="AA26" i="8"/>
  <c r="AB26" i="8"/>
  <c r="AC26" i="8"/>
  <c r="AD26" i="8"/>
  <c r="AE26" i="8"/>
  <c r="D27" i="8"/>
  <c r="G27" i="8"/>
  <c r="J27" i="8"/>
  <c r="L27" i="8"/>
  <c r="M27" i="8"/>
  <c r="O27" i="8"/>
  <c r="P27" i="8"/>
  <c r="R27" i="8"/>
  <c r="S27" i="8"/>
  <c r="U27" i="8"/>
  <c r="V27" i="8"/>
  <c r="X27" i="8"/>
  <c r="Y27" i="8"/>
  <c r="AA27" i="8"/>
  <c r="AB27" i="8"/>
  <c r="AD27" i="8"/>
  <c r="AE27" i="8"/>
  <c r="AI37" i="8"/>
  <c r="AI38" i="8"/>
  <c r="AI39" i="8"/>
  <c r="AI40" i="8"/>
  <c r="AI41" i="8"/>
  <c r="AI42" i="8"/>
  <c r="AI43" i="8"/>
  <c r="AI44" i="8"/>
  <c r="AI45" i="8"/>
  <c r="AI46" i="8"/>
  <c r="AI47" i="8"/>
  <c r="AI48" i="8"/>
  <c r="AI49" i="8"/>
  <c r="AI13" i="8"/>
  <c r="AJ13" i="8"/>
  <c r="AI14" i="8"/>
  <c r="AJ14" i="8"/>
  <c r="AI15" i="8"/>
  <c r="AJ15" i="8"/>
  <c r="AI16" i="8"/>
  <c r="AJ16" i="8"/>
  <c r="AI17" i="8"/>
  <c r="AJ17" i="8"/>
  <c r="B18" i="8"/>
  <c r="C18"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I18" i="8"/>
  <c r="AJ18" i="8"/>
  <c r="AJ23" i="8"/>
  <c r="AJ25" i="8"/>
  <c r="AJ26" i="8"/>
  <c r="D8" i="8"/>
  <c r="G8" i="8"/>
  <c r="J8" i="8"/>
  <c r="L8" i="8"/>
  <c r="M8" i="8"/>
  <c r="O8" i="8"/>
  <c r="P8" i="8"/>
  <c r="R8" i="8"/>
  <c r="S8" i="8"/>
  <c r="U8" i="8"/>
  <c r="V8" i="8"/>
  <c r="X8" i="8"/>
  <c r="Y8" i="8"/>
  <c r="AA8" i="8"/>
  <c r="AB8" i="8"/>
  <c r="AD8" i="8"/>
  <c r="AE8" i="8"/>
  <c r="K4" i="6"/>
  <c r="K6" i="6"/>
  <c r="K7" i="6"/>
  <c r="K9" i="6"/>
  <c r="G74" i="8" l="1"/>
  <c r="F74" i="8"/>
  <c r="T27" i="8"/>
  <c r="AT61" i="8"/>
  <c r="AC27" i="8"/>
  <c r="Q27" i="8"/>
  <c r="F8" i="8"/>
  <c r="F22" i="8"/>
  <c r="F27" i="8" s="1"/>
  <c r="W8" i="8"/>
  <c r="W23" i="8"/>
  <c r="W27" i="8" s="1"/>
  <c r="N27" i="8"/>
  <c r="Z8" i="8"/>
  <c r="Z24" i="8"/>
  <c r="Z27" i="8" s="1"/>
  <c r="K23" i="8"/>
  <c r="K27" i="8" s="1"/>
  <c r="K8" i="8"/>
  <c r="N8" i="8"/>
  <c r="AC8" i="8"/>
  <c r="T8" i="8"/>
  <c r="AI4" i="8"/>
  <c r="AI23" i="8" s="1"/>
  <c r="AI6" i="8"/>
  <c r="AI25" i="8" s="1"/>
  <c r="AI7" i="8"/>
  <c r="AI26" i="8" s="1"/>
  <c r="E3" i="8" a="1"/>
  <c r="E3" i="8" s="1"/>
  <c r="AI5" i="8"/>
  <c r="Q8" i="8"/>
  <c r="D60" i="8"/>
  <c r="D51" i="8"/>
  <c r="AI51" i="8"/>
  <c r="R68" i="1"/>
  <c r="I24" i="8"/>
  <c r="I27" i="8" s="1"/>
  <c r="I8" i="8"/>
  <c r="H8" i="8"/>
  <c r="H24" i="8"/>
  <c r="H27" i="8" s="1"/>
  <c r="R50" i="1"/>
  <c r="R93" i="1"/>
  <c r="R88" i="1"/>
  <c r="R78" i="1"/>
  <c r="R65" i="1"/>
  <c r="R40" i="1"/>
  <c r="R30" i="1"/>
  <c r="J15" i="3"/>
  <c r="AC4" i="3"/>
  <c r="AC5" i="3"/>
  <c r="AC6" i="3"/>
  <c r="AC7" i="3"/>
  <c r="AC8" i="3"/>
  <c r="AC9" i="3"/>
  <c r="AC10" i="3"/>
  <c r="AC11" i="3"/>
  <c r="AC12" i="3"/>
  <c r="AC13" i="3"/>
  <c r="AC14" i="3"/>
  <c r="AC3" i="3"/>
  <c r="I6" i="6"/>
  <c r="R94" i="1" l="1"/>
  <c r="E22" i="8"/>
  <c r="E27" i="8" s="1"/>
  <c r="E8" i="8"/>
  <c r="E60" i="8"/>
  <c r="AT60" i="8" s="1"/>
  <c r="AT74" i="8" s="1"/>
  <c r="B3" i="8" a="1"/>
  <c r="B3" i="8" s="1"/>
  <c r="D74" i="8"/>
  <c r="AJ24" i="8"/>
  <c r="AI24" i="8"/>
  <c r="H28" i="6"/>
  <c r="G28" i="6"/>
  <c r="H19" i="6"/>
  <c r="H20" i="6"/>
  <c r="H21" i="6"/>
  <c r="H22" i="6"/>
  <c r="H23" i="6"/>
  <c r="H24" i="6"/>
  <c r="H26" i="6"/>
  <c r="H27" i="6"/>
  <c r="H18" i="6"/>
  <c r="G19" i="6"/>
  <c r="G20" i="6"/>
  <c r="G21" i="6"/>
  <c r="G22" i="6"/>
  <c r="G23" i="6"/>
  <c r="G24" i="6"/>
  <c r="G26" i="6"/>
  <c r="G27" i="6"/>
  <c r="G18" i="6"/>
  <c r="K8" i="6"/>
  <c r="B22" i="8" l="1"/>
  <c r="B27" i="8" s="1"/>
  <c r="B8" i="8"/>
  <c r="AI3" i="8"/>
  <c r="C3" i="8" a="1"/>
  <c r="C3" i="8" s="1"/>
  <c r="E74" i="8"/>
  <c r="B25" i="6"/>
  <c r="B20" i="6"/>
  <c r="B21" i="6"/>
  <c r="B22" i="6"/>
  <c r="B23" i="6"/>
  <c r="B24" i="6"/>
  <c r="B26" i="6"/>
  <c r="B27" i="6"/>
  <c r="B28" i="6"/>
  <c r="AJ3" i="8" l="1"/>
  <c r="C22" i="8"/>
  <c r="C27" i="8" s="1"/>
  <c r="C8" i="8"/>
  <c r="AI22" i="8"/>
  <c r="AI27" i="8" s="1"/>
  <c r="AI8" i="8"/>
  <c r="Y19" i="3"/>
  <c r="AJ22" i="8" l="1"/>
  <c r="AJ27" i="8" s="1"/>
  <c r="AJ8" i="8"/>
  <c r="D29" i="6"/>
  <c r="E29" i="6"/>
  <c r="F29" i="6"/>
  <c r="C29" i="6"/>
  <c r="B29" i="6" l="1"/>
  <c r="H29" i="6" s="1"/>
  <c r="G29" i="6"/>
  <c r="T8" i="4" l="1"/>
  <c r="X8" i="4" s="1"/>
  <c r="K5" i="6" l="1"/>
  <c r="K10" i="6"/>
  <c r="K11" i="6"/>
  <c r="K13" i="6"/>
  <c r="Z53" i="1" l="1"/>
  <c r="Z52" i="1"/>
  <c r="Z65" i="1" s="1"/>
  <c r="Z49" i="1"/>
  <c r="Z48" i="1"/>
  <c r="Z47" i="1"/>
  <c r="Z46" i="1"/>
  <c r="Z45" i="1"/>
  <c r="Z44" i="1"/>
  <c r="Z43" i="1"/>
  <c r="Z42" i="1"/>
  <c r="Z41" i="1"/>
  <c r="Z39" i="1"/>
  <c r="Z38" i="1"/>
  <c r="Z37" i="1"/>
  <c r="Z36" i="1"/>
  <c r="Z35" i="1"/>
  <c r="Z34" i="1"/>
  <c r="Z33" i="1"/>
  <c r="Z32" i="1"/>
  <c r="Z31" i="1"/>
  <c r="Z29" i="1"/>
  <c r="Z28" i="1"/>
  <c r="Z27" i="1"/>
  <c r="Z26" i="1"/>
  <c r="Z25" i="1"/>
  <c r="Z24" i="1"/>
  <c r="Z23" i="1"/>
  <c r="Z22" i="1"/>
  <c r="Z21" i="1"/>
  <c r="Z19" i="1"/>
  <c r="Z18" i="1"/>
  <c r="Z17" i="1"/>
  <c r="Z15" i="1"/>
  <c r="Z14" i="1"/>
  <c r="Z13" i="1"/>
  <c r="Z12" i="1"/>
  <c r="Z11" i="1"/>
  <c r="Z9" i="1"/>
  <c r="Z7" i="1"/>
  <c r="Z6" i="1"/>
  <c r="Z5" i="1"/>
  <c r="D92" i="1"/>
  <c r="D91" i="1"/>
  <c r="D90" i="1"/>
  <c r="D89" i="1"/>
  <c r="D87" i="1"/>
  <c r="D86" i="1"/>
  <c r="D85" i="1"/>
  <c r="D84" i="1"/>
  <c r="D83" i="1"/>
  <c r="D82" i="1"/>
  <c r="D81" i="1"/>
  <c r="D80" i="1"/>
  <c r="D79" i="1"/>
  <c r="D77" i="1"/>
  <c r="D76" i="1"/>
  <c r="D75" i="1"/>
  <c r="D74" i="1"/>
  <c r="D73" i="1"/>
  <c r="D72" i="1"/>
  <c r="D71" i="1"/>
  <c r="D70" i="1"/>
  <c r="D69" i="1"/>
  <c r="D67" i="1"/>
  <c r="D66" i="1"/>
  <c r="D63" i="1"/>
  <c r="D62" i="1"/>
  <c r="D61" i="1"/>
  <c r="D60" i="1"/>
  <c r="D59" i="1"/>
  <c r="D58" i="1"/>
  <c r="D57" i="1"/>
  <c r="D56" i="1"/>
  <c r="D55" i="1"/>
  <c r="D54" i="1"/>
  <c r="D53" i="1"/>
  <c r="D52" i="1"/>
  <c r="D51" i="1"/>
  <c r="D49" i="1"/>
  <c r="D48" i="1"/>
  <c r="D47" i="1"/>
  <c r="D46" i="1"/>
  <c r="D45" i="1"/>
  <c r="D44" i="1"/>
  <c r="D43" i="1"/>
  <c r="D42" i="1"/>
  <c r="D41" i="1"/>
  <c r="D39" i="1"/>
  <c r="D38" i="1"/>
  <c r="D37" i="1"/>
  <c r="D36" i="1"/>
  <c r="D35" i="1"/>
  <c r="D34" i="1"/>
  <c r="D33" i="1"/>
  <c r="D32" i="1"/>
  <c r="D31" i="1"/>
  <c r="D29" i="1"/>
  <c r="D28" i="1"/>
  <c r="D27" i="1"/>
  <c r="D26" i="1"/>
  <c r="D25" i="1"/>
  <c r="D24" i="1"/>
  <c r="D23" i="1"/>
  <c r="D22" i="1"/>
  <c r="D21" i="1"/>
  <c r="D19" i="1"/>
  <c r="D18" i="1"/>
  <c r="D17" i="1"/>
  <c r="D15" i="1"/>
  <c r="D14" i="1"/>
  <c r="D13" i="1"/>
  <c r="D12" i="1"/>
  <c r="D11" i="1"/>
  <c r="D9" i="1"/>
  <c r="D6" i="1"/>
  <c r="AB92" i="1"/>
  <c r="AB91" i="1"/>
  <c r="AB90" i="1"/>
  <c r="AB89" i="1"/>
  <c r="AB87" i="1"/>
  <c r="AB86" i="1"/>
  <c r="AB85" i="1"/>
  <c r="AB84" i="1"/>
  <c r="AB83" i="1"/>
  <c r="AB82" i="1"/>
  <c r="AB81" i="1"/>
  <c r="AB80" i="1"/>
  <c r="AB79" i="1"/>
  <c r="AB77" i="1"/>
  <c r="AB76" i="1"/>
  <c r="AB75" i="1"/>
  <c r="AB74" i="1"/>
  <c r="AB73" i="1"/>
  <c r="AB72" i="1"/>
  <c r="AB71" i="1"/>
  <c r="AB70" i="1"/>
  <c r="AB69" i="1"/>
  <c r="AC69" i="1" s="1"/>
  <c r="AB67" i="1"/>
  <c r="AB66" i="1"/>
  <c r="AB63" i="1"/>
  <c r="AB62" i="1"/>
  <c r="AB61" i="1"/>
  <c r="AB60" i="1"/>
  <c r="AB59" i="1"/>
  <c r="AB58" i="1"/>
  <c r="AB57" i="1"/>
  <c r="AB56" i="1"/>
  <c r="AB55" i="1"/>
  <c r="AB54" i="1"/>
  <c r="AB53" i="1"/>
  <c r="AB52" i="1"/>
  <c r="AB51" i="1"/>
  <c r="AB49" i="1"/>
  <c r="AB48" i="1"/>
  <c r="AB47" i="1"/>
  <c r="AB46" i="1"/>
  <c r="AB45" i="1"/>
  <c r="AB44" i="1"/>
  <c r="AB43" i="1"/>
  <c r="AB42" i="1"/>
  <c r="AB41" i="1"/>
  <c r="AB39" i="1"/>
  <c r="AB38" i="1"/>
  <c r="AB37" i="1"/>
  <c r="AB36" i="1"/>
  <c r="AB35" i="1"/>
  <c r="AB34" i="1"/>
  <c r="AB33" i="1"/>
  <c r="AB32" i="1"/>
  <c r="AB31" i="1"/>
  <c r="AB29" i="1"/>
  <c r="AB28" i="1"/>
  <c r="AB27" i="1"/>
  <c r="AB26" i="1"/>
  <c r="AB25" i="1"/>
  <c r="AB24" i="1"/>
  <c r="AB23" i="1"/>
  <c r="AB22" i="1"/>
  <c r="AB21" i="1"/>
  <c r="AB19" i="1"/>
  <c r="AB18" i="1"/>
  <c r="AB17" i="1"/>
  <c r="AB15" i="1"/>
  <c r="AB14" i="1"/>
  <c r="AB13" i="1"/>
  <c r="AB12" i="1"/>
  <c r="AB11" i="1"/>
  <c r="AB9" i="1"/>
  <c r="AB8" i="1"/>
  <c r="AB7" i="1"/>
  <c r="AB6" i="1"/>
  <c r="AB5" i="1"/>
  <c r="F92" i="1"/>
  <c r="F91" i="1"/>
  <c r="F90" i="1"/>
  <c r="F89" i="1"/>
  <c r="F87" i="1"/>
  <c r="F86" i="1"/>
  <c r="F85" i="1"/>
  <c r="F84" i="1"/>
  <c r="F83" i="1"/>
  <c r="F82" i="1"/>
  <c r="F81" i="1"/>
  <c r="F80" i="1"/>
  <c r="F79" i="1"/>
  <c r="F77" i="1"/>
  <c r="F76" i="1"/>
  <c r="F75" i="1"/>
  <c r="F74" i="1"/>
  <c r="F73" i="1"/>
  <c r="F72" i="1"/>
  <c r="F71" i="1"/>
  <c r="F70" i="1"/>
  <c r="F69" i="1"/>
  <c r="F67" i="1"/>
  <c r="F66" i="1"/>
  <c r="F63" i="1"/>
  <c r="F62" i="1"/>
  <c r="F61" i="1"/>
  <c r="F60" i="1"/>
  <c r="F59" i="1"/>
  <c r="F58" i="1"/>
  <c r="F57" i="1"/>
  <c r="F56" i="1"/>
  <c r="F55" i="1"/>
  <c r="F54" i="1"/>
  <c r="F53" i="1"/>
  <c r="F52" i="1"/>
  <c r="F51" i="1"/>
  <c r="F49" i="1"/>
  <c r="F48" i="1"/>
  <c r="F47" i="1"/>
  <c r="F46" i="1"/>
  <c r="F45" i="1"/>
  <c r="F44" i="1"/>
  <c r="F43" i="1"/>
  <c r="F42" i="1"/>
  <c r="F41" i="1"/>
  <c r="F39" i="1"/>
  <c r="F38" i="1"/>
  <c r="F37" i="1"/>
  <c r="F36" i="1"/>
  <c r="F35" i="1"/>
  <c r="F34" i="1"/>
  <c r="F33" i="1"/>
  <c r="F32" i="1"/>
  <c r="F31" i="1"/>
  <c r="F29" i="1"/>
  <c r="F28" i="1"/>
  <c r="F27" i="1"/>
  <c r="F26" i="1"/>
  <c r="F25" i="1"/>
  <c r="F24" i="1"/>
  <c r="F23" i="1"/>
  <c r="F22" i="1"/>
  <c r="F21" i="1"/>
  <c r="F19" i="1"/>
  <c r="F18" i="1"/>
  <c r="F17" i="1"/>
  <c r="F15" i="1"/>
  <c r="F14" i="1"/>
  <c r="F13" i="1"/>
  <c r="F12" i="1"/>
  <c r="F11" i="1"/>
  <c r="F9" i="1"/>
  <c r="F8" i="1"/>
  <c r="F7" i="1"/>
  <c r="F6" i="1"/>
  <c r="F5" i="1"/>
  <c r="N16" i="3"/>
  <c r="F26" i="4"/>
  <c r="I5" i="4"/>
  <c r="N15" i="3"/>
  <c r="N17" i="3" s="1"/>
  <c r="M15" i="3"/>
  <c r="Z16" i="1" l="1"/>
  <c r="AB16" i="1"/>
  <c r="F16" i="1"/>
  <c r="AB20" i="1"/>
  <c r="D20" i="1"/>
  <c r="G5" i="1"/>
  <c r="G91" i="1"/>
  <c r="AB10" i="1"/>
  <c r="D16" i="1"/>
  <c r="Z10" i="1"/>
  <c r="F10" i="1"/>
  <c r="Z20" i="1"/>
  <c r="F20" i="1"/>
  <c r="D10" i="1"/>
  <c r="M5" i="4"/>
  <c r="X11" i="3"/>
  <c r="W11" i="3"/>
  <c r="T4" i="3"/>
  <c r="T5" i="3"/>
  <c r="T7" i="3"/>
  <c r="T8" i="3"/>
  <c r="T9" i="3"/>
  <c r="T10" i="3"/>
  <c r="T12" i="3"/>
  <c r="T13" i="3"/>
  <c r="T14" i="3"/>
  <c r="T3" i="3"/>
  <c r="I3" i="3" l="1"/>
  <c r="K3" i="3" s="1"/>
  <c r="E3" i="3"/>
  <c r="T15" i="3"/>
  <c r="Q21" i="1"/>
  <c r="I56" i="4" l="1"/>
  <c r="M56" i="4" l="1"/>
  <c r="P2" i="6" l="1"/>
  <c r="G4" i="6" l="1"/>
  <c r="I11" i="6"/>
  <c r="B13" i="6"/>
  <c r="J14" i="6"/>
  <c r="M9" i="2" l="1"/>
  <c r="L9" i="2"/>
  <c r="G14" i="6" l="1"/>
  <c r="F14" i="6"/>
  <c r="I14" i="6"/>
  <c r="E14" i="6"/>
  <c r="C14" i="6"/>
  <c r="D14" i="6"/>
  <c r="B14" i="6"/>
  <c r="K14" i="6" l="1"/>
  <c r="C15" i="3"/>
  <c r="AC15" i="3" l="1"/>
  <c r="Y68" i="1"/>
  <c r="C68" i="1"/>
  <c r="L87" i="4"/>
  <c r="G74" i="1"/>
  <c r="G77" i="1"/>
  <c r="D68" i="1"/>
  <c r="G13" i="1"/>
  <c r="G6" i="1"/>
  <c r="H87" i="4"/>
  <c r="S87" i="4"/>
  <c r="T63" i="4"/>
  <c r="X63" i="4" s="1"/>
  <c r="T64" i="4"/>
  <c r="X64" i="4" s="1"/>
  <c r="I63" i="4"/>
  <c r="I64" i="4"/>
  <c r="I9" i="4"/>
  <c r="M9" i="4" s="1"/>
  <c r="I7" i="4"/>
  <c r="I6" i="4"/>
  <c r="I8" i="4"/>
  <c r="I10" i="4"/>
  <c r="I11" i="4"/>
  <c r="I12" i="4"/>
  <c r="M12" i="4" s="1"/>
  <c r="I13" i="4"/>
  <c r="M13" i="4" s="1"/>
  <c r="I15" i="4"/>
  <c r="I16" i="4"/>
  <c r="I17" i="4"/>
  <c r="I18" i="4"/>
  <c r="I19" i="4"/>
  <c r="M19" i="4" s="1"/>
  <c r="I20" i="4"/>
  <c r="M20" i="4" s="1"/>
  <c r="I21" i="4"/>
  <c r="M21" i="4" s="1"/>
  <c r="I22" i="4"/>
  <c r="M22" i="4" s="1"/>
  <c r="I23" i="4"/>
  <c r="I24" i="4"/>
  <c r="M24" i="4" s="1"/>
  <c r="I25" i="4"/>
  <c r="I26" i="4"/>
  <c r="I27" i="4"/>
  <c r="I28" i="4"/>
  <c r="I29" i="4"/>
  <c r="I30" i="4"/>
  <c r="I31" i="4"/>
  <c r="I32" i="4"/>
  <c r="I33" i="4"/>
  <c r="I34" i="4"/>
  <c r="I35" i="4"/>
  <c r="I36" i="4"/>
  <c r="I37" i="4"/>
  <c r="I39" i="4"/>
  <c r="I40" i="4"/>
  <c r="I41" i="4"/>
  <c r="I42" i="4"/>
  <c r="I43" i="4"/>
  <c r="I44" i="4"/>
  <c r="I45" i="4"/>
  <c r="I46" i="4"/>
  <c r="I47" i="4"/>
  <c r="I48" i="4"/>
  <c r="I49" i="4"/>
  <c r="I52" i="4"/>
  <c r="I53" i="4"/>
  <c r="I54" i="4"/>
  <c r="I55" i="4"/>
  <c r="I57" i="4"/>
  <c r="I58" i="4"/>
  <c r="I59" i="4"/>
  <c r="I60" i="4"/>
  <c r="I61" i="4"/>
  <c r="I62" i="4"/>
  <c r="I65" i="4"/>
  <c r="I66" i="4"/>
  <c r="I67" i="4"/>
  <c r="I68" i="4"/>
  <c r="I69" i="4"/>
  <c r="I70" i="4"/>
  <c r="I71" i="4"/>
  <c r="I72" i="4"/>
  <c r="I73" i="4"/>
  <c r="I74" i="4"/>
  <c r="I75" i="4"/>
  <c r="I76" i="4"/>
  <c r="I77" i="4"/>
  <c r="I78" i="4"/>
  <c r="I79" i="4"/>
  <c r="I80" i="4"/>
  <c r="I81" i="4"/>
  <c r="I82" i="4"/>
  <c r="I83" i="4"/>
  <c r="I84" i="4"/>
  <c r="M84" i="4" s="1"/>
  <c r="I86" i="4"/>
  <c r="E87" i="4"/>
  <c r="F87" i="4"/>
  <c r="O87" i="4"/>
  <c r="P87" i="4"/>
  <c r="Q87" i="4"/>
  <c r="R87" i="4"/>
  <c r="W87" i="4"/>
  <c r="D87" i="4"/>
  <c r="T14" i="4"/>
  <c r="X14" i="4" s="1"/>
  <c r="T6" i="4"/>
  <c r="X6" i="4" s="1"/>
  <c r="T7" i="4"/>
  <c r="X7" i="4" s="1"/>
  <c r="T10" i="4"/>
  <c r="X10" i="4" s="1"/>
  <c r="T11" i="4"/>
  <c r="X11" i="4" s="1"/>
  <c r="T12" i="4"/>
  <c r="X12" i="4" s="1"/>
  <c r="T13" i="4"/>
  <c r="X13" i="4" s="1"/>
  <c r="T15" i="4"/>
  <c r="X15" i="4" s="1"/>
  <c r="T16" i="4"/>
  <c r="X16" i="4" s="1"/>
  <c r="T17" i="4"/>
  <c r="X17" i="4" s="1"/>
  <c r="T18" i="4"/>
  <c r="X18" i="4" s="1"/>
  <c r="T19" i="4"/>
  <c r="X19" i="4" s="1"/>
  <c r="T20" i="4"/>
  <c r="X20" i="4" s="1"/>
  <c r="T21" i="4"/>
  <c r="X21" i="4" s="1"/>
  <c r="T22" i="4"/>
  <c r="X22" i="4" s="1"/>
  <c r="T23" i="4"/>
  <c r="X23" i="4" s="1"/>
  <c r="T24" i="4"/>
  <c r="X24" i="4" s="1"/>
  <c r="T25" i="4"/>
  <c r="X25" i="4" s="1"/>
  <c r="T26" i="4"/>
  <c r="X26" i="4" s="1"/>
  <c r="T27" i="4"/>
  <c r="X27" i="4" s="1"/>
  <c r="T28" i="4"/>
  <c r="X28" i="4" s="1"/>
  <c r="T29" i="4"/>
  <c r="X29" i="4" s="1"/>
  <c r="T30" i="4"/>
  <c r="X30" i="4" s="1"/>
  <c r="T31" i="4"/>
  <c r="X31" i="4" s="1"/>
  <c r="T32" i="4"/>
  <c r="X32" i="4" s="1"/>
  <c r="T33" i="4"/>
  <c r="X33" i="4" s="1"/>
  <c r="T34" i="4"/>
  <c r="X34" i="4" s="1"/>
  <c r="T35" i="4"/>
  <c r="X35" i="4" s="1"/>
  <c r="T36" i="4"/>
  <c r="X36" i="4" s="1"/>
  <c r="T37" i="4"/>
  <c r="X37" i="4" s="1"/>
  <c r="T38" i="4"/>
  <c r="X38" i="4" s="1"/>
  <c r="T39" i="4"/>
  <c r="X39" i="4" s="1"/>
  <c r="T40" i="4"/>
  <c r="X40" i="4" s="1"/>
  <c r="T41" i="4"/>
  <c r="X41" i="4" s="1"/>
  <c r="T42" i="4"/>
  <c r="X42" i="4" s="1"/>
  <c r="T43" i="4"/>
  <c r="X43" i="4" s="1"/>
  <c r="X44" i="4"/>
  <c r="T45" i="4"/>
  <c r="X45" i="4" s="1"/>
  <c r="T46" i="4"/>
  <c r="X46" i="4" s="1"/>
  <c r="T47" i="4"/>
  <c r="X47" i="4" s="1"/>
  <c r="T48" i="4"/>
  <c r="X48" i="4" s="1"/>
  <c r="T49" i="4"/>
  <c r="X49" i="4" s="1"/>
  <c r="T50" i="4"/>
  <c r="X50" i="4" s="1"/>
  <c r="T51" i="4"/>
  <c r="X51" i="4" s="1"/>
  <c r="T52" i="4"/>
  <c r="X52" i="4" s="1"/>
  <c r="T53" i="4"/>
  <c r="X53" i="4" s="1"/>
  <c r="T54" i="4"/>
  <c r="X54" i="4" s="1"/>
  <c r="T55" i="4"/>
  <c r="X55" i="4" s="1"/>
  <c r="T56" i="4"/>
  <c r="X56" i="4" s="1"/>
  <c r="T57" i="4"/>
  <c r="X57" i="4" s="1"/>
  <c r="T58" i="4"/>
  <c r="X58" i="4" s="1"/>
  <c r="T59" i="4"/>
  <c r="X59" i="4" s="1"/>
  <c r="T60" i="4"/>
  <c r="X60" i="4" s="1"/>
  <c r="T61" i="4"/>
  <c r="X61" i="4" s="1"/>
  <c r="T62" i="4"/>
  <c r="X62" i="4" s="1"/>
  <c r="T65" i="4"/>
  <c r="X65" i="4" s="1"/>
  <c r="T66" i="4"/>
  <c r="X66" i="4" s="1"/>
  <c r="T67" i="4"/>
  <c r="X67" i="4" s="1"/>
  <c r="T68" i="4"/>
  <c r="X68" i="4" s="1"/>
  <c r="T69" i="4"/>
  <c r="X69" i="4" s="1"/>
  <c r="T70" i="4"/>
  <c r="X70" i="4" s="1"/>
  <c r="T71" i="4"/>
  <c r="X71" i="4" s="1"/>
  <c r="T72" i="4"/>
  <c r="X72" i="4" s="1"/>
  <c r="T73" i="4"/>
  <c r="X73" i="4" s="1"/>
  <c r="T74" i="4"/>
  <c r="X74" i="4" s="1"/>
  <c r="T75" i="4"/>
  <c r="X75" i="4" s="1"/>
  <c r="T76" i="4"/>
  <c r="X76" i="4" s="1"/>
  <c r="T77" i="4"/>
  <c r="X77" i="4" s="1"/>
  <c r="T78" i="4"/>
  <c r="X78" i="4" s="1"/>
  <c r="T79" i="4"/>
  <c r="X79" i="4" s="1"/>
  <c r="T80" i="4"/>
  <c r="X80" i="4" s="1"/>
  <c r="T81" i="4"/>
  <c r="X81" i="4" s="1"/>
  <c r="T82" i="4"/>
  <c r="X82" i="4" s="1"/>
  <c r="T83" i="4"/>
  <c r="X83" i="4" s="1"/>
  <c r="T84" i="4"/>
  <c r="X84" i="4" s="1"/>
  <c r="T85" i="4"/>
  <c r="X85" i="4" s="1"/>
  <c r="T86" i="4"/>
  <c r="X86" i="4" s="1"/>
  <c r="X5" i="4"/>
  <c r="R15" i="3"/>
  <c r="Q15" i="3"/>
  <c r="P15" i="3"/>
  <c r="B14" i="3"/>
  <c r="B13" i="3"/>
  <c r="B9" i="3"/>
  <c r="B7" i="3"/>
  <c r="Y6" i="3"/>
  <c r="H13" i="2"/>
  <c r="I13" i="2"/>
  <c r="C3" i="2"/>
  <c r="C4" i="2"/>
  <c r="C5" i="2"/>
  <c r="C13" i="2" s="1"/>
  <c r="C6" i="2"/>
  <c r="C7" i="2"/>
  <c r="C8" i="2"/>
  <c r="C9" i="2"/>
  <c r="C10" i="2"/>
  <c r="C11" i="2"/>
  <c r="C12" i="2"/>
  <c r="D13" i="2"/>
  <c r="AM30" i="1"/>
  <c r="AM40" i="1"/>
  <c r="AM50" i="1"/>
  <c r="AM65" i="1"/>
  <c r="AM78" i="1"/>
  <c r="AM88" i="1"/>
  <c r="AM93" i="1"/>
  <c r="AM94" i="1" l="1"/>
  <c r="AU94" i="1" s="1"/>
  <c r="M86" i="4"/>
  <c r="M85" i="4"/>
  <c r="M83" i="4"/>
  <c r="M82" i="4"/>
  <c r="M81" i="4"/>
  <c r="M80" i="4"/>
  <c r="M79" i="4"/>
  <c r="M78" i="4"/>
  <c r="M77" i="4"/>
  <c r="M76" i="4"/>
  <c r="M75" i="4"/>
  <c r="M74" i="4"/>
  <c r="M73" i="4"/>
  <c r="M72" i="4"/>
  <c r="M71" i="4"/>
  <c r="M70" i="4"/>
  <c r="M69" i="4"/>
  <c r="M68" i="4"/>
  <c r="M67" i="4"/>
  <c r="M66" i="4"/>
  <c r="M65" i="4"/>
  <c r="M63" i="4"/>
  <c r="M64" i="4"/>
  <c r="M62" i="4"/>
  <c r="M61" i="4"/>
  <c r="M60" i="4"/>
  <c r="M59" i="4"/>
  <c r="M58" i="4"/>
  <c r="M57" i="4"/>
  <c r="M55" i="4"/>
  <c r="M54" i="4"/>
  <c r="M53" i="4"/>
  <c r="M52" i="4"/>
  <c r="M49" i="4"/>
  <c r="M48" i="4"/>
  <c r="M47" i="4"/>
  <c r="M46" i="4"/>
  <c r="M45" i="4"/>
  <c r="M44" i="4"/>
  <c r="M43" i="4"/>
  <c r="M42" i="4"/>
  <c r="M41" i="4"/>
  <c r="M40" i="4"/>
  <c r="M39" i="4"/>
  <c r="M37" i="4"/>
  <c r="M36" i="4"/>
  <c r="M35" i="4"/>
  <c r="M34" i="4"/>
  <c r="M33" i="4"/>
  <c r="M32" i="4"/>
  <c r="M31" i="4"/>
  <c r="M30" i="4"/>
  <c r="M29" i="4"/>
  <c r="M28" i="4"/>
  <c r="M27" i="4"/>
  <c r="M26" i="4"/>
  <c r="M25" i="4"/>
  <c r="M23" i="4"/>
  <c r="M18" i="4"/>
  <c r="M17" i="4"/>
  <c r="M16" i="4"/>
  <c r="M15" i="4"/>
  <c r="M14" i="4"/>
  <c r="M11" i="4"/>
  <c r="M10" i="4"/>
  <c r="M8" i="4"/>
  <c r="M7" i="4"/>
  <c r="M6" i="4"/>
  <c r="AN68" i="1"/>
  <c r="G17" i="1"/>
  <c r="G19" i="1"/>
  <c r="P19" i="1" s="1"/>
  <c r="G18" i="1"/>
  <c r="P18" i="1" s="1"/>
  <c r="G49" i="1"/>
  <c r="AC32" i="1"/>
  <c r="AL32" i="1" s="1"/>
  <c r="G9" i="1"/>
  <c r="P9" i="1" s="1"/>
  <c r="G8" i="1"/>
  <c r="P8" i="1" s="1"/>
  <c r="B15" i="3"/>
  <c r="G6" i="3"/>
  <c r="AC84" i="1"/>
  <c r="AL84" i="1" s="1"/>
  <c r="AB68" i="1"/>
  <c r="G11" i="1"/>
  <c r="P11" i="1" s="1"/>
  <c r="F93" i="1"/>
  <c r="G90" i="1"/>
  <c r="P90" i="1" s="1"/>
  <c r="D30" i="1"/>
  <c r="AC71" i="1"/>
  <c r="AL71" i="1" s="1"/>
  <c r="AC80" i="1"/>
  <c r="AL80" i="1" s="1"/>
  <c r="AC76" i="1"/>
  <c r="AL76" i="1" s="1"/>
  <c r="AC87" i="1"/>
  <c r="AL87" i="1" s="1"/>
  <c r="G67" i="1"/>
  <c r="F68" i="1"/>
  <c r="AC67" i="1"/>
  <c r="G92" i="1"/>
  <c r="P92" i="1" s="1"/>
  <c r="P91" i="1"/>
  <c r="Z93" i="1"/>
  <c r="G81" i="1"/>
  <c r="P81" i="1" s="1"/>
  <c r="AC83" i="1"/>
  <c r="AL83" i="1" s="1"/>
  <c r="G80" i="1"/>
  <c r="P80" i="1" s="1"/>
  <c r="G84" i="1"/>
  <c r="P84" i="1" s="1"/>
  <c r="AC86" i="1"/>
  <c r="AL86" i="1" s="1"/>
  <c r="F78" i="1"/>
  <c r="G56" i="1"/>
  <c r="P56" i="1" s="1"/>
  <c r="G44" i="1"/>
  <c r="P44" i="1" s="1"/>
  <c r="AC46" i="1"/>
  <c r="AL46" i="1" s="1"/>
  <c r="G47" i="1"/>
  <c r="P47" i="1" s="1"/>
  <c r="G46" i="1"/>
  <c r="P46" i="1" s="1"/>
  <c r="G43" i="1"/>
  <c r="P43" i="1" s="1"/>
  <c r="AC45" i="1"/>
  <c r="AL45" i="1" s="1"/>
  <c r="G32" i="1"/>
  <c r="P32" i="1" s="1"/>
  <c r="G35" i="1"/>
  <c r="P35" i="1" s="1"/>
  <c r="G33" i="1"/>
  <c r="P33" i="1" s="1"/>
  <c r="G22" i="1"/>
  <c r="P22" i="1" s="1"/>
  <c r="G29" i="1"/>
  <c r="P29" i="1" s="1"/>
  <c r="AC43" i="1"/>
  <c r="AL43" i="1" s="1"/>
  <c r="G45" i="1"/>
  <c r="P45" i="1" s="1"/>
  <c r="G63" i="1"/>
  <c r="P63" i="1" s="1"/>
  <c r="G55" i="1"/>
  <c r="P55" i="1" s="1"/>
  <c r="G62" i="1"/>
  <c r="P62" i="1" s="1"/>
  <c r="G54" i="1"/>
  <c r="P54" i="1" s="1"/>
  <c r="AC55" i="1"/>
  <c r="AL55" i="1" s="1"/>
  <c r="AC63" i="1"/>
  <c r="AL63" i="1" s="1"/>
  <c r="AC56" i="1"/>
  <c r="AL56" i="1" s="1"/>
  <c r="G23" i="1"/>
  <c r="P23" i="1" s="1"/>
  <c r="G37" i="1"/>
  <c r="P37" i="1" s="1"/>
  <c r="AC39" i="1"/>
  <c r="AL39" i="1" s="1"/>
  <c r="G39" i="1"/>
  <c r="P39" i="1" s="1"/>
  <c r="D93" i="1"/>
  <c r="G89" i="1"/>
  <c r="G7" i="1"/>
  <c r="P7" i="1" s="1"/>
  <c r="G15" i="1"/>
  <c r="P15" i="1" s="1"/>
  <c r="G14" i="1"/>
  <c r="P14" i="1" s="1"/>
  <c r="AC92" i="1"/>
  <c r="AL92" i="1" s="1"/>
  <c r="AC91" i="1"/>
  <c r="AL91" i="1" s="1"/>
  <c r="AC90" i="1"/>
  <c r="AL90" i="1" s="1"/>
  <c r="AB93" i="1"/>
  <c r="AC89" i="1"/>
  <c r="AL89" i="1" s="1"/>
  <c r="AC85" i="1"/>
  <c r="AL85" i="1" s="1"/>
  <c r="AC73" i="1"/>
  <c r="AL73" i="1" s="1"/>
  <c r="AC75" i="1"/>
  <c r="AL75" i="1" s="1"/>
  <c r="AC70" i="1"/>
  <c r="AL70" i="1" s="1"/>
  <c r="AC59" i="1"/>
  <c r="AL59" i="1" s="1"/>
  <c r="AC62" i="1"/>
  <c r="AL62" i="1" s="1"/>
  <c r="AC54" i="1"/>
  <c r="AL54" i="1" s="1"/>
  <c r="AC60" i="1"/>
  <c r="AL60" i="1" s="1"/>
  <c r="AC52" i="1"/>
  <c r="AL52" i="1" s="1"/>
  <c r="AC47" i="1"/>
  <c r="AL47" i="1" s="1"/>
  <c r="AC44" i="1"/>
  <c r="AL44" i="1" s="1"/>
  <c r="AC49" i="1"/>
  <c r="AL49" i="1" s="1"/>
  <c r="AC35" i="1"/>
  <c r="AL35" i="1" s="1"/>
  <c r="AC37" i="1"/>
  <c r="AL37" i="1" s="1"/>
  <c r="Y87" i="4"/>
  <c r="G86" i="1"/>
  <c r="P86" i="1" s="1"/>
  <c r="G82" i="1"/>
  <c r="P82" i="1" s="1"/>
  <c r="AC81" i="1"/>
  <c r="AL81" i="1" s="1"/>
  <c r="AB88" i="1"/>
  <c r="G87" i="1"/>
  <c r="P87" i="1" s="1"/>
  <c r="F88" i="1"/>
  <c r="G85" i="1"/>
  <c r="P85" i="1" s="1"/>
  <c r="G83" i="1"/>
  <c r="P83" i="1" s="1"/>
  <c r="AC82" i="1"/>
  <c r="AL82" i="1" s="1"/>
  <c r="G75" i="1"/>
  <c r="P75" i="1" s="1"/>
  <c r="AC74" i="1"/>
  <c r="AL74" i="1" s="1"/>
  <c r="G72" i="1"/>
  <c r="P72" i="1" s="1"/>
  <c r="G76" i="1"/>
  <c r="P76" i="1" s="1"/>
  <c r="G73" i="1"/>
  <c r="P73" i="1" s="1"/>
  <c r="AC72" i="1"/>
  <c r="AL72" i="1" s="1"/>
  <c r="G71" i="1"/>
  <c r="P71" i="1" s="1"/>
  <c r="G70" i="1"/>
  <c r="P70" i="1" s="1"/>
  <c r="AC77" i="1"/>
  <c r="AL77" i="1" s="1"/>
  <c r="AB78" i="1"/>
  <c r="G66" i="1"/>
  <c r="G53" i="1"/>
  <c r="P53" i="1" s="1"/>
  <c r="AC61" i="1"/>
  <c r="AL61" i="1" s="1"/>
  <c r="G60" i="1"/>
  <c r="P60" i="1" s="1"/>
  <c r="G52" i="1"/>
  <c r="P52" i="1" s="1"/>
  <c r="AC53" i="1"/>
  <c r="AL53" i="1" s="1"/>
  <c r="G59" i="1"/>
  <c r="P59" i="1" s="1"/>
  <c r="G61" i="1"/>
  <c r="P61" i="1" s="1"/>
  <c r="F65" i="1"/>
  <c r="AB65" i="1"/>
  <c r="G58" i="1"/>
  <c r="P58" i="1" s="1"/>
  <c r="AC58" i="1"/>
  <c r="AL58" i="1" s="1"/>
  <c r="AC57" i="1"/>
  <c r="AL57" i="1" s="1"/>
  <c r="G42" i="1"/>
  <c r="P42" i="1" s="1"/>
  <c r="AC42" i="1"/>
  <c r="AL42" i="1" s="1"/>
  <c r="F50" i="1"/>
  <c r="AB50" i="1"/>
  <c r="G48" i="1"/>
  <c r="P48" i="1" s="1"/>
  <c r="AC48" i="1"/>
  <c r="AL48" i="1" s="1"/>
  <c r="G34" i="1"/>
  <c r="P34" i="1" s="1"/>
  <c r="AC34" i="1"/>
  <c r="AL34" i="1" s="1"/>
  <c r="AC33" i="1"/>
  <c r="AL33" i="1" s="1"/>
  <c r="F40" i="1"/>
  <c r="AB40" i="1"/>
  <c r="G38" i="1"/>
  <c r="P38" i="1" s="1"/>
  <c r="AC38" i="1"/>
  <c r="AL38" i="1" s="1"/>
  <c r="G36" i="1"/>
  <c r="P36" i="1" s="1"/>
  <c r="AC36" i="1"/>
  <c r="AL36" i="1" s="1"/>
  <c r="G21" i="1"/>
  <c r="P21" i="1" s="1"/>
  <c r="G24" i="1"/>
  <c r="P24" i="1" s="1"/>
  <c r="Z30" i="1"/>
  <c r="F30" i="1"/>
  <c r="G28" i="1"/>
  <c r="P28" i="1" s="1"/>
  <c r="G27" i="1"/>
  <c r="P27" i="1" s="1"/>
  <c r="G26" i="1"/>
  <c r="G25" i="1"/>
  <c r="P25" i="1" s="1"/>
  <c r="AC19" i="1"/>
  <c r="AL19" i="1" s="1"/>
  <c r="AC18" i="1"/>
  <c r="AL18" i="1" s="1"/>
  <c r="N87" i="4"/>
  <c r="AC12" i="1"/>
  <c r="AL12" i="1" s="1"/>
  <c r="G12" i="1"/>
  <c r="AC15" i="1"/>
  <c r="AL15" i="1" s="1"/>
  <c r="AC14" i="1"/>
  <c r="AL14" i="1" s="1"/>
  <c r="AC13" i="1"/>
  <c r="AL13" i="1" s="1"/>
  <c r="S15" i="3"/>
  <c r="G31" i="1"/>
  <c r="P31" i="1" s="1"/>
  <c r="D40" i="1"/>
  <c r="G79" i="1"/>
  <c r="P79" i="1" s="1"/>
  <c r="D88" i="1"/>
  <c r="Z68" i="1"/>
  <c r="AC66" i="1"/>
  <c r="Z88" i="1"/>
  <c r="AC79" i="1"/>
  <c r="AL79" i="1" s="1"/>
  <c r="AC9" i="1"/>
  <c r="AL9" i="1" s="1"/>
  <c r="AC8" i="1"/>
  <c r="AL8" i="1" s="1"/>
  <c r="AC7" i="1"/>
  <c r="AL7" i="1" s="1"/>
  <c r="AC6" i="1"/>
  <c r="AL6" i="1" s="1"/>
  <c r="AC5" i="1"/>
  <c r="AL5" i="1" s="1"/>
  <c r="AC51" i="1"/>
  <c r="G69" i="1"/>
  <c r="P69" i="1" s="1"/>
  <c r="D78" i="1"/>
  <c r="Z78" i="1"/>
  <c r="G41" i="1"/>
  <c r="D50" i="1"/>
  <c r="Z50" i="1"/>
  <c r="AC41" i="1"/>
  <c r="AL41" i="1" s="1"/>
  <c r="Z40" i="1"/>
  <c r="AC31" i="1"/>
  <c r="AL31" i="1" s="1"/>
  <c r="AC21" i="1"/>
  <c r="AB30" i="1"/>
  <c r="AC29" i="1"/>
  <c r="AL29" i="1" s="1"/>
  <c r="AC28" i="1"/>
  <c r="AL28" i="1" s="1"/>
  <c r="AC27" i="1"/>
  <c r="AL27" i="1" s="1"/>
  <c r="AC26" i="1"/>
  <c r="AL26" i="1" s="1"/>
  <c r="AC25" i="1"/>
  <c r="AL25" i="1" s="1"/>
  <c r="AC24" i="1"/>
  <c r="AL24" i="1" s="1"/>
  <c r="AC23" i="1"/>
  <c r="AL23" i="1" s="1"/>
  <c r="AC22" i="1"/>
  <c r="AL22" i="1" s="1"/>
  <c r="AC17" i="1"/>
  <c r="AC11" i="1"/>
  <c r="T87" i="4"/>
  <c r="Y93" i="1"/>
  <c r="K12" i="2" s="1"/>
  <c r="Y88" i="1"/>
  <c r="K11" i="2" s="1"/>
  <c r="Y78" i="1"/>
  <c r="K10" i="2" s="1"/>
  <c r="Y65" i="1"/>
  <c r="K8" i="2" s="1"/>
  <c r="Y50" i="1"/>
  <c r="K7" i="2" s="1"/>
  <c r="Y40" i="1"/>
  <c r="K6" i="2" s="1"/>
  <c r="Y30" i="1"/>
  <c r="K5" i="2" s="1"/>
  <c r="K4" i="2"/>
  <c r="K2" i="2"/>
  <c r="AS93" i="1"/>
  <c r="AG93" i="1"/>
  <c r="AF93" i="1"/>
  <c r="W93" i="1"/>
  <c r="Q93" i="1"/>
  <c r="K93" i="1"/>
  <c r="J93" i="1"/>
  <c r="C93" i="1"/>
  <c r="J12" i="2" s="1"/>
  <c r="AH92" i="1"/>
  <c r="L92" i="1"/>
  <c r="AH91" i="1"/>
  <c r="L91" i="1"/>
  <c r="AH90" i="1"/>
  <c r="L90" i="1"/>
  <c r="AH89" i="1"/>
  <c r="L89" i="1"/>
  <c r="AS88" i="1"/>
  <c r="AG88" i="1"/>
  <c r="AF88" i="1"/>
  <c r="W88" i="1"/>
  <c r="Q88" i="1"/>
  <c r="K88" i="1"/>
  <c r="J88" i="1"/>
  <c r="C88" i="1"/>
  <c r="J11" i="2" s="1"/>
  <c r="AH87" i="1"/>
  <c r="L87" i="1"/>
  <c r="AH86" i="1"/>
  <c r="L86" i="1"/>
  <c r="AH85" i="1"/>
  <c r="L85" i="1"/>
  <c r="AH84" i="1"/>
  <c r="L84" i="1"/>
  <c r="AH83" i="1"/>
  <c r="L83" i="1"/>
  <c r="AH82" i="1"/>
  <c r="L82" i="1"/>
  <c r="AH81" i="1"/>
  <c r="L81" i="1"/>
  <c r="AH80" i="1"/>
  <c r="L80" i="1"/>
  <c r="AH79" i="1"/>
  <c r="L79" i="1"/>
  <c r="AS78" i="1"/>
  <c r="AG78" i="1"/>
  <c r="AF78" i="1"/>
  <c r="Q78" i="1"/>
  <c r="K78" i="1"/>
  <c r="J78" i="1"/>
  <c r="C78" i="1"/>
  <c r="J10" i="2" s="1"/>
  <c r="AH77" i="1"/>
  <c r="P77" i="1"/>
  <c r="L77" i="1"/>
  <c r="AH76" i="1"/>
  <c r="L76" i="1"/>
  <c r="AH75" i="1"/>
  <c r="W75" i="1"/>
  <c r="L75" i="1"/>
  <c r="AH74" i="1"/>
  <c r="W74" i="1"/>
  <c r="P74" i="1"/>
  <c r="AH73" i="1"/>
  <c r="W73" i="1"/>
  <c r="L73" i="1"/>
  <c r="AH72" i="1"/>
  <c r="W72" i="1"/>
  <c r="L72" i="1"/>
  <c r="AH71" i="1"/>
  <c r="W71" i="1"/>
  <c r="L71" i="1"/>
  <c r="AH70" i="1"/>
  <c r="W70" i="1"/>
  <c r="L70" i="1"/>
  <c r="AH69" i="1"/>
  <c r="W69" i="1"/>
  <c r="L69" i="1"/>
  <c r="AS65" i="1"/>
  <c r="AG65" i="1"/>
  <c r="AF65" i="1"/>
  <c r="Q65" i="1"/>
  <c r="K65" i="1"/>
  <c r="J65" i="1"/>
  <c r="C65" i="1"/>
  <c r="J8" i="2" s="1"/>
  <c r="AH63" i="1"/>
  <c r="W63" i="1"/>
  <c r="L63" i="1"/>
  <c r="AH62" i="1"/>
  <c r="W62" i="1"/>
  <c r="AH61" i="1"/>
  <c r="L61" i="1"/>
  <c r="AH60" i="1"/>
  <c r="L60" i="1"/>
  <c r="L59" i="1"/>
  <c r="AH58" i="1"/>
  <c r="L58" i="1"/>
  <c r="L57" i="1"/>
  <c r="AH56" i="1"/>
  <c r="L56" i="1"/>
  <c r="AH55" i="1"/>
  <c r="W55" i="1"/>
  <c r="L55" i="1"/>
  <c r="AH54" i="1"/>
  <c r="W54" i="1"/>
  <c r="L54" i="1"/>
  <c r="AH53" i="1"/>
  <c r="W53" i="1"/>
  <c r="L53" i="1"/>
  <c r="AH52" i="1"/>
  <c r="W52" i="1"/>
  <c r="L52" i="1"/>
  <c r="AH51" i="1"/>
  <c r="W51" i="1"/>
  <c r="L51" i="1"/>
  <c r="AS50" i="1"/>
  <c r="AG50" i="1"/>
  <c r="AF50" i="1"/>
  <c r="Q50" i="1"/>
  <c r="K50" i="1"/>
  <c r="J50" i="1"/>
  <c r="C50" i="1"/>
  <c r="J7" i="2" s="1"/>
  <c r="AH49" i="1"/>
  <c r="P49" i="1"/>
  <c r="L49" i="1"/>
  <c r="AH48" i="1"/>
  <c r="L48" i="1"/>
  <c r="AH47" i="1"/>
  <c r="W47" i="1"/>
  <c r="L47" i="1"/>
  <c r="AH46" i="1"/>
  <c r="W46" i="1"/>
  <c r="L46" i="1"/>
  <c r="AH45" i="1"/>
  <c r="W45" i="1"/>
  <c r="L45" i="1"/>
  <c r="AH44" i="1"/>
  <c r="W44" i="1"/>
  <c r="L44" i="1"/>
  <c r="AH43" i="1"/>
  <c r="W43" i="1"/>
  <c r="L43" i="1"/>
  <c r="AH42" i="1"/>
  <c r="W42" i="1"/>
  <c r="L42" i="1"/>
  <c r="AH41" i="1"/>
  <c r="W41" i="1"/>
  <c r="L41" i="1"/>
  <c r="AS40" i="1"/>
  <c r="AG40" i="1"/>
  <c r="AF40" i="1"/>
  <c r="Q40" i="1"/>
  <c r="K40" i="1"/>
  <c r="J40" i="1"/>
  <c r="C40" i="1"/>
  <c r="J6" i="2" s="1"/>
  <c r="AH39" i="1"/>
  <c r="L39" i="1"/>
  <c r="AH38" i="1"/>
  <c r="L38" i="1"/>
  <c r="AH37" i="1"/>
  <c r="L37" i="1"/>
  <c r="AH36" i="1"/>
  <c r="L36" i="1"/>
  <c r="AH35" i="1"/>
  <c r="L35" i="1"/>
  <c r="AH34" i="1"/>
  <c r="W34" i="1"/>
  <c r="L34" i="1"/>
  <c r="AH33" i="1"/>
  <c r="W33" i="1"/>
  <c r="L33" i="1"/>
  <c r="AH32" i="1"/>
  <c r="W32" i="1"/>
  <c r="L32" i="1"/>
  <c r="AH31" i="1"/>
  <c r="W31" i="1"/>
  <c r="L31" i="1"/>
  <c r="AS30" i="1"/>
  <c r="AG30" i="1"/>
  <c r="AF30" i="1"/>
  <c r="Q30" i="1"/>
  <c r="K30" i="1"/>
  <c r="J30" i="1"/>
  <c r="C30" i="1"/>
  <c r="J5" i="2" s="1"/>
  <c r="AH29" i="1"/>
  <c r="AH28" i="1"/>
  <c r="L28" i="1"/>
  <c r="AH27" i="1"/>
  <c r="L27" i="1"/>
  <c r="AH26" i="1"/>
  <c r="L26" i="1"/>
  <c r="AH25" i="1"/>
  <c r="L25" i="1"/>
  <c r="AH24" i="1"/>
  <c r="W24" i="1"/>
  <c r="L24" i="1"/>
  <c r="AH23" i="1"/>
  <c r="W23" i="1"/>
  <c r="L23" i="1"/>
  <c r="AH22" i="1"/>
  <c r="W22" i="1"/>
  <c r="L22" i="1"/>
  <c r="AH21" i="1"/>
  <c r="W21" i="1"/>
  <c r="L21" i="1"/>
  <c r="AS20" i="1"/>
  <c r="C20" i="1"/>
  <c r="J4" i="2" s="1"/>
  <c r="AH19" i="1"/>
  <c r="W19" i="1"/>
  <c r="L19" i="1"/>
  <c r="AH18" i="1"/>
  <c r="W18" i="1"/>
  <c r="L18" i="1"/>
  <c r="AH17" i="1"/>
  <c r="W17" i="1"/>
  <c r="L17" i="1"/>
  <c r="AS16" i="1"/>
  <c r="C16" i="1"/>
  <c r="J3" i="2" s="1"/>
  <c r="W15" i="1"/>
  <c r="W14" i="1"/>
  <c r="W13" i="1"/>
  <c r="P13" i="1"/>
  <c r="AH12" i="1"/>
  <c r="W12" i="1"/>
  <c r="AH11" i="1"/>
  <c r="W11" i="1"/>
  <c r="L11" i="1"/>
  <c r="L16" i="1" s="1"/>
  <c r="AS10" i="1"/>
  <c r="C10" i="1"/>
  <c r="J2" i="2" s="1"/>
  <c r="AH9" i="1"/>
  <c r="W9" i="1"/>
  <c r="L9" i="1"/>
  <c r="AH8" i="1"/>
  <c r="W8" i="1"/>
  <c r="AH7" i="1"/>
  <c r="W7" i="1"/>
  <c r="L7" i="1"/>
  <c r="AH6" i="1"/>
  <c r="W6" i="1"/>
  <c r="P6" i="1"/>
  <c r="L6" i="1"/>
  <c r="AH5" i="1"/>
  <c r="L5" i="1"/>
  <c r="W16" i="1" l="1"/>
  <c r="AH16" i="1"/>
  <c r="AC16" i="1"/>
  <c r="W10" i="1"/>
  <c r="Z94" i="1"/>
  <c r="W20" i="1"/>
  <c r="L10" i="1"/>
  <c r="AH20" i="1"/>
  <c r="P17" i="1"/>
  <c r="P20" i="1" s="1"/>
  <c r="G20" i="1"/>
  <c r="AH10" i="1"/>
  <c r="P5" i="1"/>
  <c r="P10" i="1" s="1"/>
  <c r="G10" i="1"/>
  <c r="G16" i="1"/>
  <c r="L20" i="1"/>
  <c r="AL17" i="1"/>
  <c r="AL20" i="1" s="1"/>
  <c r="AC20" i="1"/>
  <c r="AL10" i="1"/>
  <c r="AC10" i="1"/>
  <c r="E14" i="3"/>
  <c r="U7" i="3"/>
  <c r="E11" i="3"/>
  <c r="B99" i="1"/>
  <c r="E13" i="3"/>
  <c r="I12" i="3"/>
  <c r="K12" i="3" s="1"/>
  <c r="I14" i="3"/>
  <c r="K14" i="3" s="1"/>
  <c r="D4" i="3"/>
  <c r="E5" i="3"/>
  <c r="E12" i="3"/>
  <c r="E10" i="3"/>
  <c r="E9" i="3"/>
  <c r="E8" i="3"/>
  <c r="E7" i="3"/>
  <c r="E4" i="3"/>
  <c r="U3" i="3"/>
  <c r="L2" i="2"/>
  <c r="U4" i="3"/>
  <c r="L3" i="2"/>
  <c r="U5" i="3"/>
  <c r="L4" i="2"/>
  <c r="U8" i="3"/>
  <c r="L6" i="2"/>
  <c r="U9" i="3"/>
  <c r="L7" i="2"/>
  <c r="U10" i="3"/>
  <c r="L8" i="2"/>
  <c r="U14" i="3"/>
  <c r="L12" i="2"/>
  <c r="V14" i="3"/>
  <c r="M12" i="2"/>
  <c r="D5" i="3"/>
  <c r="I5" i="3"/>
  <c r="I9" i="3"/>
  <c r="D3" i="3"/>
  <c r="F3" i="3" s="1"/>
  <c r="D11" i="3"/>
  <c r="I11" i="3"/>
  <c r="K11" i="3" s="1"/>
  <c r="I13" i="3"/>
  <c r="I8" i="3"/>
  <c r="I4" i="3"/>
  <c r="I7" i="3"/>
  <c r="D8" i="3"/>
  <c r="F94" i="1"/>
  <c r="AB94" i="1"/>
  <c r="D9" i="3"/>
  <c r="D13" i="3"/>
  <c r="U12" i="3"/>
  <c r="L10" i="2"/>
  <c r="AN93" i="1"/>
  <c r="AN30" i="1"/>
  <c r="O3" i="3"/>
  <c r="G68" i="1"/>
  <c r="D12" i="3"/>
  <c r="AN78" i="1"/>
  <c r="AN50" i="1"/>
  <c r="AN40" i="1"/>
  <c r="X87" i="4"/>
  <c r="AN88" i="1"/>
  <c r="AN65" i="1"/>
  <c r="U13" i="3"/>
  <c r="L11" i="2"/>
  <c r="V3" i="3"/>
  <c r="M2" i="2"/>
  <c r="K3" i="2"/>
  <c r="Y94" i="1"/>
  <c r="V5" i="3"/>
  <c r="M4" i="2"/>
  <c r="V7" i="3"/>
  <c r="M5" i="2"/>
  <c r="V8" i="3"/>
  <c r="M6" i="2"/>
  <c r="V9" i="3"/>
  <c r="M7" i="2"/>
  <c r="V10" i="3"/>
  <c r="M8" i="2"/>
  <c r="V12" i="3"/>
  <c r="M10" i="2"/>
  <c r="V13" i="3"/>
  <c r="M11" i="2"/>
  <c r="L5" i="2"/>
  <c r="C94" i="1"/>
  <c r="D14" i="3"/>
  <c r="G93" i="1"/>
  <c r="P89" i="1"/>
  <c r="D7" i="3"/>
  <c r="AC68" i="1"/>
  <c r="O11" i="3"/>
  <c r="AC93" i="1"/>
  <c r="AL93" i="1" s="1"/>
  <c r="P12" i="1"/>
  <c r="P16" i="1" s="1"/>
  <c r="G50" i="1"/>
  <c r="J13" i="2"/>
  <c r="L13" i="2" s="1"/>
  <c r="AC40" i="1"/>
  <c r="AL40" i="1" s="1"/>
  <c r="G88" i="1"/>
  <c r="AC88" i="1"/>
  <c r="AL88" i="1" s="1"/>
  <c r="G78" i="1"/>
  <c r="P41" i="1"/>
  <c r="AC50" i="1"/>
  <c r="AL50" i="1" s="1"/>
  <c r="G40" i="1"/>
  <c r="G30" i="1"/>
  <c r="P26" i="1"/>
  <c r="AC65" i="1"/>
  <c r="AL65" i="1" s="1"/>
  <c r="AL51" i="1"/>
  <c r="AC78" i="1"/>
  <c r="AL78" i="1" s="1"/>
  <c r="AL69" i="1"/>
  <c r="AC30" i="1"/>
  <c r="AL30" i="1" s="1"/>
  <c r="AL21" i="1"/>
  <c r="AL11" i="1"/>
  <c r="AL16" i="1" s="1"/>
  <c r="AG94" i="1"/>
  <c r="J94" i="1"/>
  <c r="K94" i="1"/>
  <c r="Q94" i="1"/>
  <c r="AF94" i="1"/>
  <c r="L93" i="1"/>
  <c r="L40" i="1"/>
  <c r="AH30" i="1"/>
  <c r="W30" i="1"/>
  <c r="W40" i="1"/>
  <c r="AS94" i="1"/>
  <c r="W50" i="1"/>
  <c r="AH50" i="1"/>
  <c r="L65" i="1"/>
  <c r="L78" i="1"/>
  <c r="AH78" i="1"/>
  <c r="AH88" i="1"/>
  <c r="L88" i="1"/>
  <c r="AH93" i="1"/>
  <c r="L50" i="1"/>
  <c r="W65" i="1"/>
  <c r="AH65" i="1"/>
  <c r="W78" i="1"/>
  <c r="L30" i="1"/>
  <c r="AH40" i="1"/>
  <c r="AN94" i="1" l="1"/>
  <c r="C99" i="1" s="1"/>
  <c r="G99" i="1" s="1"/>
  <c r="J95" i="1"/>
  <c r="K95" i="1" s="1"/>
  <c r="K13" i="3"/>
  <c r="L14" i="3"/>
  <c r="O9" i="3"/>
  <c r="O14" i="3"/>
  <c r="W14" i="3"/>
  <c r="W5" i="3"/>
  <c r="X12" i="3"/>
  <c r="X7" i="3"/>
  <c r="W13" i="3"/>
  <c r="O12" i="3"/>
  <c r="W12" i="3"/>
  <c r="O8" i="3"/>
  <c r="W10" i="3"/>
  <c r="W4" i="3"/>
  <c r="X8" i="3"/>
  <c r="X10" i="3"/>
  <c r="X5" i="3"/>
  <c r="O10" i="3"/>
  <c r="O5" i="3"/>
  <c r="X3" i="3"/>
  <c r="L96" i="1"/>
  <c r="O13" i="3"/>
  <c r="W9" i="3"/>
  <c r="W3" i="3"/>
  <c r="W7" i="3"/>
  <c r="X9" i="3"/>
  <c r="O4" i="3"/>
  <c r="X13" i="3"/>
  <c r="O7" i="3"/>
  <c r="K13" i="2"/>
  <c r="M13" i="2" s="1"/>
  <c r="X14" i="3"/>
  <c r="W8" i="3"/>
  <c r="U15" i="3"/>
  <c r="L11" i="3"/>
  <c r="L12" i="3"/>
  <c r="P30" i="1"/>
  <c r="F7" i="3"/>
  <c r="K7" i="3"/>
  <c r="P40" i="1"/>
  <c r="F8" i="3"/>
  <c r="G8" i="3" s="1"/>
  <c r="K8" i="3"/>
  <c r="P78" i="1"/>
  <c r="P88" i="1"/>
  <c r="P50" i="1"/>
  <c r="K9" i="3"/>
  <c r="P93" i="1"/>
  <c r="F4" i="3"/>
  <c r="K4" i="3"/>
  <c r="F5" i="3"/>
  <c r="G5" i="3" s="1"/>
  <c r="K5" i="3"/>
  <c r="F11" i="3"/>
  <c r="G11" i="3" s="1"/>
  <c r="F13" i="3"/>
  <c r="G13" i="3" s="1"/>
  <c r="F12" i="3"/>
  <c r="G12" i="3" s="1"/>
  <c r="G3" i="3"/>
  <c r="V4" i="3"/>
  <c r="V15" i="3" s="1"/>
  <c r="M3" i="2"/>
  <c r="F14" i="3"/>
  <c r="G14" i="3" s="1"/>
  <c r="F9" i="3"/>
  <c r="AC94" i="1"/>
  <c r="C98" i="1" s="1"/>
  <c r="AL94" i="1"/>
  <c r="C100" i="1" s="1"/>
  <c r="AH94" i="1"/>
  <c r="AH95" i="1" s="1"/>
  <c r="W94" i="1"/>
  <c r="L94" i="1"/>
  <c r="Y4" i="3" l="1"/>
  <c r="I19" i="3"/>
  <c r="L13" i="3"/>
  <c r="G4" i="3"/>
  <c r="Y8" i="3"/>
  <c r="Y11" i="3"/>
  <c r="O15" i="3"/>
  <c r="W15" i="3"/>
  <c r="X4" i="3"/>
  <c r="X15" i="3" s="1"/>
  <c r="Y5" i="3"/>
  <c r="L5" i="3"/>
  <c r="L4" i="3"/>
  <c r="H15" i="3"/>
  <c r="L9" i="3"/>
  <c r="L8" i="3"/>
  <c r="L7" i="3"/>
  <c r="Y13" i="3"/>
  <c r="Y14" i="3"/>
  <c r="Y12" i="3"/>
  <c r="G9" i="3"/>
  <c r="Y9" i="3"/>
  <c r="G7" i="3"/>
  <c r="Y7" i="3"/>
  <c r="I51" i="4"/>
  <c r="G57" i="1"/>
  <c r="P57" i="1" s="1"/>
  <c r="I50" i="4"/>
  <c r="G87" i="4"/>
  <c r="I87" i="4" l="1"/>
  <c r="L3" i="3"/>
  <c r="M51" i="4"/>
  <c r="M50" i="4"/>
  <c r="K87" i="4"/>
  <c r="M87" i="4"/>
  <c r="G51" i="1"/>
  <c r="D65" i="1"/>
  <c r="I10" i="3" l="1"/>
  <c r="I15" i="3" s="1"/>
  <c r="I16" i="3" s="1"/>
  <c r="D10" i="3"/>
  <c r="D15" i="3" s="1"/>
  <c r="D94" i="1"/>
  <c r="G65" i="1"/>
  <c r="G94" i="1" s="1"/>
  <c r="P51" i="1"/>
  <c r="K10" i="3" l="1"/>
  <c r="E15" i="3"/>
  <c r="F10" i="3"/>
  <c r="Y10" i="3" s="1"/>
  <c r="P65" i="1"/>
  <c r="P94" i="1" s="1"/>
  <c r="B100" i="1" s="1"/>
  <c r="G100" i="1" s="1"/>
  <c r="B98" i="1"/>
  <c r="G98" i="1" s="1"/>
  <c r="K15" i="3" l="1"/>
  <c r="F16" i="3" s="1"/>
  <c r="L10" i="3"/>
  <c r="F15" i="3"/>
  <c r="Y15" i="3" s="1"/>
  <c r="G10" i="3"/>
  <c r="I17" i="3"/>
  <c r="M16" i="3"/>
  <c r="M17" i="3" s="1"/>
  <c r="M18" i="3" s="1"/>
  <c r="K96" i="1" l="1"/>
  <c r="L15" i="3"/>
  <c r="K16" i="3"/>
  <c r="G15" i="3"/>
  <c r="AE9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tc={F0F9CAB9-E3AF-4BAF-844E-D89CA8E8D328}</author>
    <author>tc={2B27A79E-B1E3-4D19-84DC-DA3327203555}</author>
    <author>tc={EDFC8C4C-232A-4B1A-BC6D-395C93AE4115}</author>
    <author>tc={CB8D8180-703D-45B3-99E4-0A5CBE47BD69}</author>
    <author>tc={3E230E01-8C41-43BA-8084-629A240276DD}</author>
    <author>Diony Vanessa Arboleda Correa</author>
    <author>tc={930D936F-2153-4A03-843C-FDEC9CC327E8}</author>
    <author>tc={10F3DE43-12AA-4E64-846D-B6413958AFF4}</author>
  </authors>
  <commentList>
    <comment ref="AK26" authorId="0" shapeId="0" xr:uid="{F0F9CAB9-E3AF-4BAF-844E-D89CA8E8D328}">
      <text>
        <t>[Comentario encadenado]
Su versión de Excel le permite leer este comentario encadenado; sin embargo, las ediciones que se apliquen se quitarán si el archivo se abre en una versión más reciente de Excel. Más información: https://go.microsoft.com/fwlink/?linkid=870924
Comentario:
    sexto en la tarde no hay grupo , el caso de neurodiversidad es de que grupo?</t>
      </text>
    </comment>
    <comment ref="K41" authorId="1" shapeId="0" xr:uid="{2B27A79E-B1E3-4D19-84DC-DA3327203555}">
      <text>
        <t>[Comentario encadenado]
Su versión de Excel le permite leer este comentario encadenado; sin embargo, las ediciones que se apliquen se quitarán si el archivo se abre en una versión más reciente de Excel. Más información: https://go.microsoft.com/fwlink/?linkid=870924
Comentario:
    2 retos son de perpetuo y 5 de Belén tener en cuenta en la distribución y ofreer a las familias en la tarde</t>
      </text>
    </comment>
    <comment ref="AC42" authorId="2" shapeId="0" xr:uid="{EDFC8C4C-232A-4B1A-BC6D-395C93AE4115}">
      <text>
        <t>[Comentario encadenado]
Su versión de Excel le permite leer este comentario encadenado; sin embargo, las ediciones que se apliquen se quitarán si el archivo se abre en una versión más reciente de Excel. Más información: https://go.microsoft.com/fwlink/?linkid=870924
Comentario:
    son 2 grupos y se tiene lista de espera en la mañana , gestionar con las familias cambio de jornada</t>
      </text>
    </comment>
    <comment ref="AC54" authorId="3" shapeId="0" xr:uid="{CB8D8180-703D-45B3-99E4-0A5CBE47BD69}">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abrieron 2 grupos la lista espera esta en la mñana gestionar con las familias cambio de jornada</t>
      </text>
    </comment>
    <comment ref="AC71" authorId="4" shapeId="0" xr:uid="{3E230E01-8C41-43BA-8084-629A240276DD}">
      <text>
        <t>[Comentario encadenado]
Su versión de Excel le permite leer este comentario encadenado; sin embargo, las ediciones que se apliquen se quitarán si el archivo se abre en una versión más reciente de Excel. Más información: https://go.microsoft.com/fwlink/?linkid=870924
Comentario:
    son 2 grupos la lista de espera esta en la mañan gestionar para cambiar de jornada</t>
      </text>
    </comment>
    <comment ref="W80" authorId="5" shapeId="0" xr:uid="{B2503218-9827-4683-83FC-AB23FBFE4EB5}">
      <text>
        <r>
          <rPr>
            <b/>
            <sz val="9"/>
            <color indexed="81"/>
            <rFont val="Tahoma"/>
            <family val="2"/>
          </rPr>
          <t>Diony Vanessa Arboleda Correa:</t>
        </r>
        <r>
          <rPr>
            <sz val="9"/>
            <color indexed="81"/>
            <rFont val="Tahoma"/>
            <family val="2"/>
          </rPr>
          <t xml:space="preserve">
Por la división del grupo 2022</t>
        </r>
      </text>
    </comment>
    <comment ref="AC85" authorId="6" shapeId="0" xr:uid="{930D936F-2153-4A03-843C-FDEC9CC327E8}">
      <text>
        <t>[Comentario encadenado]
Su versión de Excel le permite leer este comentario encadenado; sin embargo, las ediciones que se apliquen se quitarán si el archivo se abre en una versión más reciente de Excel. Más información: https://go.microsoft.com/fwlink/?linkid=870924
Comentario:
    Hay lista de espera en la mañana gestionar para cambio de jornada</t>
      </text>
    </comment>
    <comment ref="AF85" authorId="7" shapeId="0" xr:uid="{10F3DE43-12AA-4E64-846D-B6413958AFF4}">
      <text>
        <t>[Comentario encadenado]
Su versión de Excel le permite leer este comentario encadenado; sin embargo, las ediciones que se apliquen se quitarán si el archivo se abre en una versión más reciente de Excel. Más información: https://go.microsoft.com/fwlink/?linkid=870924
Comentario:
    en la sede indican que podria ser promovido a septimo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Melissa Sanabria Villa</author>
  </authors>
  <commentList>
    <comment ref="AC3" authorId="0" shapeId="0" xr:uid="{301451FE-5E57-4ECD-83E3-3EC82E0044B8}">
      <text>
        <r>
          <rPr>
            <b/>
            <sz val="9"/>
            <color indexed="81"/>
            <rFont val="Tahoma"/>
            <family val="2"/>
          </rPr>
          <t>Melissa Sanabria Villa:</t>
        </r>
        <r>
          <rPr>
            <sz val="9"/>
            <color indexed="81"/>
            <rFont val="Tahoma"/>
            <family val="2"/>
          </rPr>
          <t xml:space="preserve">
25 alcaldia nuevos
10 que se liberan</t>
        </r>
      </text>
    </comment>
    <comment ref="F7" authorId="0" shapeId="0" xr:uid="{620F560C-FBE9-4C90-847E-4F9474FC859B}">
      <text>
        <r>
          <rPr>
            <b/>
            <sz val="9"/>
            <color indexed="81"/>
            <rFont val="Tahoma"/>
            <family val="2"/>
          </rPr>
          <t>Melissa Sanabria Villa:</t>
        </r>
        <r>
          <rPr>
            <sz val="9"/>
            <color indexed="81"/>
            <rFont val="Tahoma"/>
            <family val="2"/>
          </rPr>
          <t xml:space="preserve">
nuevo grupo primero</t>
        </r>
      </text>
    </comment>
    <comment ref="F12" authorId="0" shapeId="0" xr:uid="{62D4A33B-DEFF-49ED-8ED2-4D36043B9A2D}">
      <text>
        <r>
          <rPr>
            <b/>
            <sz val="9"/>
            <color indexed="81"/>
            <rFont val="Tahoma"/>
            <family val="2"/>
          </rPr>
          <t>Melissa Sanabria Villa:</t>
        </r>
        <r>
          <rPr>
            <sz val="9"/>
            <color indexed="81"/>
            <rFont val="Tahoma"/>
            <family val="2"/>
          </rPr>
          <t xml:space="preserve">
nuevo grupo primero am</t>
        </r>
      </text>
    </comment>
    <comment ref="F13" authorId="0" shapeId="0" xr:uid="{EDFC1CAA-BD6B-4842-BDED-B4A9E765C769}">
      <text>
        <r>
          <rPr>
            <b/>
            <sz val="9"/>
            <color indexed="81"/>
            <rFont val="Tahoma"/>
            <family val="2"/>
          </rPr>
          <t>Melissa Sanabria Villa:</t>
        </r>
        <r>
          <rPr>
            <sz val="9"/>
            <color indexed="81"/>
            <rFont val="Tahoma"/>
            <family val="2"/>
          </rPr>
          <t xml:space="preserve">
2 grupos: transicion y primero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Kelly Smit Loaiza Giraldo</author>
    <author>tc={DE861E9C-260A-4611-8E44-CB6CE84AE4CA}</author>
    <author>Juan Jose Obando Carmona</author>
  </authors>
  <commentList>
    <comment ref="M5" authorId="0" shapeId="0" xr:uid="{A8B4209E-ADAF-41A1-9967-08CE15C0728D}">
      <text>
        <r>
          <rPr>
            <sz val="11"/>
            <color theme="1"/>
            <rFont val="Calibri"/>
            <family val="2"/>
            <scheme val="minor"/>
          </rPr>
          <t xml:space="preserve">Kelly Smit Loaiza Giraldo:
10 cupos guardados de alcaldia
12 Envian
5 reservas ya listas
7 que se siguen guardando de alcaldia
</t>
        </r>
      </text>
    </comment>
    <comment ref="Q5" authorId="0" shapeId="0" xr:uid="{A9E3D219-B956-45D8-BB35-46805040324A}">
      <text>
        <r>
          <rPr>
            <sz val="11"/>
            <color theme="1"/>
            <rFont val="Calibri"/>
            <family val="2"/>
            <scheme val="minor"/>
          </rPr>
          <t>Kelly Smit Loaiza Giraldo:
12 alcaldia</t>
        </r>
      </text>
    </comment>
    <comment ref="M6" authorId="0" shapeId="0" xr:uid="{DCE6420A-F118-4F27-B815-741AA8E41BE3}">
      <text>
        <r>
          <rPr>
            <sz val="11"/>
            <color theme="1"/>
            <rFont val="Calibri"/>
            <family val="2"/>
            <scheme val="minor"/>
          </rPr>
          <t xml:space="preserve">Kelly Smit Loaiza Giraldo:
5 cupos guardados de alcaldia
3 Envian
</t>
        </r>
      </text>
    </comment>
    <comment ref="Q6" authorId="0" shapeId="0" xr:uid="{F5DC6823-E181-4F5F-93ED-FB49C142BB3C}">
      <text>
        <r>
          <rPr>
            <sz val="11"/>
            <color theme="1"/>
            <rFont val="Calibri"/>
            <family val="2"/>
            <scheme val="minor"/>
          </rPr>
          <t>Kelly Smit Loaiza Giraldo:
3 alcadia</t>
        </r>
      </text>
    </comment>
    <comment ref="F7" authorId="0" shapeId="0" xr:uid="{AF3EDDDD-0345-454E-A891-9AFE16C53BB7}">
      <text>
        <r>
          <rPr>
            <sz val="11"/>
            <color theme="1"/>
            <rFont val="Calibri"/>
            <family val="2"/>
            <scheme val="minor"/>
          </rPr>
          <t>Kelly Smit Loaiza Giraldo:
July recomienda capacidad 31 y se le aumenta 1 cupo a caminadores</t>
        </r>
      </text>
    </comment>
    <comment ref="M7" authorId="0" shapeId="0" xr:uid="{D3C4B561-5A18-4762-9430-88FD81FEEB90}">
      <text>
        <r>
          <rPr>
            <sz val="11"/>
            <color theme="1"/>
            <rFont val="Calibri"/>
            <family val="2"/>
            <scheme val="minor"/>
          </rPr>
          <t>Kelly Smit Loaiza Giraldo:
7 cupos guardados de alcaldia
12 Envian
9 reservas ya listas
3 que se siguen guardado de alcaldia
1 sobrecupo</t>
        </r>
      </text>
    </comment>
    <comment ref="Q7" authorId="0" shapeId="0" xr:uid="{93EAA5FC-3A1F-4715-9B7A-6CA3847913A5}">
      <text>
        <r>
          <rPr>
            <sz val="11"/>
            <color theme="1"/>
            <rFont val="Calibri"/>
            <family val="2"/>
            <scheme val="minor"/>
          </rPr>
          <t>Kelly Smit Loaiza Giraldo:
12 alcaldia
July recomienda bajar la capacidad a 30 y aumentar 2 cupos en caminadores</t>
        </r>
      </text>
    </comment>
    <comment ref="M8" authorId="0" shapeId="0" xr:uid="{09D9C876-81E8-4225-BF1D-D46F5AF619EE}">
      <text>
        <r>
          <rPr>
            <sz val="11"/>
            <color theme="1"/>
            <rFont val="Calibri"/>
            <family val="2"/>
            <scheme val="minor"/>
          </rPr>
          <t xml:space="preserve">Kelly Smit Loaiza Giraldo:
4 cupos guardados de alcaldia
12 Envian
8 reservas ya listas
4 cupos alcadia
</t>
        </r>
      </text>
    </comment>
    <comment ref="Q8" authorId="0" shapeId="0" xr:uid="{83244C9D-8873-4AC3-917D-9F1482A55669}">
      <text>
        <r>
          <rPr>
            <sz val="11"/>
            <color theme="1"/>
            <rFont val="Calibri"/>
            <family val="2"/>
            <scheme val="minor"/>
          </rPr>
          <t>Kelly Smit Loaiza Giraldo:
12 alcaldia
8 reservas listas</t>
        </r>
      </text>
    </comment>
    <comment ref="M9" authorId="0" shapeId="0" xr:uid="{F970B2FC-D0D1-437D-8597-9D6AB7430901}">
      <text>
        <r>
          <rPr>
            <sz val="11"/>
            <color theme="1"/>
            <rFont val="Calibri"/>
            <family val="2"/>
            <scheme val="minor"/>
          </rPr>
          <t>Kelly Smit Loaiza Giraldo:
Alcaldia 3</t>
        </r>
      </text>
    </comment>
    <comment ref="Q9" authorId="0" shapeId="0" xr:uid="{C4AE8B07-FA33-4D67-9424-A49AFDF33313}">
      <text>
        <r>
          <rPr>
            <sz val="11"/>
            <color theme="1"/>
            <rFont val="Calibri"/>
            <family val="2"/>
            <scheme val="minor"/>
          </rPr>
          <t>Kelly Smit Loaiza Giraldo:
Alcadia 3</t>
        </r>
      </text>
    </comment>
    <comment ref="O16" authorId="0" shapeId="0" xr:uid="{9842EE16-DC53-48FD-8F83-5C648BC99B50}">
      <text>
        <r>
          <rPr>
            <sz val="11"/>
            <color theme="1"/>
            <rFont val="Calibri"/>
            <family val="2"/>
            <scheme val="minor"/>
          </rPr>
          <t>Kelly Smit Loaiza Giraldo:
Se merma uno en el PO Q10 para guardar un cupo de reserva 1023552364 Sofia que para el 2023 va nuevamente para creadores</t>
        </r>
      </text>
    </comment>
    <comment ref="D71" authorId="1" shapeId="0" xr:uid="{DE861E9C-260A-4611-8E44-CB6CE84AE4CA}">
      <text>
        <t>[Comentario encadenado]
Su versión de Excel le permite leer este comentario encadenado; sin embargo, las ediciones que se apliquen se quitarán si el archivo se abre en una versión más reciente de Excel. Más información: https://go.microsoft.com/fwlink/?linkid=870924
Comentario:
    Se baja a 34 guardando cupo a Dilan Jhoan</t>
      </text>
    </comment>
    <comment ref="O78" authorId="2" shapeId="0" xr:uid="{065EE237-BD42-4D39-AB09-A594CBE10E34}">
      <text>
        <r>
          <rPr>
            <sz val="11"/>
            <color theme="1"/>
            <rFont val="Calibri"/>
            <family val="2"/>
            <scheme val="minor"/>
          </rPr>
          <t>Juan Jose Obando Carmona:
Se aumenta a 33 por sobrecupo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tc={667EFF9C-02B7-4FD1-9FD4-9AF9C006245A}</author>
  </authors>
  <commentList>
    <comment ref="H6" authorId="0" shapeId="0" xr:uid="{667EFF9C-02B7-4FD1-9FD4-9AF9C006245A}">
      <text>
        <t>[Comentario encadenado]
Su versión de Excel le permite leer este comentario encadenado; sin embargo, las ediciones que se apliquen se quitarán si el archivo se abre en una versión más reciente de Excel. Más información: https://go.microsoft.com/fwlink/?linkid=870924
Comentario:
    30 DE NOV</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tc={4B2E49CB-228F-47FA-AB61-E3E886444AD1}</author>
    <author>Cristina Ruiz Restrepo</author>
  </authors>
  <commentList>
    <comment ref="F13" authorId="0" shapeId="0" xr:uid="{4B2E49CB-228F-47FA-AB61-E3E886444AD1}">
      <text>
        <t>[Comentario encadenado]
Su versión de Excel le permite leer este comentario encadenado; sin embargo, las ediciones que se apliquen se quitarán si el archivo se abre en una versión más reciente de Excel. Más información: https://go.microsoft.com/fwlink/?linkid=870924
[Tasks]
Hay una tarea anclada a este comentario que no se puede ver en el cliente.
Comentario:
    @Kelly Loaiza - Cosmo Se cerró uno de los grupos</t>
      </text>
    </comment>
    <comment ref="G44" authorId="1" shapeId="0" xr:uid="{A5BA991D-6040-4F99-96CD-E540257B2757}">
      <text>
        <r>
          <rPr>
            <sz val="11"/>
            <color theme="1"/>
            <rFont val="Calibri"/>
            <family val="2"/>
            <scheme val="minor"/>
          </rPr>
          <t>Cristina Ruiz Restrepo:
Se cerró</t>
        </r>
      </text>
    </comment>
    <comment ref="G45" authorId="1" shapeId="0" xr:uid="{53792014-CEFD-4123-94DF-30DD31A94ABA}">
      <text>
        <r>
          <rPr>
            <sz val="11"/>
            <color theme="1"/>
            <rFont val="Calibri"/>
            <family val="2"/>
            <scheme val="minor"/>
          </rPr>
          <t>Cristina Ruiz Restrepo:
Se cerró</t>
        </r>
      </text>
    </comment>
    <comment ref="G52" authorId="1" shapeId="0" xr:uid="{F5061784-487E-403C-AE2D-4ED387FE29ED}">
      <text>
        <r>
          <rPr>
            <sz val="11"/>
            <color theme="1"/>
            <rFont val="Calibri"/>
            <family val="2"/>
            <scheme val="minor"/>
          </rPr>
          <t>Cristina Ruiz Restrepo:
Se cerró</t>
        </r>
      </text>
    </comment>
    <comment ref="F59" authorId="1" shapeId="0" xr:uid="{6906969C-523F-4C52-B674-DFA5B99C4BD9}">
      <text>
        <r>
          <rPr>
            <sz val="11"/>
            <color theme="1"/>
            <rFont val="Calibri"/>
            <family val="2"/>
            <scheme val="minor"/>
          </rPr>
          <t>Cristina Ruiz Restrepo:
Son 2 grupos</t>
        </r>
      </text>
    </comment>
    <comment ref="G62" authorId="1" shapeId="0" xr:uid="{804815AE-1725-4F0C-8C9A-D421250BD922}">
      <text>
        <r>
          <rPr>
            <sz val="11"/>
            <color theme="1"/>
            <rFont val="Calibri"/>
            <family val="2"/>
            <scheme val="minor"/>
          </rPr>
          <t>Cristina Ruiz Restrepo:
Se cerró</t>
        </r>
      </text>
    </comment>
    <comment ref="F69" authorId="1" shapeId="0" xr:uid="{BB1E3FBB-0CB2-4D75-8A4C-61580CEF2C12}">
      <text>
        <r>
          <rPr>
            <sz val="11"/>
            <color theme="1"/>
            <rFont val="Calibri"/>
            <family val="2"/>
            <scheme val="minor"/>
          </rPr>
          <t>Cristina Ruiz Restrepo:
2 grupos</t>
        </r>
      </text>
    </comment>
    <comment ref="F70" authorId="1" shapeId="0" xr:uid="{760BAC4F-87ED-4312-B574-1F6E69F125DF}">
      <text>
        <r>
          <rPr>
            <sz val="11"/>
            <color theme="1"/>
            <rFont val="Calibri"/>
            <family val="2"/>
            <scheme val="minor"/>
          </rPr>
          <t>Cristina Ruiz Restrepo:
3 grupos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<sst xmlns="http://schemas.openxmlformats.org/spreadsheetml/2006/main" count="1133" uniqueCount="295">
  <si>
    <t>PROYECCIÓN 2023</t>
  </si>
  <si>
    <t>Sede</t>
  </si>
  <si>
    <t>Grado</t>
  </si>
  <si>
    <t>Total grupos am</t>
  </si>
  <si>
    <t>Continuidad</t>
  </si>
  <si>
    <t>Alcaldia</t>
  </si>
  <si>
    <t>Nuevos preinscritos</t>
  </si>
  <si>
    <t>Cupos asignados</t>
  </si>
  <si>
    <t>Total Admitidos</t>
  </si>
  <si>
    <t>Grupos según admitidos</t>
  </si>
  <si>
    <t>NEURODIVERSIDAD NUEVOS EN EVALUACIÓN 2023</t>
  </si>
  <si>
    <t>NEURODIVERSIDAD 2022</t>
  </si>
  <si>
    <t xml:space="preserve">TOTAL NEURODIVERSIDAD </t>
  </si>
  <si>
    <t>Casos de neurodiversidad y alertas de continuidad pagos</t>
  </si>
  <si>
    <t>Casos de neurodiversidad y alertas nuevos  pagos</t>
  </si>
  <si>
    <t>Total Pago Neurodiversidad</t>
  </si>
  <si>
    <t xml:space="preserve">Cupos disponibles </t>
  </si>
  <si>
    <t xml:space="preserve">Capacidad máxima  </t>
  </si>
  <si>
    <t xml:space="preserve">Lista de espera </t>
  </si>
  <si>
    <t>Pagos AM</t>
  </si>
  <si>
    <t>Proyección de pagos entre continuidad y nuevos</t>
  </si>
  <si>
    <t>Proyeccion total Pagos AM</t>
  </si>
  <si>
    <t>Grupos según pagos</t>
  </si>
  <si>
    <t xml:space="preserve">Cantidad mediador </t>
  </si>
  <si>
    <t>Disponibilidad Pagos</t>
  </si>
  <si>
    <t xml:space="preserve">Total grupos  pm </t>
  </si>
  <si>
    <t>RETOS NUEVOS EN EVALUACIÓN 2023</t>
  </si>
  <si>
    <t>RETOS 2022</t>
  </si>
  <si>
    <t>Total Retos</t>
  </si>
  <si>
    <t>Total Casos neuridiversidad Pagos</t>
  </si>
  <si>
    <t xml:space="preserve">Cupos disponibles  </t>
  </si>
  <si>
    <t xml:space="preserve">capacidas máxima </t>
  </si>
  <si>
    <t>Pagos PM</t>
  </si>
  <si>
    <t>Pagos Proyectados PM</t>
  </si>
  <si>
    <t>Grupos segun pagos</t>
  </si>
  <si>
    <t xml:space="preserve">cantidad mediador </t>
  </si>
  <si>
    <t>Observacion</t>
  </si>
  <si>
    <t>Cosmo Schools Belén</t>
  </si>
  <si>
    <t>Aventureros</t>
  </si>
  <si>
    <t>Caminadores</t>
  </si>
  <si>
    <t>Creadores</t>
  </si>
  <si>
    <t>Investigadores</t>
  </si>
  <si>
    <t>Sala cunas</t>
  </si>
  <si>
    <t>Cosmo Schools Envigado</t>
  </si>
  <si>
    <t>Unir con investigadores</t>
  </si>
  <si>
    <t>Transición</t>
  </si>
  <si>
    <t>Primero</t>
  </si>
  <si>
    <t>Segundo</t>
  </si>
  <si>
    <t>Cosmo Schools Perpetuo Socorro</t>
  </si>
  <si>
    <t>unio con creadores</t>
  </si>
  <si>
    <t xml:space="preserve">Cosmo Schools Bello </t>
  </si>
  <si>
    <t>Tercero</t>
  </si>
  <si>
    <t>Cuarto</t>
  </si>
  <si>
    <t>Quinto</t>
  </si>
  <si>
    <t>Sexto</t>
  </si>
  <si>
    <t>Séptimo</t>
  </si>
  <si>
    <t>0.5</t>
  </si>
  <si>
    <t>Octavo</t>
  </si>
  <si>
    <t>Noveno</t>
  </si>
  <si>
    <t>Cosmo Schools Rionegro</t>
  </si>
  <si>
    <t xml:space="preserve">Cosmo Schools Barrio Colombia </t>
  </si>
  <si>
    <t>pendiente que la familia confirme cambio en CR, se cierra el grupo</t>
  </si>
  <si>
    <t xml:space="preserve">Cosmo Schools Centro </t>
  </si>
  <si>
    <t>Solicito retiro, Se cierra grupo</t>
  </si>
  <si>
    <t>se pasan para la mañana, se cierra grupo</t>
  </si>
  <si>
    <t>Se cierra grupo, se pasan para la mañana y otras sedes</t>
  </si>
  <si>
    <t>Décimo</t>
  </si>
  <si>
    <t>N.O Decimo- Once</t>
  </si>
  <si>
    <t>beatriz</t>
  </si>
  <si>
    <t>Inspiratec</t>
  </si>
  <si>
    <t xml:space="preserve">Cosmo Scholls Cristo Rey </t>
  </si>
  <si>
    <t xml:space="preserve">Como Schools Robledo </t>
  </si>
  <si>
    <t xml:space="preserve">Cosmo Schools San Vicente </t>
  </si>
  <si>
    <t xml:space="preserve">Total </t>
  </si>
  <si>
    <t>AM</t>
  </si>
  <si>
    <t xml:space="preserve">PM </t>
  </si>
  <si>
    <t>ambas jornadas</t>
  </si>
  <si>
    <t xml:space="preserve">Cupos asignado </t>
  </si>
  <si>
    <t>continuidad</t>
  </si>
  <si>
    <t xml:space="preserve">Foco en comunicaciones </t>
  </si>
  <si>
    <t xml:space="preserve">am </t>
  </si>
  <si>
    <t xml:space="preserve">pm </t>
  </si>
  <si>
    <t xml:space="preserve">Envigado </t>
  </si>
  <si>
    <t xml:space="preserve">Transición </t>
  </si>
  <si>
    <t xml:space="preserve">primera infancia </t>
  </si>
  <si>
    <t xml:space="preserve">Bello </t>
  </si>
  <si>
    <t xml:space="preserve">Octavo </t>
  </si>
  <si>
    <t xml:space="preserve">segundo y tercero , sexto y noveno </t>
  </si>
  <si>
    <t>Barrio Colombia</t>
  </si>
  <si>
    <t xml:space="preserve">septimo y octavo </t>
  </si>
  <si>
    <t xml:space="preserve">Transición a sxto </t>
  </si>
  <si>
    <t>Centro</t>
  </si>
  <si>
    <t xml:space="preserve">Septimo </t>
  </si>
  <si>
    <t xml:space="preserve">Cristo Rey </t>
  </si>
  <si>
    <t xml:space="preserve">Septimo y octavo </t>
  </si>
  <si>
    <t xml:space="preserve">Robledo </t>
  </si>
  <si>
    <t xml:space="preserve">Perpetuo </t>
  </si>
  <si>
    <t xml:space="preserve">Rionegro </t>
  </si>
  <si>
    <t xml:space="preserve">Transición, tercero , quinto </t>
  </si>
  <si>
    <t>CosmoSchools</t>
  </si>
  <si>
    <t>Capacidad total</t>
  </si>
  <si>
    <t>Meta Caso de Negocio</t>
  </si>
  <si>
    <t>Cupos Continuidad</t>
  </si>
  <si>
    <t>Total Cupos Asignados</t>
  </si>
  <si>
    <t>% Meta caso de negocio</t>
  </si>
  <si>
    <t>Admitidos Nuevos</t>
  </si>
  <si>
    <t>Admitidos Continuidad</t>
  </si>
  <si>
    <t>Nuevos admitidos para listado posterior</t>
  </si>
  <si>
    <t>% Admitidos/Meta caso de negocio</t>
  </si>
  <si>
    <t>Programados pasantia Nov</t>
  </si>
  <si>
    <t>Sin pasantia programada (aprobado)</t>
  </si>
  <si>
    <t>Lista de espera</t>
  </si>
  <si>
    <t>Beca 40%</t>
  </si>
  <si>
    <t>Beca 60%</t>
  </si>
  <si>
    <t>Beca Rechazada</t>
  </si>
  <si>
    <t>Total Becas Asignadas</t>
  </si>
  <si>
    <t>Salones de exploración</t>
  </si>
  <si>
    <t>Grupos am 2023</t>
  </si>
  <si>
    <t>Grupos pm 2023</t>
  </si>
  <si>
    <t>Disponibles AM extracurriculares</t>
  </si>
  <si>
    <t>Disponibles PM extracurriculares</t>
  </si>
  <si>
    <t>Diferencia</t>
  </si>
  <si>
    <t>Pagos Continuidad</t>
  </si>
  <si>
    <t>Pagos Nuevos</t>
  </si>
  <si>
    <t>Total Pagos</t>
  </si>
  <si>
    <t>Meta alimentacion</t>
  </si>
  <si>
    <t>% Cumplimiento</t>
  </si>
  <si>
    <t>Matriculados</t>
  </si>
  <si>
    <t>% Matriculados/Pagos</t>
  </si>
  <si>
    <t>Diferencia en matriculas</t>
  </si>
  <si>
    <t>Administrativos</t>
  </si>
  <si>
    <t>Circulantes</t>
  </si>
  <si>
    <t>Belén La Palma</t>
  </si>
  <si>
    <t>Envigado</t>
  </si>
  <si>
    <t>Perpetuo Socorro</t>
  </si>
  <si>
    <t>Sabaneta</t>
  </si>
  <si>
    <t>Bello</t>
  </si>
  <si>
    <t>Rionegro</t>
  </si>
  <si>
    <t>Cristo Rey</t>
  </si>
  <si>
    <t>Robledo</t>
  </si>
  <si>
    <t>San Vicente</t>
  </si>
  <si>
    <t>Total</t>
  </si>
  <si>
    <t xml:space="preserve"> </t>
  </si>
  <si>
    <t> </t>
  </si>
  <si>
    <t>PM</t>
  </si>
  <si>
    <t>Capacidad Q10</t>
  </si>
  <si>
    <t>Reserva Q10</t>
  </si>
  <si>
    <t xml:space="preserve">Capacidad Real </t>
  </si>
  <si>
    <t>Preinscritos - APROBADOS</t>
  </si>
  <si>
    <t>Total cupos asignados</t>
  </si>
  <si>
    <t>Total  Admitidos</t>
  </si>
  <si>
    <t>Lista Espera</t>
  </si>
  <si>
    <t>Disponibilidad Real</t>
  </si>
  <si>
    <t>Disponibiilidad Q10</t>
  </si>
  <si>
    <t>Capacidad  Q10</t>
  </si>
  <si>
    <t>Capacidad Real</t>
  </si>
  <si>
    <t>Preinscritos</t>
  </si>
  <si>
    <t>Citados y confirmados</t>
  </si>
  <si>
    <t>Admitidos</t>
  </si>
  <si>
    <t>No Admitidos</t>
  </si>
  <si>
    <t>Entrevista</t>
  </si>
  <si>
    <t>No Asistieron</t>
  </si>
  <si>
    <t>Reprogramados</t>
  </si>
  <si>
    <t>Programados para la tercera sem noviembre</t>
  </si>
  <si>
    <t xml:space="preserve">Sin Respuesta </t>
  </si>
  <si>
    <t>Retiraron</t>
  </si>
  <si>
    <t>Total/ Citados y confirmados</t>
  </si>
  <si>
    <t>Diagnosticos continuidad</t>
  </si>
  <si>
    <t>Nuevos admitidos diagnostico/alertas</t>
  </si>
  <si>
    <t>oki</t>
  </si>
  <si>
    <t>180lllamadas entre sabaneta y envihado.</t>
  </si>
  <si>
    <t>6 por dificultades economicas  2 nuevos para pasantía.</t>
  </si>
  <si>
    <t>noviembre prox pasantias, llamar noveno listade espera centro. Vamos abrir 1 primero am con 32. 296 llamadas, 182 contestadas, aceptaron contraoferta 71, 32 siguen en lista espera, 28 de los cuales varios por temas economicos, ya tienen colegios, hicieron preinscripcion mala creian que eran 2024, no cumplian la edad.</t>
  </si>
  <si>
    <t>102 en lista de espera que se le asigno el cupo</t>
  </si>
  <si>
    <t>39 lista de espera</t>
  </si>
  <si>
    <t>32 no se tiene respuesta de lista de espera, 13 aceptaron contrajornada, 25 prefieren quedar en lista de espero</t>
  </si>
  <si>
    <t>27 llamadas con familias reasignadas lista de espera</t>
  </si>
  <si>
    <t>pasantia 27 oct y 4 de noviembre</t>
  </si>
  <si>
    <t>3 retiros por motivos economicos. 5 reasignados del centro</t>
  </si>
  <si>
    <t>Llamados para ofrecer contrajornada</t>
  </si>
  <si>
    <t>Aceptaron</t>
  </si>
  <si>
    <t>Prefieren en lista de espera</t>
  </si>
  <si>
    <t>Desisten</t>
  </si>
  <si>
    <t>% Familias que aceptaron</t>
  </si>
  <si>
    <t>% Familias que no aceptan y desisten</t>
  </si>
  <si>
    <t>Se llaman 45 familias de la sede de Belen a ofrecer PS y otras sedes, 2 desistieron, 6 aceptaron, las demas siguen en lista de espera y no se establece comunicación.</t>
  </si>
  <si>
    <t>Etiquetas de fila</t>
  </si>
  <si>
    <t>Cuenta de Número de identificación</t>
  </si>
  <si>
    <t>Admitidos nuevos despues del listado</t>
  </si>
  <si>
    <t>Nuevas pasantias programadas</t>
  </si>
  <si>
    <t>Liberan por no respuesta</t>
  </si>
  <si>
    <t>Pendiente de entrevista y aprobación</t>
  </si>
  <si>
    <t>No se admitieron</t>
  </si>
  <si>
    <t>Cambio de jornada o sede</t>
  </si>
  <si>
    <t>Centro de Experiencia Belén La Palma</t>
  </si>
  <si>
    <t>Centro de Experiencia Envigado</t>
  </si>
  <si>
    <t>Centro de Experiencia Perpetuo Socorro</t>
  </si>
  <si>
    <t>Centro de Experiencia Sabaneta</t>
  </si>
  <si>
    <t>Centro Educativo Comfama Bello</t>
  </si>
  <si>
    <t>Colegio Comfama Rionegro</t>
  </si>
  <si>
    <t>Colegio Cosmo Schools Barrio Colombia</t>
  </si>
  <si>
    <t>Colegio Cosmo Schools Centro</t>
  </si>
  <si>
    <t>Colegio Cosmo Schools Cristo Rey</t>
  </si>
  <si>
    <t>Colegio Cosmo Schools Robledo</t>
  </si>
  <si>
    <t>Colegio Cosmo Schools San Vicente</t>
  </si>
  <si>
    <t>Total general</t>
  </si>
  <si>
    <t>Salon 2022 con sillas y mesas</t>
  </si>
  <si>
    <t>Salon requeridos 2023</t>
  </si>
  <si>
    <t>Grupos AM 2023</t>
  </si>
  <si>
    <t>Grupos PM 2023</t>
  </si>
  <si>
    <t>Observación</t>
  </si>
  <si>
    <t>Nombre de quien apoya</t>
  </si>
  <si>
    <t>Fechas desde-hasta</t>
  </si>
  <si>
    <t>Belen</t>
  </si>
  <si>
    <t>Sala cuna -  caminadores</t>
  </si>
  <si>
    <t>Solo se requiere una estanteria de ruedas y cargar CR</t>
  </si>
  <si>
    <t>Juan Pablo</t>
  </si>
  <si>
    <t>1 hasta el 16 de diciembre</t>
  </si>
  <si>
    <t>Cristina</t>
  </si>
  <si>
    <t>Robledo esumer y Bello</t>
  </si>
  <si>
    <t xml:space="preserve">Creadores </t>
  </si>
  <si>
    <t>Teresa</t>
  </si>
  <si>
    <t>Juliana Molina</t>
  </si>
  <si>
    <t>Barrio Colombia y Envigado</t>
  </si>
  <si>
    <t>Se traslada creadores, investigadores y un aulataller. Los 3 salones se piden</t>
  </si>
  <si>
    <t>Cristina Ruiz</t>
  </si>
  <si>
    <t>En todas las sedes</t>
  </si>
  <si>
    <t>Juan Jose Obando</t>
  </si>
  <si>
    <t>Kelly Smith</t>
  </si>
  <si>
    <t>Melissa Sanabria Vill</t>
  </si>
  <si>
    <t>No se requiere nada</t>
  </si>
  <si>
    <r>
      <t xml:space="preserve">Lo que se habia pedido inicialmente y se traslada de san vicente para primero talla m. </t>
    </r>
    <r>
      <rPr>
        <b/>
        <sz val="11"/>
        <color theme="1"/>
        <rFont val="Calibri"/>
        <family val="2"/>
        <scheme val="minor"/>
      </rPr>
      <t>Proponer abrir otro primero am y comprar un salon talla m para el 3° grupo.</t>
    </r>
    <r>
      <rPr>
        <sz val="11"/>
        <color theme="1"/>
        <rFont val="Calibri"/>
        <family val="2"/>
        <scheme val="minor"/>
      </rPr>
      <t xml:space="preserve"> Trasladar uno de los grandes para robledo</t>
    </r>
  </si>
  <si>
    <t>9 salones nuevos iniciales</t>
  </si>
  <si>
    <t>6 salones: 1 talla s para transición, 1 talla 1, 3 talla xl. Y se trae 1 del carmen de viboral, el que sobra lo trasladamos para robledo.</t>
  </si>
  <si>
    <t>Falta un salon de creadores. Pasar nuevas oportunidades para CESDE. Pasar noveno para CESDE y abrir un nuevo grupo de primero am.</t>
  </si>
  <si>
    <t>Nuevas oportunidades</t>
  </si>
  <si>
    <t>Se deja igual el pedido</t>
  </si>
  <si>
    <t xml:space="preserve">Pedir 1 salon talla s para el transicion nuevo </t>
  </si>
  <si>
    <t>Se puede llevar un salon para Bello y comprar uno talla L para los chicos de cuarto. Queda el pedido igual</t>
  </si>
  <si>
    <t>TOTAL PERSONAL 2023</t>
  </si>
  <si>
    <t xml:space="preserve">Escuela </t>
  </si>
  <si>
    <t>Belén</t>
  </si>
  <si>
    <t>Perpetuo</t>
  </si>
  <si>
    <t>Barrio C.</t>
  </si>
  <si>
    <t>Total Mentores</t>
  </si>
  <si>
    <t>Total Mediadores</t>
  </si>
  <si>
    <t xml:space="preserve">Primera Infancia </t>
  </si>
  <si>
    <t>Escuela explora</t>
  </si>
  <si>
    <t>Escuela crea</t>
  </si>
  <si>
    <t xml:space="preserve">Escuela construye </t>
  </si>
  <si>
    <t xml:space="preserve">Escuela Inspira </t>
  </si>
  <si>
    <t>TOTAL 2022</t>
  </si>
  <si>
    <t>CONTRATACIÓN 2023 (Nuevos)</t>
  </si>
  <si>
    <t>Mentor</t>
  </si>
  <si>
    <t xml:space="preserve">Mediador </t>
  </si>
  <si>
    <t xml:space="preserve">Aprendiz </t>
  </si>
  <si>
    <t>GRUPOS</t>
  </si>
  <si>
    <t xml:space="preserve">Grado </t>
  </si>
  <si>
    <t>Barrrio C.</t>
  </si>
  <si>
    <t>TOTAL</t>
  </si>
  <si>
    <t xml:space="preserve">Quinto </t>
  </si>
  <si>
    <t xml:space="preserve">Sexto </t>
  </si>
  <si>
    <t>Septimo</t>
  </si>
  <si>
    <t xml:space="preserve">Noveno </t>
  </si>
  <si>
    <t>Decimo</t>
  </si>
  <si>
    <t>N.O Decimo - Once</t>
  </si>
  <si>
    <t>4 Laboratorios al día con una duracion de 1:30 cada uno</t>
  </si>
  <si>
    <t>DETALLER MENTORES Y MEDIADORES</t>
  </si>
  <si>
    <t>MENTOR</t>
  </si>
  <si>
    <t>MEDIADOR</t>
  </si>
  <si>
    <t>Salacuna</t>
  </si>
  <si>
    <t>N.O Decimo Once</t>
  </si>
  <si>
    <t>#</t>
  </si>
  <si>
    <t>Capacidad instalada 2023</t>
  </si>
  <si>
    <t>Salones exploración 2023</t>
  </si>
  <si>
    <t>Aula cuerpo y mente</t>
  </si>
  <si>
    <t>Aula taller</t>
  </si>
  <si>
    <t>Biblioteca</t>
  </si>
  <si>
    <t>Comedor</t>
  </si>
  <si>
    <t>Inmersa en parque</t>
  </si>
  <si>
    <t>primero adicional</t>
  </si>
  <si>
    <t>revisando si abrimos un primero am</t>
  </si>
  <si>
    <t>nuevas oportunidades am</t>
  </si>
  <si>
    <t>Cesde</t>
  </si>
  <si>
    <t>Compartida Cesde</t>
  </si>
  <si>
    <t>Transicion adicional</t>
  </si>
  <si>
    <t>Alumnos /aula</t>
  </si>
  <si>
    <t>Jornadas</t>
  </si>
  <si>
    <t>Salon 2021</t>
  </si>
  <si>
    <t>Sede actual 2022 65 sillas</t>
  </si>
  <si>
    <t>Sede actual 2022 115 sillas</t>
  </si>
  <si>
    <t xml:space="preserve">Dotación 2021 primero </t>
  </si>
  <si>
    <t>Dotación 4° y 5° se comparte</t>
  </si>
  <si>
    <t>Dotación 2° y 3° se comparte</t>
  </si>
  <si>
    <t>TOTAL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</si>
</sst>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9"/>
      <color indexed="81"/>
      <name val="Tahoma"/>
      <family val="2"/>
    </font>
    <font>
      <b/>
      <sz val="9"/>
      <color indexed="81"/>
      <name val="Tahoma"/>
      <family val="2"/>
    </font>
    <font>
      <sz val="11"/>
      <color theme="1"/>
      <name val="Calibri"/>
      <family val="2"/>
      <scheme val="minor"/>
    </font>
    <font>
      <b/>
      <sz val="11"/>
      <color rgb="FF000000"/>
      <name val="Calibri"/>
      <family val="2"/>
    </font>
    <font>
      <sz val="11"/>
      <color rgb="FF000000"/>
      <name val="Calibri"/>
      <family val="2"/>
    </font>
    <font>
      <b/>
      <sz val="9"/>
      <color theme="0"/>
      <name val="Calibri"/>
      <family val="2"/>
      <scheme val="minor"/>
    </font>
    <font>
      <b/>
      <sz val="10"/>
      <color theme="1"/>
      <name val="Calibri"/>
      <family val="2"/>
    </font>
    <font>
      <sz val="9"/>
      <color theme="1"/>
      <name val="Calibri"/>
      <family val="2"/>
      <scheme val="minor"/>
    </font>
    <font>
      <sz val="10"/>
      <color theme="1"/>
      <name val="Calibri"/>
      <family val="2"/>
    </font>
    <font>
      <sz val="11"/>
      <color theme="1"/>
      <name val="Calibri"/>
      <family val="2"/>
    </font>
    <font>
      <b/>
      <sz val="11"/>
      <color theme="1"/>
      <name val="Calibri"/>
      <family val="2"/>
    </font>
    <font>
      <sz val="11"/>
      <color theme="0"/>
      <name val="Calibri"/>
      <family val="2"/>
      <scheme val="minor"/>
    </font>
    <font>
      <sz val="11"/>
      <color rgb="FFFF0000"/>
      <name val="Calibri"/>
      <family val="2"/>
      <scheme val="minor"/>
    </font>
    <font>
      <u/>
      <sz val="11"/>
      <color theme="1"/>
      <name val="Calibri"/>
      <family val="2"/>
      <scheme val="minor"/>
    </font>
  </fonts>
  <fills count="3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0"/>
        <bgColor rgb="FF000000"/>
      </patternFill>
    </fill>
    <fill>
      <patternFill patternType="solid">
        <fgColor rgb="FFFF0000"/>
        <bgColor indexed="64"/>
      </patternFill>
    </fill>
    <fill>
      <patternFill patternType="solid">
        <fgColor theme="4" tint="0.59999389629810485"/>
        <bgColor indexed="64"/>
      </patternFill>
    </fill>
    <fill>
      <patternFill patternType="solid">
        <fgColor rgb="FFD9D9D9"/>
        <bgColor rgb="FF000000"/>
      </patternFill>
    </fill>
    <fill>
      <patternFill patternType="solid">
        <fgColor theme="8" tint="0.79998168889431442"/>
        <bgColor rgb="FF000000"/>
      </patternFill>
    </fill>
    <fill>
      <patternFill patternType="solid">
        <fgColor theme="2"/>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rgb="FFE2EFDA"/>
        <bgColor rgb="FF000000"/>
      </patternFill>
    </fill>
    <fill>
      <patternFill patternType="solid">
        <fgColor rgb="FFEDEDED"/>
        <bgColor rgb="FF000000"/>
      </patternFill>
    </fill>
    <fill>
      <patternFill patternType="solid">
        <fgColor rgb="FFFFFFFF"/>
        <bgColor rgb="FF000000"/>
      </patternFill>
    </fill>
    <fill>
      <patternFill patternType="solid">
        <fgColor rgb="FFFFC000"/>
        <bgColor indexed="64"/>
      </patternFill>
    </fill>
    <fill>
      <patternFill patternType="solid">
        <fgColor rgb="FF00B0F0"/>
        <bgColor indexed="64"/>
      </patternFill>
    </fill>
    <fill>
      <patternFill patternType="solid">
        <fgColor rgb="FFFCE4D6"/>
        <bgColor indexed="64"/>
      </patternFill>
    </fill>
    <fill>
      <patternFill patternType="solid">
        <fgColor rgb="FFBFBFBF"/>
        <bgColor indexed="64"/>
      </patternFill>
    </fill>
    <fill>
      <patternFill patternType="solid">
        <fgColor rgb="FFF8CBAD"/>
        <bgColor indexed="64"/>
      </patternFill>
    </fill>
    <fill>
      <patternFill patternType="solid">
        <fgColor rgb="FFB4C6E7"/>
        <bgColor indexed="64"/>
      </patternFill>
    </fill>
    <fill>
      <patternFill patternType="solid">
        <fgColor rgb="FFFFD966"/>
        <bgColor indexed="64"/>
      </patternFill>
    </fill>
    <fill>
      <patternFill patternType="solid">
        <fgColor rgb="FFF2F2F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2" tint="-0.499984740745262"/>
        <bgColor indexed="64"/>
      </patternFill>
    </fill>
    <fill>
      <patternFill patternType="solid">
        <fgColor rgb="FFFFFF00"/>
        <bgColor rgb="FF000000"/>
      </patternFill>
    </fill>
    <fill>
      <patternFill patternType="solid">
        <fgColor theme="5"/>
        <bgColor rgb="FF000000"/>
      </patternFill>
    </fill>
    <fill>
      <patternFill patternType="solid">
        <fgColor theme="5"/>
        <bgColor indexed="64"/>
      </patternFill>
    </fill>
  </fills>
  <borders count="61">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rgb="FFFFFFFF"/>
      </left>
      <right style="thin">
        <color rgb="FFFFFFFF"/>
      </right>
      <top style="thin">
        <color rgb="FFFFFFFF"/>
      </top>
      <bottom style="thin">
        <color rgb="FFFFFFFF"/>
      </bottom>
      <diagonal/>
    </border>
    <border>
      <left/>
      <right style="medium">
        <color rgb="FF000000"/>
      </right>
      <top style="medium">
        <color indexed="64"/>
      </top>
      <bottom/>
      <diagonal/>
    </border>
    <border>
      <left/>
      <right/>
      <top style="medium">
        <color indexed="64"/>
      </top>
      <bottom/>
      <diagonal/>
    </border>
    <border>
      <left/>
      <right/>
      <top style="medium">
        <color rgb="FF000000"/>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medium">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top style="thin">
        <color rgb="FF000000"/>
      </top>
      <bottom style="medium">
        <color rgb="FF000000"/>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rgb="FF000000"/>
      </top>
      <bottom/>
      <diagonal/>
    </border>
    <border>
      <left style="thin">
        <color rgb="FF000000"/>
      </left>
      <right/>
      <top style="thin">
        <color rgb="FF000000"/>
      </top>
      <bottom style="thin">
        <color rgb="FF000000"/>
      </bottom>
      <diagonal/>
    </border>
    <border>
      <left style="thin">
        <color indexed="64"/>
      </left>
      <right/>
      <top style="thin">
        <color rgb="FF000000"/>
      </top>
      <bottom/>
      <diagonal/>
    </border>
    <border>
      <left style="thin">
        <color indexed="64"/>
      </left>
      <right/>
      <top/>
      <bottom/>
      <diagonal/>
    </border>
    <border>
      <left style="thin">
        <color rgb="FFFFFFFF"/>
      </left>
      <right style="thin">
        <color rgb="FFFFFFFF"/>
      </right>
      <top/>
      <bottom/>
      <diagonal/>
    </border>
    <border>
      <left style="thin">
        <color rgb="FFFFFFFF"/>
      </left>
      <right/>
      <top style="thin">
        <color rgb="FFFFFFFF"/>
      </top>
      <bottom style="thin">
        <color rgb="FFFFFFFF"/>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bottom style="thin">
        <color indexed="64"/>
      </bottom>
      <diagonal/>
    </border>
    <border>
      <left/>
      <right/>
      <top style="thin">
        <color indexed="64"/>
      </top>
      <bottom/>
      <diagonal/>
    </border>
    <border>
      <left/>
      <right style="thin">
        <color indexed="64"/>
      </right>
      <top/>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2">
    <xf numFmtId="0" fontId="0" fillId="0" borderId="0"/>
    <xf numFmtId="9" fontId="6" fillId="0" borderId="0" applyFont="0" applyFill="0" applyBorder="0" applyAlignment="0" applyProtection="0"/>
  </cellStyleXfs>
  <cellXfs count="308">
    <xf numFmtId="0" fontId="0" fillId="0" borderId="0" xfId="0"/>
    <xf numFmtId="0" fontId="0" fillId="2" borderId="0" xfId="0" applyFill="1" applyAlignment="1">
      <alignment wrapText="1"/>
    </xf>
    <xf numFmtId="0" fontId="0" fillId="2" borderId="0" xfId="0" applyFill="1"/>
    <xf numFmtId="0" fontId="0" fillId="2" borderId="0" xfId="0" applyFill="1" applyAlignment="1">
      <alignment horizontal="center"/>
    </xf>
    <xf numFmtId="0" fontId="2" fillId="2" borderId="0" xfId="0" applyFont="1" applyFill="1" applyAlignment="1">
      <alignment wrapText="1"/>
    </xf>
    <xf numFmtId="0" fontId="2" fillId="2" borderId="0" xfId="0" applyFont="1" applyFill="1"/>
    <xf numFmtId="0" fontId="3" fillId="4"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2" fillId="2" borderId="3" xfId="0" applyFont="1" applyFill="1" applyBorder="1" applyAlignment="1">
      <alignment horizontal="left" indent="1"/>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2" fillId="6" borderId="5" xfId="0" applyFont="1" applyFill="1" applyBorder="1" applyAlignment="1">
      <alignment horizontal="center"/>
    </xf>
    <xf numFmtId="0" fontId="2" fillId="2" borderId="3" xfId="0" applyFont="1" applyFill="1" applyBorder="1" applyAlignment="1">
      <alignment horizontal="center" vertical="center"/>
    </xf>
    <xf numFmtId="0" fontId="2" fillId="6" borderId="3" xfId="0" applyFont="1" applyFill="1" applyBorder="1" applyAlignment="1">
      <alignment horizontal="center"/>
    </xf>
    <xf numFmtId="0" fontId="3" fillId="4" borderId="6" xfId="0" applyFont="1" applyFill="1" applyBorder="1" applyAlignment="1">
      <alignment horizontal="center" vertical="center" wrapText="1"/>
    </xf>
    <xf numFmtId="0" fontId="2" fillId="4" borderId="3" xfId="0" applyFont="1" applyFill="1" applyBorder="1" applyAlignment="1">
      <alignment horizontal="left" indent="1"/>
    </xf>
    <xf numFmtId="0" fontId="0" fillId="4" borderId="3" xfId="0" applyFill="1" applyBorder="1" applyAlignment="1">
      <alignment horizontal="center"/>
    </xf>
    <xf numFmtId="0" fontId="0" fillId="4" borderId="5" xfId="0" applyFill="1" applyBorder="1" applyAlignment="1">
      <alignment horizontal="center"/>
    </xf>
    <xf numFmtId="0" fontId="0" fillId="4" borderId="0" xfId="0" applyFill="1"/>
    <xf numFmtId="0" fontId="3" fillId="4" borderId="7" xfId="0" applyFont="1" applyFill="1" applyBorder="1" applyAlignment="1">
      <alignment horizontal="center" vertical="center" wrapText="1"/>
    </xf>
    <xf numFmtId="0" fontId="2" fillId="2" borderId="3" xfId="0" quotePrefix="1" applyFont="1" applyFill="1" applyBorder="1" applyAlignment="1">
      <alignment horizontal="center" vertical="center"/>
    </xf>
    <xf numFmtId="0" fontId="2" fillId="2" borderId="6" xfId="0" applyFont="1" applyFill="1" applyBorder="1" applyAlignment="1">
      <alignment horizontal="left" indent="1"/>
    </xf>
    <xf numFmtId="0" fontId="0" fillId="2" borderId="6"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2" fillId="2" borderId="6" xfId="0" applyFont="1" applyFill="1" applyBorder="1" applyAlignment="1">
      <alignment horizontal="center" vertical="center"/>
    </xf>
    <xf numFmtId="0" fontId="2" fillId="4" borderId="6" xfId="0" applyFont="1" applyFill="1" applyBorder="1" applyAlignment="1">
      <alignment horizontal="left" indent="1"/>
    </xf>
    <xf numFmtId="0" fontId="0" fillId="4" borderId="6" xfId="0" applyFill="1" applyBorder="1" applyAlignment="1">
      <alignment horizontal="center"/>
    </xf>
    <xf numFmtId="0" fontId="1" fillId="2" borderId="3" xfId="0" applyFont="1" applyFill="1" applyBorder="1" applyAlignment="1">
      <alignment horizontal="center" vertical="center" wrapText="1"/>
    </xf>
    <xf numFmtId="0" fontId="2" fillId="2" borderId="3" xfId="0" applyFont="1" applyFill="1" applyBorder="1"/>
    <xf numFmtId="0" fontId="0" fillId="2" borderId="3" xfId="0" applyFill="1" applyBorder="1" applyAlignment="1">
      <alignment wrapText="1"/>
    </xf>
    <xf numFmtId="0" fontId="0" fillId="2" borderId="3" xfId="0" applyFill="1" applyBorder="1"/>
    <xf numFmtId="0" fontId="0" fillId="0" borderId="0" xfId="0" applyAlignment="1">
      <alignment wrapText="1"/>
    </xf>
    <xf numFmtId="0" fontId="0" fillId="2" borderId="7" xfId="0" applyFill="1" applyBorder="1" applyAlignment="1">
      <alignment horizontal="center"/>
    </xf>
    <xf numFmtId="0" fontId="1" fillId="8" borderId="3" xfId="0" applyFont="1" applyFill="1" applyBorder="1" applyAlignment="1">
      <alignment horizontal="center" vertical="center" wrapText="1"/>
    </xf>
    <xf numFmtId="0" fontId="1" fillId="3" borderId="3" xfId="0" applyFont="1" applyFill="1" applyBorder="1" applyAlignment="1">
      <alignment horizontal="center" wrapText="1"/>
    </xf>
    <xf numFmtId="0" fontId="1" fillId="3" borderId="3" xfId="0" applyFont="1" applyFill="1" applyBorder="1" applyAlignment="1">
      <alignment horizontal="center"/>
    </xf>
    <xf numFmtId="0" fontId="0" fillId="7" borderId="0" xfId="0" applyFill="1"/>
    <xf numFmtId="0" fontId="0" fillId="0" borderId="3" xfId="0" applyBorder="1" applyAlignment="1">
      <alignment horizontal="center"/>
    </xf>
    <xf numFmtId="0" fontId="2" fillId="0" borderId="3" xfId="0" applyFont="1" applyBorder="1" applyAlignment="1">
      <alignment horizontal="center" vertical="center"/>
    </xf>
    <xf numFmtId="0" fontId="1" fillId="3" borderId="0" xfId="0" applyFont="1" applyFill="1" applyAlignment="1">
      <alignment horizontal="center"/>
    </xf>
    <xf numFmtId="0" fontId="1" fillId="0" borderId="0" xfId="0" applyFont="1"/>
    <xf numFmtId="0" fontId="1" fillId="0" borderId="0" xfId="0" applyFont="1" applyAlignment="1">
      <alignment horizontal="center"/>
    </xf>
    <xf numFmtId="0" fontId="0" fillId="0" borderId="0" xfId="0" applyAlignment="1">
      <alignment horizontal="center"/>
    </xf>
    <xf numFmtId="0" fontId="7" fillId="9" borderId="3" xfId="0" applyFont="1" applyFill="1" applyBorder="1" applyAlignment="1">
      <alignment horizontal="center" vertical="center"/>
    </xf>
    <xf numFmtId="0" fontId="7" fillId="9" borderId="3" xfId="0" applyFont="1" applyFill="1" applyBorder="1" applyAlignment="1">
      <alignment horizontal="center" vertical="center" wrapText="1"/>
    </xf>
    <xf numFmtId="0" fontId="7" fillId="10" borderId="3" xfId="0" applyFont="1" applyFill="1" applyBorder="1" applyAlignment="1">
      <alignment horizontal="center" vertical="center" wrapText="1"/>
    </xf>
    <xf numFmtId="0" fontId="8" fillId="0" borderId="3" xfId="0" applyFont="1" applyBorder="1" applyAlignment="1">
      <alignment horizontal="center"/>
    </xf>
    <xf numFmtId="0" fontId="8" fillId="0" borderId="3" xfId="0" applyFont="1" applyBorder="1"/>
    <xf numFmtId="0" fontId="0" fillId="0" borderId="3" xfId="0" applyBorder="1" applyAlignment="1">
      <alignment horizontal="center" vertical="center"/>
    </xf>
    <xf numFmtId="0" fontId="7" fillId="9" borderId="3" xfId="0" applyFont="1" applyFill="1" applyBorder="1"/>
    <xf numFmtId="0" fontId="7" fillId="9" borderId="3" xfId="0" applyFont="1" applyFill="1" applyBorder="1" applyAlignment="1">
      <alignment horizontal="center"/>
    </xf>
    <xf numFmtId="0" fontId="7" fillId="11" borderId="3" xfId="0" applyFont="1" applyFill="1" applyBorder="1" applyAlignment="1">
      <alignment horizontal="center"/>
    </xf>
    <xf numFmtId="0" fontId="0" fillId="0" borderId="4" xfId="0" applyBorder="1"/>
    <xf numFmtId="1" fontId="9" fillId="12" borderId="10" xfId="0" applyNumberFormat="1" applyFont="1" applyFill="1" applyBorder="1" applyAlignment="1">
      <alignment horizontal="center" vertical="center" wrapText="1"/>
    </xf>
    <xf numFmtId="3" fontId="10" fillId="13" borderId="10" xfId="0" applyNumberFormat="1" applyFont="1" applyFill="1" applyBorder="1" applyAlignment="1">
      <alignment horizontal="left" vertical="center"/>
    </xf>
    <xf numFmtId="3" fontId="11" fillId="13" borderId="10" xfId="0" applyNumberFormat="1" applyFont="1" applyFill="1" applyBorder="1" applyAlignment="1">
      <alignment horizontal="center" vertical="center"/>
    </xf>
    <xf numFmtId="9" fontId="11" fillId="13" borderId="10" xfId="1" applyFont="1" applyFill="1" applyBorder="1" applyAlignment="1">
      <alignment horizontal="center" vertical="center"/>
    </xf>
    <xf numFmtId="3" fontId="10" fillId="3" borderId="10" xfId="0" applyNumberFormat="1" applyFont="1" applyFill="1" applyBorder="1" applyAlignment="1">
      <alignment horizontal="left" vertical="center"/>
    </xf>
    <xf numFmtId="3" fontId="11" fillId="3" borderId="10" xfId="0" applyNumberFormat="1" applyFont="1" applyFill="1" applyBorder="1" applyAlignment="1">
      <alignment horizontal="center" vertical="center"/>
    </xf>
    <xf numFmtId="9" fontId="11" fillId="3" borderId="10" xfId="1" applyFont="1" applyFill="1" applyBorder="1" applyAlignment="1">
      <alignment horizontal="center" vertical="center"/>
    </xf>
    <xf numFmtId="9" fontId="9" fillId="12" borderId="10" xfId="1" applyFont="1" applyFill="1" applyBorder="1" applyAlignment="1">
      <alignment horizontal="center" vertical="center" wrapText="1"/>
    </xf>
    <xf numFmtId="0" fontId="2" fillId="0" borderId="3" xfId="0" applyFont="1" applyBorder="1" applyAlignment="1">
      <alignment horizontal="left" indent="1"/>
    </xf>
    <xf numFmtId="0" fontId="0" fillId="0" borderId="4" xfId="0" applyBorder="1" applyAlignment="1">
      <alignment horizontal="center"/>
    </xf>
    <xf numFmtId="0" fontId="0" fillId="0" borderId="5" xfId="0" applyBorder="1" applyAlignment="1">
      <alignment horizontal="center"/>
    </xf>
    <xf numFmtId="0" fontId="0" fillId="0" borderId="16" xfId="0" applyBorder="1"/>
    <xf numFmtId="0" fontId="7" fillId="9" borderId="6" xfId="0" applyFont="1" applyFill="1" applyBorder="1" applyAlignment="1">
      <alignment horizontal="center" vertical="center" wrapText="1"/>
    </xf>
    <xf numFmtId="0" fontId="2" fillId="2" borderId="38" xfId="0" applyFont="1" applyFill="1" applyBorder="1" applyAlignment="1">
      <alignment horizontal="left" indent="1"/>
    </xf>
    <xf numFmtId="0" fontId="2" fillId="2" borderId="4" xfId="0" applyFont="1" applyFill="1" applyBorder="1" applyAlignment="1">
      <alignment horizontal="left" indent="1"/>
    </xf>
    <xf numFmtId="0" fontId="2" fillId="2" borderId="8" xfId="0" applyFont="1" applyFill="1" applyBorder="1" applyAlignment="1">
      <alignment horizontal="left" indent="1"/>
    </xf>
    <xf numFmtId="0" fontId="0" fillId="0" borderId="28" xfId="0" applyBorder="1"/>
    <xf numFmtId="0" fontId="0" fillId="0" borderId="28" xfId="0" quotePrefix="1" applyBorder="1"/>
    <xf numFmtId="0" fontId="0" fillId="24" borderId="5" xfId="0" applyFill="1" applyBorder="1" applyAlignment="1">
      <alignment horizontal="center" vertical="center"/>
    </xf>
    <xf numFmtId="0" fontId="0" fillId="24" borderId="3" xfId="0" applyFill="1" applyBorder="1" applyAlignment="1">
      <alignment horizontal="center" vertical="center"/>
    </xf>
    <xf numFmtId="0" fontId="0" fillId="24" borderId="9" xfId="0" applyFill="1" applyBorder="1" applyAlignment="1">
      <alignment horizontal="center" vertical="center"/>
    </xf>
    <xf numFmtId="0" fontId="0" fillId="24" borderId="6" xfId="0" applyFill="1" applyBorder="1" applyAlignment="1">
      <alignment horizontal="center" vertical="center"/>
    </xf>
    <xf numFmtId="0" fontId="0" fillId="24" borderId="5" xfId="0" applyFill="1" applyBorder="1" applyAlignment="1">
      <alignment horizontal="center"/>
    </xf>
    <xf numFmtId="0" fontId="2" fillId="24" borderId="3" xfId="0" applyFont="1" applyFill="1" applyBorder="1" applyAlignment="1">
      <alignment horizontal="center" vertical="center"/>
    </xf>
    <xf numFmtId="0" fontId="2" fillId="24" borderId="3" xfId="0" quotePrefix="1" applyFont="1" applyFill="1" applyBorder="1" applyAlignment="1">
      <alignment horizontal="center" vertical="center"/>
    </xf>
    <xf numFmtId="0" fontId="0" fillId="24" borderId="9" xfId="0" applyFill="1" applyBorder="1" applyAlignment="1">
      <alignment horizontal="center"/>
    </xf>
    <xf numFmtId="0" fontId="2" fillId="24" borderId="6" xfId="0" applyFont="1" applyFill="1" applyBorder="1" applyAlignment="1">
      <alignment horizontal="center" vertical="center"/>
    </xf>
    <xf numFmtId="0" fontId="8" fillId="0" borderId="0" xfId="0" applyFont="1"/>
    <xf numFmtId="0" fontId="8" fillId="14" borderId="0" xfId="0" applyFont="1" applyFill="1"/>
    <xf numFmtId="0" fontId="7" fillId="20" borderId="23" xfId="0" applyFont="1" applyFill="1" applyBorder="1" applyAlignment="1">
      <alignment horizontal="center" vertical="center"/>
    </xf>
    <xf numFmtId="0" fontId="7" fillId="20" borderId="24" xfId="0" applyFont="1" applyFill="1" applyBorder="1" applyAlignment="1">
      <alignment horizontal="center" vertical="center" wrapText="1"/>
    </xf>
    <xf numFmtId="0" fontId="7" fillId="23" borderId="13" xfId="0" applyFont="1" applyFill="1" applyBorder="1" applyAlignment="1">
      <alignment vertical="center" wrapText="1"/>
    </xf>
    <xf numFmtId="0" fontId="7" fillId="23" borderId="23" xfId="0" applyFont="1" applyFill="1" applyBorder="1" applyAlignment="1">
      <alignment vertical="center" wrapText="1"/>
    </xf>
    <xf numFmtId="0" fontId="7" fillId="21" borderId="23" xfId="0" applyFont="1" applyFill="1" applyBorder="1" applyAlignment="1">
      <alignment vertical="center" wrapText="1"/>
    </xf>
    <xf numFmtId="0" fontId="7" fillId="23" borderId="24" xfId="0" applyFont="1" applyFill="1" applyBorder="1" applyAlignment="1">
      <alignment vertical="center" wrapText="1"/>
    </xf>
    <xf numFmtId="0" fontId="7" fillId="22" borderId="23" xfId="0" applyFont="1" applyFill="1" applyBorder="1" applyAlignment="1">
      <alignment vertical="center" wrapText="1"/>
    </xf>
    <xf numFmtId="0" fontId="7" fillId="0" borderId="25" xfId="0" applyFont="1" applyBorder="1"/>
    <xf numFmtId="0" fontId="8" fillId="0" borderId="22" xfId="0" applyFont="1" applyBorder="1"/>
    <xf numFmtId="0" fontId="8" fillId="0" borderId="17" xfId="0" applyFont="1" applyBorder="1"/>
    <xf numFmtId="0" fontId="8" fillId="0" borderId="18" xfId="0" applyFont="1" applyBorder="1"/>
    <xf numFmtId="0" fontId="7" fillId="0" borderId="26" xfId="0" applyFont="1" applyBorder="1"/>
    <xf numFmtId="0" fontId="8" fillId="0" borderId="28" xfId="0" applyFont="1" applyBorder="1"/>
    <xf numFmtId="0" fontId="8" fillId="0" borderId="16" xfId="0" applyFont="1" applyBorder="1"/>
    <xf numFmtId="0" fontId="8" fillId="0" borderId="19" xfId="0" applyFont="1" applyBorder="1"/>
    <xf numFmtId="0" fontId="7" fillId="0" borderId="30" xfId="0" applyFont="1" applyBorder="1"/>
    <xf numFmtId="0" fontId="8" fillId="0" borderId="31" xfId="0" applyFont="1" applyBorder="1"/>
    <xf numFmtId="0" fontId="8" fillId="0" borderId="32" xfId="0" applyFont="1" applyBorder="1"/>
    <xf numFmtId="0" fontId="8" fillId="0" borderId="33" xfId="0" applyFont="1" applyBorder="1"/>
    <xf numFmtId="0" fontId="7" fillId="19" borderId="25" xfId="0" applyFont="1" applyFill="1" applyBorder="1"/>
    <xf numFmtId="0" fontId="8" fillId="19" borderId="22" xfId="0" applyFont="1" applyFill="1" applyBorder="1"/>
    <xf numFmtId="0" fontId="8" fillId="19" borderId="17" xfId="0" applyFont="1" applyFill="1" applyBorder="1"/>
    <xf numFmtId="0" fontId="8" fillId="19" borderId="18" xfId="0" applyFont="1" applyFill="1" applyBorder="1"/>
    <xf numFmtId="0" fontId="7" fillId="19" borderId="26" xfId="0" applyFont="1" applyFill="1" applyBorder="1"/>
    <xf numFmtId="0" fontId="8" fillId="19" borderId="28" xfId="0" applyFont="1" applyFill="1" applyBorder="1"/>
    <xf numFmtId="0" fontId="8" fillId="19" borderId="16" xfId="0" applyFont="1" applyFill="1" applyBorder="1"/>
    <xf numFmtId="0" fontId="8" fillId="19" borderId="19" xfId="0" applyFont="1" applyFill="1" applyBorder="1"/>
    <xf numFmtId="0" fontId="7" fillId="19" borderId="30" xfId="0" applyFont="1" applyFill="1" applyBorder="1"/>
    <xf numFmtId="0" fontId="8" fillId="19" borderId="31" xfId="0" applyFont="1" applyFill="1" applyBorder="1"/>
    <xf numFmtId="0" fontId="8" fillId="19" borderId="32" xfId="0" applyFont="1" applyFill="1" applyBorder="1"/>
    <xf numFmtId="0" fontId="8" fillId="19" borderId="33" xfId="0" applyFont="1" applyFill="1" applyBorder="1"/>
    <xf numFmtId="0" fontId="8" fillId="17" borderId="28" xfId="0" applyFont="1" applyFill="1" applyBorder="1"/>
    <xf numFmtId="0" fontId="8" fillId="17" borderId="16" xfId="0" applyFont="1" applyFill="1" applyBorder="1"/>
    <xf numFmtId="0" fontId="8" fillId="17" borderId="19" xfId="0" applyFont="1" applyFill="1" applyBorder="1"/>
    <xf numFmtId="0" fontId="8" fillId="15" borderId="28" xfId="0" applyFont="1" applyFill="1" applyBorder="1"/>
    <xf numFmtId="0" fontId="8" fillId="18" borderId="28" xfId="0" applyFont="1" applyFill="1" applyBorder="1"/>
    <xf numFmtId="0" fontId="8" fillId="18" borderId="16" xfId="0" applyFont="1" applyFill="1" applyBorder="1"/>
    <xf numFmtId="0" fontId="8" fillId="18" borderId="19" xfId="0" applyFont="1" applyFill="1" applyBorder="1"/>
    <xf numFmtId="0" fontId="8" fillId="16" borderId="28" xfId="0" applyFont="1" applyFill="1" applyBorder="1"/>
    <xf numFmtId="0" fontId="8" fillId="18" borderId="31" xfId="0" applyFont="1" applyFill="1" applyBorder="1"/>
    <xf numFmtId="0" fontId="8" fillId="18" borderId="32" xfId="0" applyFont="1" applyFill="1" applyBorder="1"/>
    <xf numFmtId="0" fontId="8" fillId="18" borderId="33" xfId="0" applyFont="1" applyFill="1" applyBorder="1"/>
    <xf numFmtId="0" fontId="8" fillId="15" borderId="31" xfId="0" applyFont="1" applyFill="1" applyBorder="1"/>
    <xf numFmtId="0" fontId="8" fillId="15" borderId="22" xfId="0" applyFont="1" applyFill="1" applyBorder="1"/>
    <xf numFmtId="0" fontId="8" fillId="0" borderId="16" xfId="0" applyFont="1" applyBorder="1" applyAlignment="1">
      <alignment wrapText="1"/>
    </xf>
    <xf numFmtId="0" fontId="7" fillId="0" borderId="27" xfId="0" applyFont="1" applyBorder="1"/>
    <xf numFmtId="0" fontId="8" fillId="0" borderId="29" xfId="0" applyFont="1" applyBorder="1"/>
    <xf numFmtId="0" fontId="8" fillId="0" borderId="20" xfId="0" applyFont="1" applyBorder="1"/>
    <xf numFmtId="0" fontId="8" fillId="0" borderId="21" xfId="0" applyFont="1" applyBorder="1"/>
    <xf numFmtId="0" fontId="8" fillId="0" borderId="15" xfId="0" applyFont="1" applyBorder="1"/>
    <xf numFmtId="0" fontId="8" fillId="0" borderId="3" xfId="0" applyFont="1" applyBorder="1" applyAlignment="1">
      <alignment horizontal="center" vertical="center"/>
    </xf>
    <xf numFmtId="0" fontId="0" fillId="25" borderId="28" xfId="0" applyFill="1" applyBorder="1"/>
    <xf numFmtId="0" fontId="7" fillId="9" borderId="6" xfId="0" applyFont="1" applyFill="1" applyBorder="1" applyAlignment="1">
      <alignment horizontal="center" vertical="center"/>
    </xf>
    <xf numFmtId="0" fontId="0" fillId="0" borderId="3" xfId="0" applyBorder="1"/>
    <xf numFmtId="0" fontId="0" fillId="24" borderId="3" xfId="0" applyFill="1" applyBorder="1" applyAlignment="1">
      <alignment horizontal="center"/>
    </xf>
    <xf numFmtId="0" fontId="0" fillId="25" borderId="3" xfId="0" applyFill="1" applyBorder="1"/>
    <xf numFmtId="0" fontId="0" fillId="0" borderId="3" xfId="0" quotePrefix="1" applyBorder="1"/>
    <xf numFmtId="0" fontId="0" fillId="26" borderId="3" xfId="0" applyFill="1" applyBorder="1"/>
    <xf numFmtId="0" fontId="0" fillId="26" borderId="3" xfId="0" applyFill="1" applyBorder="1" applyAlignment="1">
      <alignment horizontal="center" vertical="center"/>
    </xf>
    <xf numFmtId="0" fontId="0" fillId="26" borderId="3" xfId="0" applyFill="1" applyBorder="1" applyAlignment="1">
      <alignment horizontal="center"/>
    </xf>
    <xf numFmtId="0" fontId="2" fillId="26" borderId="3" xfId="0" applyFont="1" applyFill="1" applyBorder="1" applyAlignment="1">
      <alignment horizontal="left" indent="1"/>
    </xf>
    <xf numFmtId="0" fontId="2" fillId="26" borderId="3" xfId="0" applyFont="1" applyFill="1" applyBorder="1" applyAlignment="1">
      <alignment horizontal="center" vertical="center"/>
    </xf>
    <xf numFmtId="0" fontId="2" fillId="5" borderId="3" xfId="0" applyFont="1" applyFill="1" applyBorder="1" applyAlignment="1">
      <alignment horizontal="left" indent="1"/>
    </xf>
    <xf numFmtId="0" fontId="0" fillId="5" borderId="3" xfId="0" applyFill="1" applyBorder="1"/>
    <xf numFmtId="0" fontId="0" fillId="5" borderId="3" xfId="0" applyFill="1" applyBorder="1" applyAlignment="1">
      <alignment horizontal="center"/>
    </xf>
    <xf numFmtId="0" fontId="2" fillId="5" borderId="3" xfId="0" applyFont="1" applyFill="1" applyBorder="1" applyAlignment="1">
      <alignment horizontal="center" vertical="center"/>
    </xf>
    <xf numFmtId="0" fontId="8" fillId="0" borderId="32" xfId="0" applyFont="1" applyBorder="1" applyAlignment="1">
      <alignment wrapText="1"/>
    </xf>
    <xf numFmtId="0" fontId="7" fillId="9" borderId="8" xfId="0" applyFont="1" applyFill="1" applyBorder="1" applyAlignment="1">
      <alignment horizontal="center" vertical="center"/>
    </xf>
    <xf numFmtId="3" fontId="12" fillId="13" borderId="10" xfId="0" applyNumberFormat="1" applyFont="1" applyFill="1" applyBorder="1" applyAlignment="1">
      <alignment horizontal="center" vertical="center"/>
    </xf>
    <xf numFmtId="3" fontId="12" fillId="3" borderId="10" xfId="0" applyNumberFormat="1" applyFont="1" applyFill="1" applyBorder="1" applyAlignment="1">
      <alignment horizontal="center" vertical="center"/>
    </xf>
    <xf numFmtId="1" fontId="0" fillId="0" borderId="0" xfId="0" applyNumberFormat="1"/>
    <xf numFmtId="0" fontId="0" fillId="27" borderId="3" xfId="0" applyFill="1" applyBorder="1" applyAlignment="1">
      <alignment horizontal="center" vertical="center"/>
    </xf>
    <xf numFmtId="1" fontId="9" fillId="12" borderId="44" xfId="0" applyNumberFormat="1" applyFont="1" applyFill="1" applyBorder="1" applyAlignment="1">
      <alignment horizontal="center" vertical="center" wrapText="1"/>
    </xf>
    <xf numFmtId="9" fontId="0" fillId="0" borderId="0" xfId="0" applyNumberFormat="1"/>
    <xf numFmtId="0" fontId="0" fillId="28" borderId="5" xfId="0" applyFill="1" applyBorder="1" applyAlignment="1">
      <alignment horizontal="center"/>
    </xf>
    <xf numFmtId="0" fontId="0" fillId="29" borderId="3" xfId="0" applyFill="1" applyBorder="1" applyAlignment="1">
      <alignment horizontal="center" vertical="center"/>
    </xf>
    <xf numFmtId="1" fontId="9" fillId="30" borderId="10" xfId="0" applyNumberFormat="1" applyFont="1" applyFill="1" applyBorder="1" applyAlignment="1">
      <alignment horizontal="center" vertical="center" wrapText="1"/>
    </xf>
    <xf numFmtId="0" fontId="8" fillId="28" borderId="16" xfId="0" applyFont="1" applyFill="1" applyBorder="1"/>
    <xf numFmtId="9" fontId="0" fillId="0" borderId="0" xfId="1" applyFont="1"/>
    <xf numFmtId="2" fontId="0" fillId="0" borderId="0" xfId="0" applyNumberFormat="1"/>
    <xf numFmtId="0" fontId="0" fillId="0" borderId="0" xfId="0" applyAlignment="1">
      <alignment vertical="center"/>
    </xf>
    <xf numFmtId="3" fontId="12" fillId="13" borderId="45" xfId="0" applyNumberFormat="1" applyFont="1" applyFill="1" applyBorder="1" applyAlignment="1">
      <alignment horizontal="center" vertical="center"/>
    </xf>
    <xf numFmtId="0" fontId="0" fillId="0" borderId="16" xfId="0" applyBorder="1" applyAlignment="1">
      <alignment vertical="center"/>
    </xf>
    <xf numFmtId="0" fontId="14" fillId="0" borderId="46" xfId="0" applyFont="1" applyBorder="1" applyAlignment="1">
      <alignment vertical="center" wrapText="1"/>
    </xf>
    <xf numFmtId="0" fontId="14" fillId="0" borderId="47" xfId="0" applyFont="1" applyBorder="1" applyAlignment="1">
      <alignment vertical="center" wrapText="1"/>
    </xf>
    <xf numFmtId="0" fontId="13" fillId="0" borderId="15" xfId="0" applyFont="1" applyBorder="1" applyAlignment="1">
      <alignment vertical="center" wrapText="1"/>
    </xf>
    <xf numFmtId="0" fontId="13" fillId="0" borderId="48" xfId="0" applyFont="1" applyBorder="1" applyAlignment="1">
      <alignment vertical="center" wrapText="1"/>
    </xf>
    <xf numFmtId="0" fontId="1" fillId="31" borderId="7" xfId="0" applyFont="1" applyFill="1" applyBorder="1" applyAlignment="1">
      <alignment horizontal="center"/>
    </xf>
    <xf numFmtId="0" fontId="1" fillId="11" borderId="7" xfId="0" applyFont="1" applyFill="1" applyBorder="1"/>
    <xf numFmtId="0" fontId="0" fillId="5" borderId="3" xfId="0" applyFill="1" applyBorder="1" applyAlignment="1">
      <alignment vertical="center"/>
    </xf>
    <xf numFmtId="0" fontId="0" fillId="32" borderId="3" xfId="0" applyFill="1" applyBorder="1" applyAlignment="1">
      <alignment vertical="center"/>
    </xf>
    <xf numFmtId="0" fontId="0" fillId="0" borderId="3" xfId="0" applyBorder="1" applyAlignment="1">
      <alignment vertical="center"/>
    </xf>
    <xf numFmtId="0" fontId="15" fillId="33" borderId="8" xfId="0" applyFont="1" applyFill="1" applyBorder="1" applyAlignment="1">
      <alignment vertical="center"/>
    </xf>
    <xf numFmtId="0" fontId="15" fillId="33" borderId="52" xfId="0" applyFont="1" applyFill="1" applyBorder="1" applyAlignment="1">
      <alignment vertical="center"/>
    </xf>
    <xf numFmtId="0" fontId="15" fillId="33" borderId="0" xfId="0" applyFont="1" applyFill="1" applyAlignment="1">
      <alignment vertical="center"/>
    </xf>
    <xf numFmtId="0" fontId="15" fillId="0" borderId="0" xfId="0" applyFont="1" applyAlignment="1">
      <alignment vertical="center"/>
    </xf>
    <xf numFmtId="0" fontId="0" fillId="32" borderId="3" xfId="0" applyFill="1" applyBorder="1"/>
    <xf numFmtId="0" fontId="0" fillId="0" borderId="6" xfId="0" applyBorder="1"/>
    <xf numFmtId="0" fontId="1" fillId="0" borderId="7" xfId="0" applyFont="1" applyBorder="1" applyAlignment="1">
      <alignment horizontal="center" vertical="center"/>
    </xf>
    <xf numFmtId="0" fontId="1" fillId="31" borderId="4" xfId="0" applyFont="1" applyFill="1" applyBorder="1" applyAlignment="1">
      <alignment horizontal="center"/>
    </xf>
    <xf numFmtId="0" fontId="1" fillId="31" borderId="3" xfId="0" applyFont="1" applyFill="1" applyBorder="1" applyAlignment="1">
      <alignment horizontal="center"/>
    </xf>
    <xf numFmtId="0" fontId="1" fillId="0" borderId="16" xfId="0" applyFont="1" applyBorder="1" applyAlignment="1">
      <alignment horizontal="center"/>
    </xf>
    <xf numFmtId="0" fontId="1" fillId="0" borderId="3" xfId="0" applyFont="1" applyBorder="1" applyAlignment="1">
      <alignment horizontal="center"/>
    </xf>
    <xf numFmtId="0" fontId="0" fillId="0" borderId="8" xfId="0" applyBorder="1"/>
    <xf numFmtId="0" fontId="1" fillId="0" borderId="4" xfId="0" applyFont="1" applyBorder="1" applyAlignment="1">
      <alignment horizontal="center"/>
    </xf>
    <xf numFmtId="0" fontId="0" fillId="0" borderId="41" xfId="0" applyBorder="1"/>
    <xf numFmtId="0" fontId="1" fillId="0" borderId="16" xfId="0" applyFont="1" applyBorder="1"/>
    <xf numFmtId="0" fontId="1" fillId="0" borderId="41" xfId="0" applyFont="1" applyBorder="1"/>
    <xf numFmtId="0" fontId="1" fillId="0" borderId="16" xfId="0" applyFont="1" applyBorder="1" applyAlignment="1">
      <alignment horizontal="center" vertical="center"/>
    </xf>
    <xf numFmtId="9" fontId="11" fillId="13" borderId="10" xfId="0" applyNumberFormat="1" applyFont="1" applyFill="1" applyBorder="1" applyAlignment="1">
      <alignment horizontal="center" vertical="center"/>
    </xf>
    <xf numFmtId="9" fontId="11" fillId="3" borderId="10" xfId="0" applyNumberFormat="1" applyFont="1" applyFill="1" applyBorder="1" applyAlignment="1">
      <alignment horizontal="center" vertical="center"/>
    </xf>
    <xf numFmtId="1" fontId="9" fillId="30" borderId="44" xfId="0" applyNumberFormat="1" applyFont="1" applyFill="1" applyBorder="1" applyAlignment="1">
      <alignment horizontal="center" vertical="center" wrapText="1"/>
    </xf>
    <xf numFmtId="9" fontId="12" fillId="13" borderId="10" xfId="1" applyFont="1" applyFill="1" applyBorder="1" applyAlignment="1">
      <alignment horizontal="center" vertical="center"/>
    </xf>
    <xf numFmtId="9" fontId="12" fillId="3" borderId="10" xfId="1" applyFont="1" applyFill="1" applyBorder="1" applyAlignment="1">
      <alignment horizontal="center" vertical="center"/>
    </xf>
    <xf numFmtId="9" fontId="12" fillId="13" borderId="45" xfId="1" applyFont="1" applyFill="1" applyBorder="1" applyAlignment="1">
      <alignment horizontal="center" vertical="center"/>
    </xf>
    <xf numFmtId="0" fontId="2" fillId="6" borderId="9" xfId="0" applyFont="1" applyFill="1" applyBorder="1" applyAlignment="1">
      <alignment horizontal="center"/>
    </xf>
    <xf numFmtId="0" fontId="2" fillId="6" borderId="6" xfId="0" applyFont="1" applyFill="1" applyBorder="1" applyAlignment="1">
      <alignment horizontal="center"/>
    </xf>
    <xf numFmtId="9" fontId="0" fillId="2" borderId="0" xfId="1" applyFont="1" applyFill="1" applyAlignment="1">
      <alignment horizontal="center"/>
    </xf>
    <xf numFmtId="1" fontId="0" fillId="2" borderId="3" xfId="0" applyNumberFormat="1" applyFill="1" applyBorder="1" applyAlignment="1">
      <alignment horizontal="center"/>
    </xf>
    <xf numFmtId="1" fontId="0" fillId="2" borderId="0" xfId="0" applyNumberFormat="1" applyFill="1" applyAlignment="1">
      <alignment horizontal="center"/>
    </xf>
    <xf numFmtId="1" fontId="1" fillId="0" borderId="16" xfId="0" applyNumberFormat="1" applyFont="1" applyBorder="1" applyAlignment="1">
      <alignment horizontal="center"/>
    </xf>
    <xf numFmtId="1" fontId="0" fillId="0" borderId="3" xfId="0" applyNumberFormat="1" applyBorder="1"/>
    <xf numFmtId="1" fontId="15" fillId="33" borderId="52" xfId="0" applyNumberFormat="1" applyFont="1" applyFill="1" applyBorder="1" applyAlignment="1">
      <alignment vertical="center"/>
    </xf>
    <xf numFmtId="1" fontId="15" fillId="33" borderId="0" xfId="0" applyNumberFormat="1" applyFont="1" applyFill="1" applyAlignment="1">
      <alignment vertical="center"/>
    </xf>
    <xf numFmtId="0" fontId="2" fillId="34" borderId="5" xfId="0" applyFont="1" applyFill="1" applyBorder="1" applyAlignment="1">
      <alignment horizontal="center"/>
    </xf>
    <xf numFmtId="0" fontId="0" fillId="28" borderId="3" xfId="0" applyFill="1" applyBorder="1" applyAlignment="1">
      <alignment horizontal="center"/>
    </xf>
    <xf numFmtId="0" fontId="1" fillId="11" borderId="7" xfId="0" applyFont="1" applyFill="1" applyBorder="1" applyAlignment="1">
      <alignment horizontal="center"/>
    </xf>
    <xf numFmtId="0" fontId="15" fillId="33" borderId="0" xfId="0" applyFont="1" applyFill="1" applyAlignment="1">
      <alignment horizontal="center" vertical="center"/>
    </xf>
    <xf numFmtId="0" fontId="0" fillId="28" borderId="0" xfId="0" applyFill="1"/>
    <xf numFmtId="0" fontId="0" fillId="28" borderId="0" xfId="0" applyFill="1" applyAlignment="1">
      <alignment horizontal="center"/>
    </xf>
    <xf numFmtId="0" fontId="2" fillId="35" borderId="3" xfId="0" applyFont="1" applyFill="1" applyBorder="1" applyAlignment="1">
      <alignment horizontal="center"/>
    </xf>
    <xf numFmtId="0" fontId="0" fillId="36" borderId="5" xfId="0" applyFill="1" applyBorder="1" applyAlignment="1">
      <alignment horizontal="center"/>
    </xf>
    <xf numFmtId="0" fontId="2" fillId="0" borderId="3" xfId="0" applyFont="1" applyBorder="1" applyAlignment="1">
      <alignment horizontal="center"/>
    </xf>
    <xf numFmtId="0" fontId="2" fillId="35" borderId="5" xfId="0" applyFont="1" applyFill="1" applyBorder="1" applyAlignment="1">
      <alignment horizontal="center"/>
    </xf>
    <xf numFmtId="0" fontId="16" fillId="24" borderId="3" xfId="0" applyFont="1" applyFill="1" applyBorder="1" applyAlignment="1">
      <alignment horizontal="center" vertical="center"/>
    </xf>
    <xf numFmtId="0" fontId="16" fillId="24" borderId="3" xfId="0" applyFont="1" applyFill="1" applyBorder="1" applyAlignment="1">
      <alignment horizontal="center"/>
    </xf>
    <xf numFmtId="0" fontId="0" fillId="28" borderId="6" xfId="0" applyFill="1" applyBorder="1" applyAlignment="1">
      <alignment horizontal="center"/>
    </xf>
    <xf numFmtId="0" fontId="3" fillId="2"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39" xfId="0" applyFont="1" applyBorder="1" applyAlignment="1">
      <alignment horizontal="center" vertical="center" wrapText="1"/>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2" borderId="6" xfId="0" applyFont="1" applyFill="1" applyBorder="1" applyAlignment="1">
      <alignment horizontal="center" vertical="center" wrapText="1"/>
    </xf>
    <xf numFmtId="0" fontId="7" fillId="19" borderId="34" xfId="0" applyFont="1" applyFill="1" applyBorder="1" applyAlignment="1">
      <alignment horizontal="center" vertical="center"/>
    </xf>
    <xf numFmtId="0" fontId="7" fillId="19" borderId="35" xfId="0" applyFont="1" applyFill="1" applyBorder="1" applyAlignment="1">
      <alignment horizontal="center" vertical="center"/>
    </xf>
    <xf numFmtId="0" fontId="7" fillId="19" borderId="36" xfId="0" applyFont="1" applyFill="1" applyBorder="1" applyAlignment="1">
      <alignment horizontal="center" vertical="center"/>
    </xf>
    <xf numFmtId="0" fontId="7" fillId="21" borderId="14" xfId="0" applyFont="1" applyFill="1" applyBorder="1" applyAlignment="1">
      <alignment horizontal="center"/>
    </xf>
    <xf numFmtId="0" fontId="7" fillId="21" borderId="12" xfId="0" applyFont="1" applyFill="1" applyBorder="1" applyAlignment="1">
      <alignment horizontal="center"/>
    </xf>
    <xf numFmtId="0" fontId="7" fillId="21" borderId="11" xfId="0" applyFont="1" applyFill="1" applyBorder="1" applyAlignment="1">
      <alignment horizontal="center"/>
    </xf>
    <xf numFmtId="0" fontId="7" fillId="22" borderId="12" xfId="0" applyFont="1" applyFill="1" applyBorder="1" applyAlignment="1">
      <alignment horizontal="center"/>
    </xf>
    <xf numFmtId="0" fontId="7" fillId="22" borderId="11" xfId="0" applyFont="1" applyFill="1" applyBorder="1" applyAlignment="1">
      <alignment horizontal="center"/>
    </xf>
    <xf numFmtId="0" fontId="7" fillId="0" borderId="34" xfId="0" applyFont="1" applyBorder="1" applyAlignment="1">
      <alignment horizontal="center" vertical="center"/>
    </xf>
    <xf numFmtId="0" fontId="7" fillId="0" borderId="35" xfId="0" applyFont="1" applyBorder="1" applyAlignment="1">
      <alignment horizontal="center" vertical="center"/>
    </xf>
    <xf numFmtId="0" fontId="7" fillId="0" borderId="36" xfId="0" applyFont="1" applyBorder="1" applyAlignment="1">
      <alignment horizontal="center" vertical="center"/>
    </xf>
    <xf numFmtId="0" fontId="7" fillId="0" borderId="37" xfId="0" applyFont="1" applyBorder="1" applyAlignment="1">
      <alignment horizontal="center" vertical="center"/>
    </xf>
    <xf numFmtId="0" fontId="3" fillId="2" borderId="4" xfId="0" applyFont="1" applyFill="1" applyBorder="1" applyAlignment="1">
      <alignment horizontal="center" vertical="center" wrapText="1"/>
    </xf>
    <xf numFmtId="0" fontId="1" fillId="26" borderId="4" xfId="0" applyFont="1" applyFill="1" applyBorder="1" applyAlignment="1">
      <alignment horizontal="center" vertical="center"/>
    </xf>
    <xf numFmtId="0" fontId="1" fillId="26" borderId="8" xfId="0" applyFont="1" applyFill="1" applyBorder="1" applyAlignment="1">
      <alignment horizontal="center" vertical="center"/>
    </xf>
    <xf numFmtId="0" fontId="3" fillId="2" borderId="41" xfId="0" applyFont="1" applyFill="1" applyBorder="1" applyAlignment="1">
      <alignment horizontal="center" vertical="center" wrapText="1"/>
    </xf>
    <xf numFmtId="0" fontId="3" fillId="26" borderId="42" xfId="0" applyFont="1" applyFill="1" applyBorder="1" applyAlignment="1">
      <alignment horizontal="center" vertical="center" wrapText="1"/>
    </xf>
    <xf numFmtId="0" fontId="3" fillId="26" borderId="43" xfId="0" applyFont="1" applyFill="1" applyBorder="1" applyAlignment="1">
      <alignment horizontal="center" vertical="center" wrapText="1"/>
    </xf>
    <xf numFmtId="0" fontId="3" fillId="26" borderId="1"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8" xfId="0" applyFont="1" applyBorder="1" applyAlignment="1">
      <alignment horizontal="center" vertical="center" wrapText="1"/>
    </xf>
    <xf numFmtId="0" fontId="3" fillId="0" borderId="43" xfId="0" applyFont="1" applyBorder="1" applyAlignment="1">
      <alignment horizontal="center" vertical="center" wrapText="1"/>
    </xf>
    <xf numFmtId="0" fontId="3" fillId="0" borderId="1" xfId="0" applyFont="1" applyBorder="1" applyAlignment="1">
      <alignment horizontal="center" vertical="center" wrapText="1"/>
    </xf>
    <xf numFmtId="0" fontId="0" fillId="0" borderId="3" xfId="0" applyBorder="1" applyAlignment="1">
      <alignment horizontal="center" vertical="center" wrapText="1"/>
    </xf>
    <xf numFmtId="0" fontId="0" fillId="26" borderId="3" xfId="0" applyFill="1" applyBorder="1" applyAlignment="1">
      <alignment horizontal="center" vertical="center" wrapText="1"/>
    </xf>
    <xf numFmtId="0" fontId="0" fillId="0" borderId="6" xfId="0" applyBorder="1" applyAlignment="1">
      <alignment horizontal="center" vertical="center"/>
    </xf>
    <xf numFmtId="0" fontId="0" fillId="0" borderId="39" xfId="0" applyBorder="1" applyAlignment="1">
      <alignment horizontal="center" vertical="center"/>
    </xf>
    <xf numFmtId="0" fontId="0" fillId="0" borderId="7" xfId="0" applyBorder="1" applyAlignment="1">
      <alignment horizontal="center" vertical="center"/>
    </xf>
    <xf numFmtId="0" fontId="0" fillId="0" borderId="39"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xf>
    <xf numFmtId="0" fontId="1" fillId="11" borderId="49" xfId="0" applyFont="1" applyFill="1" applyBorder="1" applyAlignment="1">
      <alignment horizontal="center" vertical="center"/>
    </xf>
    <xf numFmtId="0" fontId="1" fillId="11" borderId="50" xfId="0" applyFont="1" applyFill="1" applyBorder="1" applyAlignment="1">
      <alignment horizontal="center" vertical="center"/>
    </xf>
    <xf numFmtId="0" fontId="1" fillId="11" borderId="47" xfId="0" applyFont="1" applyFill="1" applyBorder="1" applyAlignment="1">
      <alignment horizontal="center" vertical="center"/>
    </xf>
    <xf numFmtId="0" fontId="1" fillId="31" borderId="1" xfId="0" applyFont="1" applyFill="1" applyBorder="1" applyAlignment="1">
      <alignment horizontal="center" vertical="center"/>
    </xf>
    <xf numFmtId="0" fontId="1" fillId="31" borderId="2" xfId="0" applyFont="1" applyFill="1" applyBorder="1" applyAlignment="1">
      <alignment horizontal="center" vertical="center"/>
    </xf>
    <xf numFmtId="0" fontId="1" fillId="31" borderId="5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1" xfId="0" applyFont="1" applyFill="1" applyBorder="1" applyAlignment="1">
      <alignment horizontal="center" vertical="center"/>
    </xf>
    <xf numFmtId="0" fontId="1" fillId="31" borderId="4" xfId="0" applyFont="1" applyFill="1" applyBorder="1" applyAlignment="1">
      <alignment horizontal="center"/>
    </xf>
    <xf numFmtId="0" fontId="1" fillId="31" borderId="5"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25" borderId="49" xfId="0" applyFont="1" applyFill="1" applyBorder="1" applyAlignment="1">
      <alignment horizontal="center" vertical="center"/>
    </xf>
    <xf numFmtId="0" fontId="1" fillId="25" borderId="50" xfId="0" applyFont="1" applyFill="1" applyBorder="1" applyAlignment="1">
      <alignment horizontal="center" vertical="center"/>
    </xf>
    <xf numFmtId="0" fontId="1" fillId="25" borderId="47" xfId="0" applyFont="1" applyFill="1" applyBorder="1" applyAlignment="1">
      <alignment horizontal="center" vertical="center"/>
    </xf>
    <xf numFmtId="0" fontId="1" fillId="0" borderId="39" xfId="0" applyFont="1" applyBorder="1" applyAlignment="1">
      <alignment horizontal="center" vertical="center"/>
    </xf>
    <xf numFmtId="0" fontId="1" fillId="0" borderId="7" xfId="0" applyFont="1" applyBorder="1" applyAlignment="1">
      <alignment horizontal="center" vertical="center"/>
    </xf>
    <xf numFmtId="0" fontId="1" fillId="31" borderId="7" xfId="0" applyFont="1" applyFill="1" applyBorder="1" applyAlignment="1">
      <alignment horizontal="center"/>
    </xf>
    <xf numFmtId="0" fontId="1" fillId="3" borderId="7" xfId="0" applyFont="1" applyFill="1" applyBorder="1" applyAlignment="1">
      <alignment horizontal="center"/>
    </xf>
    <xf numFmtId="0" fontId="1" fillId="0" borderId="16" xfId="0" applyFont="1" applyBorder="1" applyAlignment="1">
      <alignment horizontal="center"/>
    </xf>
    <xf numFmtId="0" fontId="1" fillId="31" borderId="43" xfId="0" applyFont="1" applyFill="1" applyBorder="1" applyAlignment="1">
      <alignment horizontal="center" vertical="center"/>
    </xf>
    <xf numFmtId="0" fontId="1" fillId="31" borderId="0" xfId="0" applyFont="1" applyFill="1" applyAlignment="1">
      <alignment horizontal="center" vertical="center"/>
    </xf>
    <xf numFmtId="0" fontId="1" fillId="31" borderId="53" xfId="0" applyFont="1" applyFill="1" applyBorder="1" applyAlignment="1">
      <alignment horizontal="center" vertical="center"/>
    </xf>
    <xf numFmtId="0" fontId="1" fillId="31" borderId="38" xfId="0" applyFont="1" applyFill="1" applyBorder="1" applyAlignment="1">
      <alignment horizontal="center"/>
    </xf>
    <xf numFmtId="0" fontId="1" fillId="31" borderId="16" xfId="0" applyFont="1" applyFill="1" applyBorder="1" applyAlignment="1">
      <alignment horizont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3" fillId="2" borderId="16" xfId="0" applyFont="1" applyFill="1" applyBorder="1" applyAlignment="1">
      <alignment horizontal="center" vertical="center" wrapText="1"/>
    </xf>
    <xf numFmtId="0" fontId="3" fillId="2" borderId="40" xfId="0" applyFont="1" applyFill="1" applyBorder="1" applyAlignment="1">
      <alignment horizontal="center" vertical="center" wrapText="1"/>
    </xf>
    <xf numFmtId="0" fontId="3" fillId="2" borderId="39"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1" fillId="31" borderId="58" xfId="0" applyFont="1" applyFill="1" applyBorder="1" applyAlignment="1">
      <alignment horizontal="center" vertical="center"/>
    </xf>
    <xf numFmtId="0" fontId="1" fillId="31" borderId="59" xfId="0" applyFont="1" applyFill="1" applyBorder="1" applyAlignment="1">
      <alignment horizontal="center" vertical="center"/>
    </xf>
    <xf numFmtId="0" fontId="1" fillId="31" borderId="60" xfId="0" applyFont="1" applyFill="1" applyBorder="1" applyAlignment="1">
      <alignment horizontal="center" vertical="center"/>
    </xf>
    <xf numFmtId="0" fontId="1" fillId="31" borderId="58" xfId="0" applyFont="1" applyFill="1" applyBorder="1" applyAlignment="1">
      <alignment horizontal="center"/>
    </xf>
    <xf numFmtId="0" fontId="1" fillId="31" borderId="59" xfId="0" applyFont="1" applyFill="1" applyBorder="1" applyAlignment="1">
      <alignment horizontal="center"/>
    </xf>
    <xf numFmtId="0" fontId="1" fillId="31" borderId="60" xfId="0" applyFont="1" applyFill="1" applyBorder="1" applyAlignment="1">
      <alignment horizontal="center"/>
    </xf>
    <xf numFmtId="0" fontId="1" fillId="31" borderId="56" xfId="0" applyFont="1" applyFill="1" applyBorder="1" applyAlignment="1">
      <alignment horizontal="center"/>
    </xf>
    <xf numFmtId="0" fontId="1" fillId="31" borderId="57" xfId="0" applyFont="1" applyFill="1" applyBorder="1" applyAlignment="1">
      <alignment horizontal="center"/>
    </xf>
    <xf numFmtId="0" fontId="1" fillId="31" borderId="54" xfId="0" applyFont="1" applyFill="1" applyBorder="1" applyAlignment="1">
      <alignment horizontal="center"/>
    </xf>
    <xf numFmtId="0" fontId="1" fillId="31" borderId="55" xfId="0" applyFont="1" applyFill="1" applyBorder="1" applyAlignment="1">
      <alignment horizontal="center"/>
    </xf>
    <xf numFmtId="0" fontId="8" fillId="0" borderId="0" xfId="0" applyFont="1" applyFill="1"/>
    <xf numFmtId="0" fontId="7" fillId="0" borderId="0" xfId="0" applyFont="1" applyBorder="1"/>
    <xf numFmtId="0" fontId="8" fillId="0" borderId="0" xfId="0" applyFont="1" applyBorder="1"/>
    <xf numFmtId="0" fontId="17" fillId="0" borderId="0" xfId="0" applyFont="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ocumenttasks/documenttask1.xml><?xml version="1.0" encoding="utf-8"?>
<Tasks xmlns="http://schemas.microsoft.com/office/tasks/2019/documenttasks">
  <Task id="{7AAA3DEF-D62D-43BC-9035-3319264B7FB6}">
    <Anchor>
      <Comment id="{4B2E49CB-228F-47FA-AB61-E3E886444AD1}"/>
    </Anchor>
    <History>
      <Event time="2023-02-07T13:50:45.43" id="{49DA7AF4-A02D-4163-8CD2-3800A59B5327}">
        <Attribution userId="S::cristinaruizr@comfama.com.co::e250b8f8-cd08-41f4-ab70-98fe43f97d6d" userName="Cristina Ruiz Restrepo" userProvider="AD"/>
        <Anchor>
          <Comment id="{4B2E49CB-228F-47FA-AB61-E3E886444AD1}"/>
        </Anchor>
        <Create/>
      </Event>
      <Event time="2023-02-07T13:50:45.43" id="{653CF17D-7CD7-4F6B-99FD-B62732D9DA75}">
        <Attribution userId="S::cristinaruizr@comfama.com.co::e250b8f8-cd08-41f4-ab70-98fe43f97d6d" userName="Cristina Ruiz Restrepo" userProvider="AD"/>
        <Anchor>
          <Comment id="{4B2E49CB-228F-47FA-AB61-E3E886444AD1}"/>
        </Anchor>
        <Assign userId="S::KellyLoaiza@cosmo.edu.co::898c6c3c-adf4-4e2a-a7e7-b06efc4ebc96" userName="Kelly Loaiza - Cosmo" userProvider="AD"/>
      </Event>
      <Event time="2023-02-07T13:50:45.43" id="{A05C7905-174E-429F-BBB7-69A54C301085}">
        <Attribution userId="S::cristinaruizr@comfama.com.co::e250b8f8-cd08-41f4-ab70-98fe43f97d6d" userName="Cristina Ruiz Restrepo" userProvider="AD"/>
        <Anchor>
          <Comment id="{4B2E49CB-228F-47FA-AB61-E3E886444AD1}"/>
        </Anchor>
        <SetTitle title="@Kelly Loaiza - Cosmo Se cerró uno de los grupos"/>
      </Event>
    </History>
  </Task>
</Task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famaadm-my.sharepoint.com/personal/samuelbermudez_comfama_com_co/Documents/Admitidos%20vs%20Aprobad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tidos vs aprobados"/>
      <sheetName val="Analis"/>
    </sheetNames>
    <sheetDataSet>
      <sheetData sheetId="0"/>
      <sheetData sheetId="1">
        <row r="14">
          <cell r="E14">
            <v>224</v>
          </cell>
        </row>
      </sheetData>
    </sheetDataSet>
  </externalBook>
</externalLink>
</file>

<file path=xl/persons/person.xml><?xml version="1.0" encoding="utf-8"?>
<personList xmlns="http://schemas.microsoft.com/office/spreadsheetml/2018/threadedcomments" xmlns:x="http://schemas.openxmlformats.org/spreadsheetml/2006/main">
  <person displayName="Kelly Loaiza - Cosmo" id="{8AECA95A-792F-45B9-895D-DAAF3CA304C7}" userId="KellyLoaiza@cosmo.edu.co" providerId="PeoplePicker"/>
  <person displayName="Kelly Alexandra Montoya Uribe" id="{4E7B43AA-CB57-4950-847B-0BC5F493D1CA}" userId="S::kellymontoya@comfama.com.co::94381dc1-03e4-4073-ba98-370d9573908b" providerId="AD"/>
  <person displayName="Diony Vanessa Arboleda Correa" id="{62AD4ACE-AA5E-445C-AB7A-23142AB18DFC}" userId="S::DionyArboleda@comfama.com.co::de68feb4-f205-4406-84d5-54b3bb55ed07" providerId="AD"/>
  <person displayName="Cristina Ruiz Restrepo" id="{FB32F8E4-339D-412C-A4E3-7A0174EE557D}" userId="S::cristinaruizr@comfama.com.co::e250b8f8-cd08-41f4-ab70-98fe43f97d6d" providerId="AD"/>
  <person displayName="Diony Vanessa Arboleda Correa" id="{746BFECE-C8F8-4F55-B1BF-8F9A53AF4B54}" userId="S::dionyarboleda@comfama.com.co::de68feb4-f205-4406-84d5-54b3bb55ed07" providerId="AD"/>
  <person displayName="Juan Jose Obando Carmona" id="{53471D7F-5A1D-425B-A83A-A75C38CEE6E3}" userId="S::juanobando.contratista@comfama.com.co::33518d73-734c-4cb3-b81d-4155f04076a2"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K26" dT="2023-01-19T17:26:10.97" personId="{746BFECE-C8F8-4F55-B1BF-8F9A53AF4B54}" id="{F0F9CAB9-E3AF-4BAF-844E-D89CA8E8D328}">
    <text>sexto en la tarde no hay grupo , el caso de neurodiversidad es de que grupo?</text>
  </threadedComment>
  <threadedComment ref="K41" dT="2022-09-27T23:03:27.67" personId="{62AD4ACE-AA5E-445C-AB7A-23142AB18DFC}" id="{2B27A79E-B1E3-4D19-84DC-DA3327203555}">
    <text>2 retos son de perpetuo y 5 de Belén tener en cuenta en la distribución y ofreer a las familias en la tarde</text>
  </threadedComment>
  <threadedComment ref="AC42" dT="2022-09-27T23:06:34.55" personId="{62AD4ACE-AA5E-445C-AB7A-23142AB18DFC}" id="{EDFC8C4C-232A-4B1A-BC6D-395C93AE4115}">
    <text>son 2 grupos y se tiene lista de espera en la mañana , gestionar con las familias cambio de jornada</text>
  </threadedComment>
  <threadedComment ref="AC54" dT="2022-09-27T23:12:47.64" personId="{62AD4ACE-AA5E-445C-AB7A-23142AB18DFC}" id="{CB8D8180-703D-45B3-99E4-0A5CBE47BD69}">
    <text>se abrieron 2 grupos la lista espera esta en la mñana gestionar con las familias cambio de jornada</text>
  </threadedComment>
  <threadedComment ref="AC71" dT="2022-09-27T23:19:52.56" personId="{62AD4ACE-AA5E-445C-AB7A-23142AB18DFC}" id="{3E230E01-8C41-43BA-8084-629A240276DD}">
    <text>son 2 grupos la lista de espera esta en la mañan gestionar para cambiar de jornada</text>
  </threadedComment>
  <threadedComment ref="AC85" dT="2022-09-27T23:28:22.50" personId="{62AD4ACE-AA5E-445C-AB7A-23142AB18DFC}" id="{930D936F-2153-4A03-843C-FDEC9CC327E8}">
    <text>Hay lista de espera en la mañana gestionar para cambio de jornada</text>
  </threadedComment>
  <threadedComment ref="AF85" dT="2022-09-30T15:14:25.33" personId="{62AD4ACE-AA5E-445C-AB7A-23142AB18DFC}" id="{10F3DE43-12AA-4E64-846D-B6413958AFF4}">
    <text>en la sede indican que podria ser promovido a septimo</text>
  </threadedComment>
</ThreadedComments>
</file>

<file path=xl/threadedComments/threadedComment2.xml><?xml version="1.0" encoding="utf-8"?>
<ThreadedComments xmlns="http://schemas.microsoft.com/office/spreadsheetml/2018/threadedcomments" xmlns:x="http://schemas.openxmlformats.org/spreadsheetml/2006/main">
  <threadedComment ref="D71" dT="2022-12-05T21:17:46.83" personId="{53471D7F-5A1D-425B-A83A-A75C38CEE6E3}" id="{DE861E9C-260A-4611-8E44-CB6CE84AE4CA}">
    <text>Se baja a 34 guardando cupo a Dilan Jhoan</text>
  </threadedComment>
</ThreadedComments>
</file>

<file path=xl/threadedComments/threadedComment3.xml><?xml version="1.0" encoding="utf-8"?>
<ThreadedComments xmlns="http://schemas.microsoft.com/office/spreadsheetml/2018/threadedcomments" xmlns:x="http://schemas.openxmlformats.org/spreadsheetml/2006/main">
  <threadedComment ref="H6" dT="2022-11-22T21:48:17.18" personId="{4E7B43AA-CB57-4950-847B-0BC5F493D1CA}" id="{667EFF9C-02B7-4FD1-9FD4-9AF9C006245A}">
    <text>30 DE NOV</text>
  </threadedComment>
</ThreadedComments>
</file>

<file path=xl/threadedComments/threadedComment4.xml><?xml version="1.0" encoding="utf-8"?>
<ThreadedComments xmlns="http://schemas.microsoft.com/office/spreadsheetml/2018/threadedcomments" xmlns:x="http://schemas.openxmlformats.org/spreadsheetml/2006/main">
  <threadedComment ref="F13" dT="2023-02-07T13:50:45.53" personId="{FB32F8E4-339D-412C-A4E3-7A0174EE557D}" id="{4B2E49CB-228F-47FA-AB61-E3E886444AD1}">
    <text>@Kelly Loaiza - Cosmo Se cerró uno de los grupos</text>
    <mentions>
      <mention mentionpersonId="{8AECA95A-792F-45B9-895D-DAAF3CA304C7}" mentionId="{45D64718-EF20-4AA0-B5CB-319C685E6CCA}" startIndex="0" length="21"/>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5.xml"/><Relationship Id="rId1" Type="http://schemas.openxmlformats.org/officeDocument/2006/relationships/vmlDrawing" Target="../drawings/vmlDrawing5.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0CB5B-2CE6-4B8F-8ED7-09F7B8FDEA48}">
  <dimension ref="A1:BN174"/>
  <sheetViews>
    <sheetView zoomScale="80" zoomScaleNormal="80" workbookViewId="0">
      <pane xSplit="2" ySplit="4" topLeftCell="C83" activePane="bottomRight" state="frozen"/>
      <selection pane="topRight"/>
      <selection pane="bottomLeft"/>
      <selection pane="bottomRight" activeCell="AK83" sqref="AK83"/>
    </sheetView>
  </sheetViews>
  <sheetFormatPr baseColWidth="10" defaultColWidth="11.42578125" defaultRowHeight="15" customHeight="1" x14ac:dyDescent="0.25"/>
  <cols>
    <col min="1" max="1" width="11.42578125" style="35" customWidth="1"/>
    <col min="2" max="2" width="11.42578125" customWidth="1"/>
    <col min="3" max="3" width="11.42578125" style="2" hidden="1" customWidth="1"/>
    <col min="4" max="5" width="12.85546875" style="2" hidden="1" customWidth="1"/>
    <col min="6" max="6" width="10.85546875" style="2" hidden="1" customWidth="1"/>
    <col min="7" max="7" width="12.42578125" style="2" hidden="1" customWidth="1"/>
    <col min="8" max="8" width="11.42578125" style="2" hidden="1" customWidth="1"/>
    <col min="9" max="9" width="14.7109375" style="2" hidden="1" customWidth="1"/>
    <col min="10" max="10" width="18.140625" style="3" hidden="1" customWidth="1"/>
    <col min="11" max="11" width="17.7109375" style="3" hidden="1" customWidth="1"/>
    <col min="12" max="12" width="17.85546875" style="11" hidden="1" customWidth="1"/>
    <col min="13" max="14" width="11.42578125" style="3" hidden="1" customWidth="1"/>
    <col min="15" max="15" width="11.42578125" style="3" customWidth="1"/>
    <col min="16" max="17" width="10.85546875" style="2" hidden="1" customWidth="1"/>
    <col min="18" max="18" width="13.28515625" style="2" hidden="1" customWidth="1"/>
    <col min="19" max="19" width="11.42578125" style="2" customWidth="1"/>
    <col min="20" max="21" width="14.5703125" style="2" hidden="1" customWidth="1"/>
    <col min="22" max="22" width="11.42578125" style="2" customWidth="1"/>
    <col min="23" max="24" width="10.85546875" customWidth="1"/>
    <col min="25" max="28" width="11.42578125" style="3" hidden="1" customWidth="1"/>
    <col min="29" max="29" width="13.42578125" style="3" hidden="1" customWidth="1"/>
    <col min="30" max="30" width="11.42578125" style="3" hidden="1" customWidth="1"/>
    <col min="31" max="31" width="13.42578125" style="3" hidden="1" customWidth="1"/>
    <col min="32" max="32" width="12.5703125" style="3" hidden="1" customWidth="1"/>
    <col min="33" max="34" width="10.28515625" style="3" hidden="1" customWidth="1"/>
    <col min="35" max="36" width="11.42578125" style="3" hidden="1" customWidth="1"/>
    <col min="37" max="37" width="11.42578125" style="3" customWidth="1"/>
    <col min="38" max="39" width="10.7109375" style="3" hidden="1" customWidth="1"/>
    <col min="40" max="40" width="10.5703125" style="3" hidden="1" customWidth="1"/>
    <col min="41" max="41" width="11.42578125" style="3" customWidth="1"/>
    <col min="42" max="43" width="13.7109375" style="3" hidden="1" customWidth="1"/>
    <col min="44" max="44" width="11.42578125" style="3" customWidth="1"/>
    <col min="45" max="45" width="10.85546875" hidden="1" customWidth="1"/>
    <col min="46" max="46" width="11.42578125" style="2" hidden="1" customWidth="1"/>
    <col min="47" max="47" width="11.42578125" style="2" customWidth="1"/>
    <col min="48" max="66" width="10.85546875" style="2"/>
  </cols>
  <sheetData>
    <row r="1" spans="1:66" s="2" customFormat="1" x14ac:dyDescent="0.25">
      <c r="A1" s="1"/>
      <c r="J1" s="3"/>
      <c r="K1" s="3"/>
      <c r="L1" s="3"/>
      <c r="M1" s="3"/>
      <c r="N1" s="3"/>
      <c r="O1" s="3"/>
      <c r="S1" s="214"/>
      <c r="T1" s="214"/>
      <c r="U1" s="214"/>
      <c r="V1" s="214"/>
      <c r="Y1" s="3"/>
      <c r="Z1" s="3"/>
      <c r="AA1" s="3"/>
      <c r="AB1" s="3"/>
      <c r="AC1" s="3"/>
      <c r="AD1" s="3"/>
      <c r="AE1" s="3"/>
      <c r="AF1" s="3"/>
      <c r="AG1" s="3"/>
      <c r="AH1" s="3"/>
      <c r="AI1" s="3"/>
      <c r="AJ1" s="3"/>
      <c r="AK1" s="3"/>
      <c r="AL1" s="3"/>
      <c r="AM1" s="3"/>
      <c r="AN1" s="3"/>
      <c r="AO1" s="215"/>
      <c r="AP1" s="215"/>
      <c r="AQ1" s="215"/>
      <c r="AR1" s="215"/>
    </row>
    <row r="2" spans="1:66" s="2" customFormat="1" x14ac:dyDescent="0.25">
      <c r="A2" s="4"/>
      <c r="B2" s="5"/>
      <c r="J2" s="3"/>
      <c r="K2" s="3"/>
      <c r="L2" s="3"/>
      <c r="M2" s="3"/>
      <c r="N2" s="3"/>
      <c r="O2" s="3"/>
      <c r="Y2" s="3"/>
      <c r="Z2" s="3"/>
      <c r="AA2" s="3"/>
      <c r="AB2" s="3"/>
      <c r="AC2" s="3"/>
      <c r="AD2" s="3"/>
      <c r="AE2" s="3"/>
      <c r="AF2" s="3"/>
      <c r="AG2" s="3"/>
      <c r="AH2" s="3"/>
      <c r="AI2" s="3"/>
      <c r="AJ2" s="3"/>
      <c r="AK2" s="3"/>
      <c r="AL2" s="3"/>
      <c r="AM2" s="3"/>
      <c r="AN2" s="3"/>
      <c r="AO2" s="3"/>
      <c r="AP2" s="3"/>
      <c r="AQ2" s="3"/>
      <c r="AR2" s="3"/>
    </row>
    <row r="3" spans="1:66" x14ac:dyDescent="0.25">
      <c r="A3" s="228" t="s">
        <v>0</v>
      </c>
      <c r="B3" s="228"/>
      <c r="C3" s="228"/>
      <c r="D3" s="228"/>
      <c r="E3" s="228"/>
      <c r="F3" s="228"/>
      <c r="G3" s="228"/>
      <c r="H3" s="228"/>
      <c r="I3" s="228"/>
      <c r="J3" s="228"/>
      <c r="K3" s="228"/>
      <c r="L3" s="228"/>
      <c r="M3" s="228"/>
      <c r="N3" s="228"/>
      <c r="O3" s="228"/>
      <c r="P3" s="228"/>
      <c r="Q3" s="228"/>
      <c r="R3" s="228"/>
      <c r="S3" s="228"/>
      <c r="T3" s="228"/>
      <c r="U3" s="228"/>
      <c r="V3" s="228"/>
      <c r="W3" s="228"/>
      <c r="X3" s="228"/>
      <c r="Y3" s="228"/>
      <c r="Z3" s="228"/>
      <c r="AA3" s="228"/>
      <c r="AB3" s="228"/>
      <c r="AC3" s="228"/>
      <c r="AD3" s="228"/>
      <c r="AE3" s="228"/>
      <c r="AF3" s="228"/>
      <c r="AG3" s="228"/>
      <c r="AH3" s="228"/>
      <c r="AI3" s="228"/>
      <c r="AJ3" s="228"/>
      <c r="AK3" s="228"/>
      <c r="AL3" s="228"/>
      <c r="AM3" s="229"/>
      <c r="AN3" s="228"/>
      <c r="AO3" s="228"/>
      <c r="AP3" s="228"/>
      <c r="AQ3" s="228"/>
      <c r="AR3" s="228"/>
      <c r="AS3" s="228"/>
    </row>
    <row r="4" spans="1:66" ht="63.75" customHeight="1" x14ac:dyDescent="0.25">
      <c r="A4" s="6" t="s">
        <v>1</v>
      </c>
      <c r="B4" s="6" t="s">
        <v>2</v>
      </c>
      <c r="C4" s="7" t="s">
        <v>3</v>
      </c>
      <c r="D4" s="7" t="s">
        <v>4</v>
      </c>
      <c r="E4" s="7" t="s">
        <v>5</v>
      </c>
      <c r="F4" s="7" t="s">
        <v>6</v>
      </c>
      <c r="G4" s="7" t="s">
        <v>7</v>
      </c>
      <c r="H4" s="7" t="s">
        <v>8</v>
      </c>
      <c r="I4" s="7" t="s">
        <v>9</v>
      </c>
      <c r="J4" s="7" t="s">
        <v>10</v>
      </c>
      <c r="K4" s="8" t="s">
        <v>11</v>
      </c>
      <c r="L4" s="7" t="s">
        <v>12</v>
      </c>
      <c r="M4" s="9" t="s">
        <v>13</v>
      </c>
      <c r="N4" s="9" t="s">
        <v>14</v>
      </c>
      <c r="O4" s="9" t="s">
        <v>15</v>
      </c>
      <c r="P4" s="9" t="s">
        <v>16</v>
      </c>
      <c r="Q4" s="9" t="s">
        <v>17</v>
      </c>
      <c r="R4" s="9" t="s">
        <v>18</v>
      </c>
      <c r="S4" s="9" t="s">
        <v>19</v>
      </c>
      <c r="T4" s="9" t="s">
        <v>20</v>
      </c>
      <c r="U4" s="9" t="s">
        <v>21</v>
      </c>
      <c r="V4" s="9" t="s">
        <v>22</v>
      </c>
      <c r="W4" s="9" t="s">
        <v>23</v>
      </c>
      <c r="X4" s="9" t="s">
        <v>24</v>
      </c>
      <c r="Y4" s="37" t="s">
        <v>25</v>
      </c>
      <c r="Z4" s="37" t="s">
        <v>4</v>
      </c>
      <c r="AA4" s="37" t="s">
        <v>5</v>
      </c>
      <c r="AB4" s="37" t="s">
        <v>6</v>
      </c>
      <c r="AC4" s="37" t="s">
        <v>7</v>
      </c>
      <c r="AD4" s="37" t="s">
        <v>8</v>
      </c>
      <c r="AE4" s="37" t="s">
        <v>9</v>
      </c>
      <c r="AF4" s="37" t="s">
        <v>26</v>
      </c>
      <c r="AG4" s="37" t="s">
        <v>27</v>
      </c>
      <c r="AH4" s="37" t="s">
        <v>28</v>
      </c>
      <c r="AI4" s="37" t="s">
        <v>13</v>
      </c>
      <c r="AJ4" s="37" t="s">
        <v>14</v>
      </c>
      <c r="AK4" s="37" t="s">
        <v>29</v>
      </c>
      <c r="AL4" s="37" t="s">
        <v>30</v>
      </c>
      <c r="AM4" s="37" t="s">
        <v>31</v>
      </c>
      <c r="AN4" s="37" t="s">
        <v>18</v>
      </c>
      <c r="AO4" s="37" t="s">
        <v>32</v>
      </c>
      <c r="AP4" s="37" t="s">
        <v>20</v>
      </c>
      <c r="AQ4" s="37" t="s">
        <v>33</v>
      </c>
      <c r="AR4" s="37" t="s">
        <v>34</v>
      </c>
      <c r="AS4" s="37" t="s">
        <v>35</v>
      </c>
      <c r="AT4" s="37" t="s">
        <v>36</v>
      </c>
      <c r="AU4" s="37" t="s">
        <v>24</v>
      </c>
    </row>
    <row r="5" spans="1:66" s="2" customFormat="1" x14ac:dyDescent="0.25">
      <c r="A5" s="223" t="s">
        <v>37</v>
      </c>
      <c r="B5" s="10" t="s">
        <v>38</v>
      </c>
      <c r="C5" s="11">
        <v>2</v>
      </c>
      <c r="D5" s="11">
        <v>2</v>
      </c>
      <c r="E5" s="11">
        <f>12-1</f>
        <v>11</v>
      </c>
      <c r="F5" s="11">
        <f>+'Real vs Q10'!H5</f>
        <v>34</v>
      </c>
      <c r="G5" s="11">
        <f>D5+F5</f>
        <v>36</v>
      </c>
      <c r="H5" s="11">
        <f>+'Real vs Q10'!K5</f>
        <v>27</v>
      </c>
      <c r="I5" s="11">
        <f>+IF(H5=0,0,IF(H5&lt;=34,1,ROUNDUP(H5/34,0)))</f>
        <v>1</v>
      </c>
      <c r="J5" s="11">
        <v>0</v>
      </c>
      <c r="K5" s="12">
        <v>0</v>
      </c>
      <c r="L5" s="11">
        <f>J5+K5</f>
        <v>0</v>
      </c>
      <c r="M5" s="13"/>
      <c r="N5" s="13"/>
      <c r="O5" s="13">
        <f>+M5+N5</f>
        <v>0</v>
      </c>
      <c r="P5" s="13">
        <f>Q5-G5</f>
        <v>14</v>
      </c>
      <c r="Q5" s="13">
        <v>50</v>
      </c>
      <c r="R5" s="14">
        <f>+'Real vs Q10'!L5</f>
        <v>5</v>
      </c>
      <c r="S5" s="14">
        <f>24+E5</f>
        <v>35</v>
      </c>
      <c r="T5" s="13"/>
      <c r="U5" s="13">
        <f>+S5+T5+E5</f>
        <v>46</v>
      </c>
      <c r="V5" s="14">
        <f>+IF(S5=0,0,IF(S5&lt;=34,1,ROUNDUP(S5/34,0)))</f>
        <v>2</v>
      </c>
      <c r="W5" s="13">
        <f>C5</f>
        <v>2</v>
      </c>
      <c r="X5" s="13">
        <f>+Q5-S5</f>
        <v>15</v>
      </c>
      <c r="Y5" s="42">
        <v>2</v>
      </c>
      <c r="Z5" s="42">
        <f>+'Real vs Q10'!R5</f>
        <v>2</v>
      </c>
      <c r="AA5" s="11">
        <f>12-1</f>
        <v>11</v>
      </c>
      <c r="AB5" s="42">
        <f>+'Real vs Q10'!S5</f>
        <v>29</v>
      </c>
      <c r="AC5" s="15">
        <f>+Z5+AB5</f>
        <v>31</v>
      </c>
      <c r="AD5" s="15">
        <f>+'Real vs Q10'!V5</f>
        <v>10</v>
      </c>
      <c r="AE5" s="14">
        <f>+IF(AD5=0,0,IF(AD5&lt;=34,1,ROUNDUP(AD5/34,0)))</f>
        <v>1</v>
      </c>
      <c r="AF5" s="11">
        <v>0</v>
      </c>
      <c r="AG5" s="11">
        <v>0</v>
      </c>
      <c r="AH5" s="11">
        <f>AF5+AG5</f>
        <v>0</v>
      </c>
      <c r="AI5" s="11"/>
      <c r="AJ5" s="11"/>
      <c r="AK5" s="11">
        <f>+AI5+AJ5</f>
        <v>0</v>
      </c>
      <c r="AL5" s="11">
        <f>AM5-AC5</f>
        <v>4</v>
      </c>
      <c r="AM5" s="11">
        <v>35</v>
      </c>
      <c r="AN5" s="16">
        <f>+'Real vs Q10'!W5</f>
        <v>1</v>
      </c>
      <c r="AO5" s="16">
        <f>12+E5</f>
        <v>23</v>
      </c>
      <c r="AP5" s="11"/>
      <c r="AQ5" s="13">
        <f>+AO5+AP5+E5</f>
        <v>34</v>
      </c>
      <c r="AR5" s="14">
        <f>+IF(AO5=0,0,IF(AO5&lt;=34,1,ROUNDUP(AO5/34,0)))</f>
        <v>1</v>
      </c>
      <c r="AS5" s="11">
        <v>1</v>
      </c>
      <c r="AT5" s="11"/>
      <c r="AU5" s="11">
        <f>+AM5-AO5</f>
        <v>12</v>
      </c>
    </row>
    <row r="6" spans="1:66" s="2" customFormat="1" x14ac:dyDescent="0.25">
      <c r="A6" s="223"/>
      <c r="B6" s="10" t="s">
        <v>39</v>
      </c>
      <c r="C6" s="11">
        <v>1</v>
      </c>
      <c r="D6" s="11">
        <f>+'Real vs Q10'!G6</f>
        <v>0</v>
      </c>
      <c r="E6" s="11">
        <v>3</v>
      </c>
      <c r="F6" s="11">
        <f>+'Real vs Q10'!H6</f>
        <v>9</v>
      </c>
      <c r="G6" s="11">
        <f t="shared" ref="G6:G9" si="0">D6+F6</f>
        <v>9</v>
      </c>
      <c r="H6" s="11">
        <f>+'Real vs Q10'!K6</f>
        <v>2</v>
      </c>
      <c r="I6" s="11">
        <f t="shared" ref="I6:I9" si="1">+IF(H6=0,0,IF(H6&lt;=34,1,ROUNDUP(H6/34,0)))</f>
        <v>1</v>
      </c>
      <c r="J6" s="11">
        <v>0</v>
      </c>
      <c r="K6" s="12">
        <v>0</v>
      </c>
      <c r="L6" s="11">
        <f t="shared" ref="L6:L80" si="2">J6+K6</f>
        <v>0</v>
      </c>
      <c r="M6" s="13"/>
      <c r="N6" s="13"/>
      <c r="O6" s="13">
        <f t="shared" ref="O6:O69" si="3">+M6+N6</f>
        <v>0</v>
      </c>
      <c r="P6" s="13">
        <f>Q6-G6</f>
        <v>1</v>
      </c>
      <c r="Q6" s="13">
        <v>10</v>
      </c>
      <c r="R6" s="14">
        <f>+'Real vs Q10'!L6</f>
        <v>4</v>
      </c>
      <c r="S6" s="14">
        <f>2+E6</f>
        <v>5</v>
      </c>
      <c r="T6" s="13"/>
      <c r="U6" s="13">
        <f t="shared" ref="U6:U9" si="4">+S6+T6+E6</f>
        <v>8</v>
      </c>
      <c r="V6" s="14">
        <f>+IF(S6=0,0,IF(S6&lt;=34,1,ROUNDUP(S6/34,0)))/2</f>
        <v>0.5</v>
      </c>
      <c r="W6" s="13">
        <f>C6</f>
        <v>1</v>
      </c>
      <c r="X6" s="13">
        <f>+Q6-S6</f>
        <v>5</v>
      </c>
      <c r="Y6" s="42">
        <v>1</v>
      </c>
      <c r="Z6" s="42">
        <f>+'Real vs Q10'!R6</f>
        <v>0</v>
      </c>
      <c r="AA6" s="11">
        <v>3</v>
      </c>
      <c r="AB6" s="42">
        <f>+'Real vs Q10'!S6</f>
        <v>7</v>
      </c>
      <c r="AC6" s="15">
        <f t="shared" ref="AC6:AC9" si="5">+Z6+AB6</f>
        <v>7</v>
      </c>
      <c r="AD6" s="15">
        <f>+'Real vs Q10'!V6</f>
        <v>2</v>
      </c>
      <c r="AE6" s="14">
        <f t="shared" ref="AE6:AE49" si="6">+IF(AD6=0,0,IF(AD6&lt;=34,1,ROUNDUP(AD6/34,0)))</f>
        <v>1</v>
      </c>
      <c r="AF6" s="11">
        <v>0</v>
      </c>
      <c r="AG6" s="11">
        <v>1</v>
      </c>
      <c r="AH6" s="11">
        <f t="shared" ref="AH6:AH80" si="7">AF6+AG6</f>
        <v>1</v>
      </c>
      <c r="AI6" s="11"/>
      <c r="AJ6" s="11"/>
      <c r="AK6" s="11">
        <f>+AI6+AJ6</f>
        <v>0</v>
      </c>
      <c r="AL6" s="11">
        <f>AM6-AC6</f>
        <v>3</v>
      </c>
      <c r="AM6" s="11">
        <v>10</v>
      </c>
      <c r="AN6" s="16">
        <f>+'Real vs Q10'!W6</f>
        <v>0</v>
      </c>
      <c r="AO6" s="16">
        <f>2+E6</f>
        <v>5</v>
      </c>
      <c r="AP6" s="11"/>
      <c r="AQ6" s="13">
        <f>+AO6+AP6+E6</f>
        <v>8</v>
      </c>
      <c r="AR6" s="14">
        <f>+IF(AO6=0,0,IF(AO6&lt;=34,1,ROUNDUP(AO6/34,0)))/2</f>
        <v>0.5</v>
      </c>
      <c r="AS6" s="11">
        <v>1</v>
      </c>
      <c r="AT6" s="11"/>
      <c r="AU6" s="11">
        <f>+AM6-AO6</f>
        <v>5</v>
      </c>
    </row>
    <row r="7" spans="1:66" s="2" customFormat="1" x14ac:dyDescent="0.25">
      <c r="A7" s="223"/>
      <c r="B7" s="10" t="s">
        <v>40</v>
      </c>
      <c r="C7" s="11">
        <v>1</v>
      </c>
      <c r="D7" s="11">
        <v>11</v>
      </c>
      <c r="E7" s="11">
        <v>12</v>
      </c>
      <c r="F7" s="11">
        <f>+'Real vs Q10'!H7</f>
        <v>8</v>
      </c>
      <c r="G7" s="11">
        <f t="shared" si="0"/>
        <v>19</v>
      </c>
      <c r="H7" s="11">
        <f>+'Real vs Q10'!K7</f>
        <v>23</v>
      </c>
      <c r="I7" s="11">
        <f t="shared" si="1"/>
        <v>1</v>
      </c>
      <c r="J7" s="11">
        <v>1</v>
      </c>
      <c r="K7" s="12">
        <v>0</v>
      </c>
      <c r="L7" s="11">
        <f t="shared" si="2"/>
        <v>1</v>
      </c>
      <c r="M7" s="13"/>
      <c r="N7" s="13">
        <v>1</v>
      </c>
      <c r="O7" s="13">
        <f t="shared" si="3"/>
        <v>1</v>
      </c>
      <c r="P7" s="13">
        <f>Q7-G7</f>
        <v>13</v>
      </c>
      <c r="Q7" s="13">
        <v>32</v>
      </c>
      <c r="R7" s="14">
        <f>+'Real vs Q10'!L7</f>
        <v>10</v>
      </c>
      <c r="S7" s="14">
        <f>19+E7</f>
        <v>31</v>
      </c>
      <c r="T7" s="13"/>
      <c r="U7" s="13">
        <f t="shared" si="4"/>
        <v>43</v>
      </c>
      <c r="V7" s="14">
        <f>+IF(S7=0,0,IF(S7&lt;=34,1,ROUNDUP(S7/34,0)))</f>
        <v>1</v>
      </c>
      <c r="W7" s="13">
        <f>C7</f>
        <v>1</v>
      </c>
      <c r="X7" s="13">
        <f>+Q7-S7</f>
        <v>1</v>
      </c>
      <c r="Y7" s="15">
        <v>1</v>
      </c>
      <c r="Z7" s="42">
        <f>+'Real vs Q10'!R7</f>
        <v>12</v>
      </c>
      <c r="AA7" s="11">
        <v>12</v>
      </c>
      <c r="AB7" s="42">
        <f>+'Real vs Q10'!S7</f>
        <v>16</v>
      </c>
      <c r="AC7" s="15">
        <f t="shared" si="5"/>
        <v>28</v>
      </c>
      <c r="AD7" s="15">
        <f>+'Real vs Q10'!V7</f>
        <v>15</v>
      </c>
      <c r="AE7" s="14">
        <f t="shared" si="6"/>
        <v>1</v>
      </c>
      <c r="AF7" s="11">
        <v>0</v>
      </c>
      <c r="AG7" s="11">
        <v>0</v>
      </c>
      <c r="AH7" s="11">
        <f t="shared" si="7"/>
        <v>0</v>
      </c>
      <c r="AI7" s="11">
        <v>1</v>
      </c>
      <c r="AJ7" s="11"/>
      <c r="AK7" s="11">
        <f>+AI7+AJ7</f>
        <v>1</v>
      </c>
      <c r="AL7" s="11">
        <f>AM7-AC7</f>
        <v>4</v>
      </c>
      <c r="AM7" s="11">
        <f>17+15</f>
        <v>32</v>
      </c>
      <c r="AN7" s="16">
        <f>+'Real vs Q10'!W7</f>
        <v>3</v>
      </c>
      <c r="AO7" s="16">
        <f>16+E7</f>
        <v>28</v>
      </c>
      <c r="AP7" s="11"/>
      <c r="AQ7" s="13">
        <f>+AO7+AP7+E7</f>
        <v>40</v>
      </c>
      <c r="AR7" s="14">
        <f>+IF(AO7=0,0,IF(AO7&lt;=34,1,ROUNDUP(AO7/34,0)))</f>
        <v>1</v>
      </c>
      <c r="AS7" s="11">
        <v>1</v>
      </c>
      <c r="AT7" s="11"/>
      <c r="AU7" s="11">
        <f>+AM7-AO7</f>
        <v>4</v>
      </c>
    </row>
    <row r="8" spans="1:66" s="2" customFormat="1" x14ac:dyDescent="0.25">
      <c r="A8" s="223"/>
      <c r="B8" s="10" t="s">
        <v>41</v>
      </c>
      <c r="C8" s="11">
        <v>1</v>
      </c>
      <c r="D8" s="11">
        <v>17</v>
      </c>
      <c r="E8" s="11">
        <f>12-3</f>
        <v>9</v>
      </c>
      <c r="F8" s="11">
        <f>+'Real vs Q10'!H8</f>
        <v>3</v>
      </c>
      <c r="G8" s="11">
        <f t="shared" si="0"/>
        <v>20</v>
      </c>
      <c r="H8" s="11">
        <f>+'Real vs Q10'!K8</f>
        <v>25</v>
      </c>
      <c r="I8" s="11">
        <f t="shared" si="1"/>
        <v>1</v>
      </c>
      <c r="J8" s="11">
        <v>0</v>
      </c>
      <c r="K8" s="12">
        <v>4</v>
      </c>
      <c r="L8" s="11">
        <v>4</v>
      </c>
      <c r="M8" s="13">
        <v>2</v>
      </c>
      <c r="N8" s="13"/>
      <c r="O8" s="13">
        <f t="shared" si="3"/>
        <v>2</v>
      </c>
      <c r="P8" s="13">
        <f>Q8-G8</f>
        <v>12</v>
      </c>
      <c r="Q8" s="13">
        <v>32</v>
      </c>
      <c r="R8" s="14">
        <f>+'Real vs Q10'!L8</f>
        <v>46</v>
      </c>
      <c r="S8" s="14">
        <f>24+E8</f>
        <v>33</v>
      </c>
      <c r="T8" s="13"/>
      <c r="U8" s="13">
        <f t="shared" si="4"/>
        <v>42</v>
      </c>
      <c r="V8" s="14">
        <f>+IF(S8=0,0,IF(S8&lt;=34,1,ROUNDUP(S8/34,0)))</f>
        <v>1</v>
      </c>
      <c r="W8" s="13">
        <f>C8</f>
        <v>1</v>
      </c>
      <c r="X8" s="13">
        <f>+Q8-S8</f>
        <v>-1</v>
      </c>
      <c r="Y8" s="15">
        <v>1</v>
      </c>
      <c r="Z8" s="42">
        <v>15</v>
      </c>
      <c r="AA8" s="11">
        <f>12-3</f>
        <v>9</v>
      </c>
      <c r="AB8" s="42">
        <f>+'Real vs Q10'!S8</f>
        <v>5</v>
      </c>
      <c r="AC8" s="15">
        <f t="shared" si="5"/>
        <v>20</v>
      </c>
      <c r="AD8" s="15">
        <f>+'Real vs Q10'!V8</f>
        <v>19</v>
      </c>
      <c r="AE8" s="14">
        <f t="shared" si="6"/>
        <v>1</v>
      </c>
      <c r="AF8" s="11">
        <v>0</v>
      </c>
      <c r="AG8" s="11">
        <v>3</v>
      </c>
      <c r="AH8" s="11">
        <f t="shared" si="7"/>
        <v>3</v>
      </c>
      <c r="AI8" s="11"/>
      <c r="AJ8" s="11"/>
      <c r="AK8" s="11">
        <f>+AI8+AJ8</f>
        <v>0</v>
      </c>
      <c r="AL8" s="11">
        <f>AM8-AC8</f>
        <v>12</v>
      </c>
      <c r="AM8" s="11">
        <f>17+15</f>
        <v>32</v>
      </c>
      <c r="AN8" s="16">
        <f>+'Real vs Q10'!W8</f>
        <v>9</v>
      </c>
      <c r="AO8" s="16">
        <f>14+E8</f>
        <v>23</v>
      </c>
      <c r="AP8" s="11"/>
      <c r="AQ8" s="13">
        <f>+AO8+AP8+E8</f>
        <v>32</v>
      </c>
      <c r="AR8" s="14">
        <f>+IF(AO8=0,0,IF(AO8&lt;=34,1,ROUNDUP(AO8/34,0)))</f>
        <v>1</v>
      </c>
      <c r="AS8" s="11">
        <v>1</v>
      </c>
      <c r="AT8" s="11"/>
      <c r="AU8" s="11">
        <f>+AM8-AO8</f>
        <v>9</v>
      </c>
      <c r="AZ8" s="2">
        <f>6+5+2+5+2+1+15+5+1+2+11+5+3+5+1+7</f>
        <v>76</v>
      </c>
    </row>
    <row r="9" spans="1:66" s="2" customFormat="1" x14ac:dyDescent="0.25">
      <c r="A9" s="223"/>
      <c r="B9" s="10" t="s">
        <v>42</v>
      </c>
      <c r="C9" s="11">
        <v>0</v>
      </c>
      <c r="D9" s="11">
        <f>+'Real vs Q10'!G9</f>
        <v>0</v>
      </c>
      <c r="E9" s="11">
        <v>3</v>
      </c>
      <c r="F9" s="11">
        <f>+'Real vs Q10'!H9</f>
        <v>0</v>
      </c>
      <c r="G9" s="11">
        <f t="shared" si="0"/>
        <v>0</v>
      </c>
      <c r="H9" s="11">
        <f>+'Real vs Q10'!K9</f>
        <v>0</v>
      </c>
      <c r="I9" s="11">
        <f t="shared" si="1"/>
        <v>0</v>
      </c>
      <c r="J9" s="11">
        <v>0</v>
      </c>
      <c r="K9" s="12">
        <v>0</v>
      </c>
      <c r="L9" s="11">
        <f t="shared" si="2"/>
        <v>0</v>
      </c>
      <c r="M9" s="13"/>
      <c r="N9" s="13"/>
      <c r="O9" s="13">
        <f t="shared" si="3"/>
        <v>0</v>
      </c>
      <c r="P9" s="13">
        <f>Q9-G9</f>
        <v>0</v>
      </c>
      <c r="Q9" s="13">
        <v>0</v>
      </c>
      <c r="R9" s="14">
        <f>+'Real vs Q10'!L9</f>
        <v>0</v>
      </c>
      <c r="S9" s="14">
        <f>0+E9</f>
        <v>3</v>
      </c>
      <c r="T9" s="13"/>
      <c r="U9" s="13">
        <f t="shared" si="4"/>
        <v>6</v>
      </c>
      <c r="V9" s="14">
        <f>+IF(S9=0,0,IF(S9&lt;=34,1,ROUNDUP(S9/34,0)))/2</f>
        <v>0.5</v>
      </c>
      <c r="W9" s="13">
        <f>C9</f>
        <v>0</v>
      </c>
      <c r="X9" s="13">
        <f>+Q9-S9</f>
        <v>-3</v>
      </c>
      <c r="Y9" s="15">
        <v>0</v>
      </c>
      <c r="Z9" s="42">
        <f>+'Real vs Q10'!R9</f>
        <v>0</v>
      </c>
      <c r="AA9" s="11">
        <v>3</v>
      </c>
      <c r="AB9" s="42">
        <f>+'Real vs Q10'!S9</f>
        <v>0</v>
      </c>
      <c r="AC9" s="15">
        <f t="shared" si="5"/>
        <v>0</v>
      </c>
      <c r="AD9" s="15">
        <f>+'Real vs Q10'!V9</f>
        <v>0</v>
      </c>
      <c r="AE9" s="14">
        <f t="shared" si="6"/>
        <v>0</v>
      </c>
      <c r="AF9" s="11">
        <v>0</v>
      </c>
      <c r="AG9" s="11">
        <v>0</v>
      </c>
      <c r="AH9" s="11">
        <f t="shared" si="7"/>
        <v>0</v>
      </c>
      <c r="AI9" s="11"/>
      <c r="AJ9" s="11"/>
      <c r="AK9" s="11">
        <f>+AI9+AJ9</f>
        <v>0</v>
      </c>
      <c r="AL9" s="11">
        <f>AM9-AC9</f>
        <v>0</v>
      </c>
      <c r="AM9" s="11">
        <v>0</v>
      </c>
      <c r="AN9" s="16">
        <f>+'Real vs Q10'!W9</f>
        <v>0</v>
      </c>
      <c r="AO9" s="16">
        <f>0+E9</f>
        <v>3</v>
      </c>
      <c r="AP9" s="11"/>
      <c r="AQ9" s="13">
        <f>+AO9+AP9+E9</f>
        <v>6</v>
      </c>
      <c r="AR9" s="14">
        <f>+IF(AO9=0,0,IF(AO9&lt;=34,1,ROUNDUP(AO9/34,0)))/2</f>
        <v>0.5</v>
      </c>
      <c r="AS9" s="11">
        <v>0</v>
      </c>
      <c r="AT9" s="11"/>
      <c r="AU9" s="11">
        <f>+AM9-AO9</f>
        <v>-3</v>
      </c>
    </row>
    <row r="10" spans="1:66" s="21" customFormat="1" x14ac:dyDescent="0.25">
      <c r="A10" s="17"/>
      <c r="B10" s="18"/>
      <c r="C10" s="19">
        <f>SUM(C5:C9)</f>
        <v>5</v>
      </c>
      <c r="D10" s="19">
        <f t="shared" ref="D10:Q10" si="8">SUM(D5:D9)</f>
        <v>30</v>
      </c>
      <c r="E10" s="19">
        <f>SUM(E5:E9)</f>
        <v>38</v>
      </c>
      <c r="F10" s="19">
        <f t="shared" si="8"/>
        <v>54</v>
      </c>
      <c r="G10" s="19">
        <f t="shared" si="8"/>
        <v>84</v>
      </c>
      <c r="H10" s="19">
        <f t="shared" si="8"/>
        <v>77</v>
      </c>
      <c r="I10" s="19">
        <f>SUM(I5:I9)</f>
        <v>4</v>
      </c>
      <c r="J10" s="19">
        <f t="shared" si="8"/>
        <v>1</v>
      </c>
      <c r="K10" s="19">
        <f t="shared" si="8"/>
        <v>4</v>
      </c>
      <c r="L10" s="19">
        <f t="shared" si="8"/>
        <v>5</v>
      </c>
      <c r="M10" s="19">
        <f t="shared" si="8"/>
        <v>2</v>
      </c>
      <c r="N10" s="19">
        <f t="shared" si="8"/>
        <v>1</v>
      </c>
      <c r="O10" s="19">
        <f t="shared" si="8"/>
        <v>3</v>
      </c>
      <c r="P10" s="19">
        <f t="shared" si="8"/>
        <v>40</v>
      </c>
      <c r="Q10" s="19">
        <f t="shared" si="8"/>
        <v>124</v>
      </c>
      <c r="R10" s="19">
        <f>SUM(R5:R9)</f>
        <v>65</v>
      </c>
      <c r="S10" s="19">
        <f>SUM(S5:S9)</f>
        <v>107</v>
      </c>
      <c r="T10" s="19">
        <f>SUM(T5:T9)</f>
        <v>0</v>
      </c>
      <c r="U10" s="19">
        <f>SUM(U5:U9)</f>
        <v>145</v>
      </c>
      <c r="V10" s="19">
        <f>SUM(V5:V9)</f>
        <v>5</v>
      </c>
      <c r="W10" s="19">
        <f t="shared" ref="W10" si="9">SUM(W5:W9)</f>
        <v>5</v>
      </c>
      <c r="X10" s="19">
        <f>SUM(X5:X9)</f>
        <v>17</v>
      </c>
      <c r="Y10" s="19">
        <f t="shared" ref="Y10" si="10">SUM(Y5:Y9)</f>
        <v>5</v>
      </c>
      <c r="Z10" s="19">
        <f t="shared" ref="Z10" si="11">SUM(Z5:Z9)</f>
        <v>29</v>
      </c>
      <c r="AA10" s="19">
        <f>SUM(AA5:AA9)</f>
        <v>38</v>
      </c>
      <c r="AB10" s="19">
        <f t="shared" ref="AB10" si="12">SUM(AB5:AB9)</f>
        <v>57</v>
      </c>
      <c r="AC10" s="19">
        <f t="shared" ref="AC10" si="13">SUM(AC5:AC9)</f>
        <v>86</v>
      </c>
      <c r="AD10" s="19">
        <f t="shared" ref="AD10" si="14">SUM(AD5:AD9)</f>
        <v>46</v>
      </c>
      <c r="AE10" s="19">
        <f>SUM(AE5:AE9)</f>
        <v>4</v>
      </c>
      <c r="AF10" s="19">
        <f t="shared" ref="AF10" si="15">SUM(AF5:AF9)</f>
        <v>0</v>
      </c>
      <c r="AG10" s="19">
        <f t="shared" ref="AG10" si="16">SUM(AG5:AG9)</f>
        <v>4</v>
      </c>
      <c r="AH10" s="19">
        <f t="shared" ref="AH10" si="17">SUM(AH5:AH9)</f>
        <v>4</v>
      </c>
      <c r="AI10" s="19">
        <f>SUM(AI5:AI9)</f>
        <v>1</v>
      </c>
      <c r="AJ10" s="19">
        <f>SUM(AJ5:AJ9)</f>
        <v>0</v>
      </c>
      <c r="AK10" s="19">
        <f>SUM(AK5:AK9)</f>
        <v>1</v>
      </c>
      <c r="AL10" s="19">
        <f t="shared" ref="AL10" si="18">SUM(AL5:AL9)</f>
        <v>23</v>
      </c>
      <c r="AM10" s="19">
        <f t="shared" ref="AM10" si="19">SUM(AM5:AM9)</f>
        <v>109</v>
      </c>
      <c r="AN10" s="19">
        <f t="shared" ref="AN10" si="20">SUM(AN5:AN9)</f>
        <v>13</v>
      </c>
      <c r="AO10" s="19">
        <f>SUM(AO5:AO9)</f>
        <v>82</v>
      </c>
      <c r="AP10" s="19">
        <f>SUM(AP5:AP9)</f>
        <v>0</v>
      </c>
      <c r="AQ10" s="19">
        <f>SUM(AQ5:AQ9)</f>
        <v>120</v>
      </c>
      <c r="AR10" s="19">
        <f t="shared" ref="AR10" si="21">SUM(AR5:AR9)</f>
        <v>4</v>
      </c>
      <c r="AS10" s="19">
        <f t="shared" ref="AS10" si="22">SUM(AS5:AS9)</f>
        <v>4</v>
      </c>
      <c r="AT10" s="19"/>
      <c r="AU10" s="19">
        <f>SUM(AU5:AU9)</f>
        <v>27</v>
      </c>
      <c r="AV10" s="2"/>
      <c r="AW10" s="2"/>
      <c r="AX10" s="2"/>
      <c r="AY10" s="2"/>
      <c r="AZ10" s="2"/>
      <c r="BA10" s="2"/>
      <c r="BB10" s="2"/>
      <c r="BC10" s="2"/>
      <c r="BD10" s="2"/>
      <c r="BE10" s="2"/>
      <c r="BF10" s="2"/>
      <c r="BG10" s="2"/>
      <c r="BH10" s="2"/>
      <c r="BI10" s="2"/>
      <c r="BJ10" s="2"/>
      <c r="BK10" s="2"/>
      <c r="BL10" s="2"/>
      <c r="BM10" s="2"/>
      <c r="BN10" s="2"/>
    </row>
    <row r="11" spans="1:66" s="2" customFormat="1" ht="14.45" customHeight="1" x14ac:dyDescent="0.25">
      <c r="A11" s="230" t="s">
        <v>43</v>
      </c>
      <c r="B11" s="10" t="s">
        <v>40</v>
      </c>
      <c r="C11" s="11">
        <v>2</v>
      </c>
      <c r="D11" s="11">
        <f>+'Real vs Q10'!G10</f>
        <v>0</v>
      </c>
      <c r="E11" s="11"/>
      <c r="F11" s="11">
        <f>+'Real vs Q10'!H10</f>
        <v>48</v>
      </c>
      <c r="G11" s="11">
        <f>D11+F11</f>
        <v>48</v>
      </c>
      <c r="H11" s="11">
        <f>+'Real vs Q10'!K10</f>
        <v>27</v>
      </c>
      <c r="I11" s="11">
        <f>+IF(H11=0,0,IF(H11&lt;=34,1,ROUNDUP(H11/34,0)))</f>
        <v>1</v>
      </c>
      <c r="J11" s="11">
        <v>0</v>
      </c>
      <c r="K11" s="12">
        <v>0</v>
      </c>
      <c r="L11" s="11">
        <f t="shared" si="2"/>
        <v>0</v>
      </c>
      <c r="M11" s="13"/>
      <c r="N11" s="13"/>
      <c r="O11" s="13">
        <f t="shared" si="3"/>
        <v>0</v>
      </c>
      <c r="P11" s="13">
        <f>Q11-G11</f>
        <v>-18</v>
      </c>
      <c r="Q11" s="13">
        <v>30</v>
      </c>
      <c r="R11" s="14">
        <f>+'Real vs Q10'!L10</f>
        <v>20</v>
      </c>
      <c r="S11" s="14">
        <v>21</v>
      </c>
      <c r="T11" s="13"/>
      <c r="U11" s="13">
        <f t="shared" ref="U11:U69" si="23">+S11+T11</f>
        <v>21</v>
      </c>
      <c r="V11" s="14">
        <f>+IF(S11=0,0,IF(S11&lt;=34,1,ROUNDUP(S11/34,0)))</f>
        <v>1</v>
      </c>
      <c r="W11" s="13">
        <f>C11</f>
        <v>2</v>
      </c>
      <c r="X11" s="13">
        <f>+Q11-S11</f>
        <v>9</v>
      </c>
      <c r="Y11" s="15">
        <v>1</v>
      </c>
      <c r="Z11" s="15">
        <f>+'Real vs Q10'!R10</f>
        <v>0</v>
      </c>
      <c r="AA11" s="15"/>
      <c r="AB11" s="15">
        <f>+'Real vs Q10'!S10</f>
        <v>14</v>
      </c>
      <c r="AC11" s="15">
        <f>+Z11+AB11</f>
        <v>14</v>
      </c>
      <c r="AD11" s="15">
        <f>+'Real vs Q10'!V10</f>
        <v>9</v>
      </c>
      <c r="AE11" s="14">
        <f t="shared" si="6"/>
        <v>1</v>
      </c>
      <c r="AF11" s="11">
        <v>0</v>
      </c>
      <c r="AG11" s="11">
        <v>0</v>
      </c>
      <c r="AH11" s="11">
        <f t="shared" si="7"/>
        <v>0</v>
      </c>
      <c r="AI11" s="11"/>
      <c r="AJ11" s="11"/>
      <c r="AK11" s="11">
        <f>+AI11+AJ11</f>
        <v>0</v>
      </c>
      <c r="AL11" s="11">
        <f>AM11-AC11</f>
        <v>11</v>
      </c>
      <c r="AM11" s="11">
        <v>25</v>
      </c>
      <c r="AN11" s="16">
        <f>+'Real vs Q10'!W10</f>
        <v>1</v>
      </c>
      <c r="AO11" s="16">
        <v>8</v>
      </c>
      <c r="AP11" s="11"/>
      <c r="AQ11" s="217">
        <f t="shared" ref="AQ11:AQ69" si="24">+AO11+AP11</f>
        <v>8</v>
      </c>
      <c r="AR11" s="14">
        <f>+IF(AO11=0,0,IF(AO11&lt;=34,1,ROUNDUP(AO11/34,0)))-1</f>
        <v>0</v>
      </c>
      <c r="AS11" s="11">
        <v>1</v>
      </c>
      <c r="AT11" s="11" t="s">
        <v>44</v>
      </c>
      <c r="AU11" s="11">
        <f>+AM11-AO11</f>
        <v>17</v>
      </c>
    </row>
    <row r="12" spans="1:66" s="2" customFormat="1" x14ac:dyDescent="0.25">
      <c r="A12" s="230"/>
      <c r="B12" s="10" t="s">
        <v>41</v>
      </c>
      <c r="C12" s="11">
        <v>2</v>
      </c>
      <c r="D12" s="11">
        <f>+'Real vs Q10'!G11</f>
        <v>13</v>
      </c>
      <c r="E12" s="11"/>
      <c r="F12" s="11">
        <f>+'Real vs Q10'!H11</f>
        <v>45</v>
      </c>
      <c r="G12" s="11">
        <f t="shared" ref="G12:G15" si="25">D12+F12</f>
        <v>58</v>
      </c>
      <c r="H12" s="11">
        <f>+'Real vs Q10'!K11</f>
        <v>38</v>
      </c>
      <c r="I12" s="11">
        <f t="shared" ref="I12:I28" si="26">+IF(H12=0,0,IF(H12&lt;=34,1,ROUNDUP(H12/34,0)))</f>
        <v>2</v>
      </c>
      <c r="J12" s="11">
        <v>1</v>
      </c>
      <c r="K12" s="12">
        <v>1</v>
      </c>
      <c r="L12" s="11">
        <f>J12+K12</f>
        <v>2</v>
      </c>
      <c r="M12" s="13">
        <v>1</v>
      </c>
      <c r="N12" s="13">
        <v>1</v>
      </c>
      <c r="O12" s="13">
        <f t="shared" si="3"/>
        <v>2</v>
      </c>
      <c r="P12" s="13">
        <f>Q12-G12</f>
        <v>-8</v>
      </c>
      <c r="Q12" s="13">
        <v>50</v>
      </c>
      <c r="R12" s="14">
        <f>+'Real vs Q10'!L11</f>
        <v>11</v>
      </c>
      <c r="S12" s="14">
        <v>40</v>
      </c>
      <c r="T12" s="13"/>
      <c r="U12" s="13">
        <f t="shared" si="23"/>
        <v>40</v>
      </c>
      <c r="V12" s="14">
        <f>+IF(S12=0,0,IF(S12&lt;=34,1,ROUNDUP(S12/34,0)))</f>
        <v>2</v>
      </c>
      <c r="W12" s="13">
        <f>C12</f>
        <v>2</v>
      </c>
      <c r="X12" s="13">
        <f>+Q12-S12</f>
        <v>10</v>
      </c>
      <c r="Y12" s="15">
        <v>1</v>
      </c>
      <c r="Z12" s="15">
        <f>+'Real vs Q10'!R11</f>
        <v>1</v>
      </c>
      <c r="AA12" s="15"/>
      <c r="AB12" s="15">
        <f>+'Real vs Q10'!S11</f>
        <v>26</v>
      </c>
      <c r="AC12" s="15">
        <f t="shared" ref="AC12:AC14" si="27">+Z12+AB12</f>
        <v>27</v>
      </c>
      <c r="AD12" s="15">
        <f>+'Real vs Q10'!V11</f>
        <v>18</v>
      </c>
      <c r="AE12" s="14">
        <f t="shared" si="6"/>
        <v>1</v>
      </c>
      <c r="AF12" s="11">
        <v>0</v>
      </c>
      <c r="AG12" s="11">
        <v>0</v>
      </c>
      <c r="AH12" s="11">
        <f t="shared" si="7"/>
        <v>0</v>
      </c>
      <c r="AI12" s="11"/>
      <c r="AJ12" s="11"/>
      <c r="AK12" s="11">
        <f>+AI12+AJ12</f>
        <v>0</v>
      </c>
      <c r="AL12" s="11">
        <f>AM12-AC12</f>
        <v>-2</v>
      </c>
      <c r="AM12" s="11">
        <v>25</v>
      </c>
      <c r="AN12" s="16">
        <f>+'Real vs Q10'!W11</f>
        <v>0</v>
      </c>
      <c r="AO12" s="16">
        <v>22</v>
      </c>
      <c r="AP12" s="11"/>
      <c r="AQ12" s="13">
        <f t="shared" si="24"/>
        <v>22</v>
      </c>
      <c r="AR12" s="14">
        <f>+IF(AO12=0,0,IF(AO12&lt;=34,1,ROUNDUP(AO12/34,0)))</f>
        <v>1</v>
      </c>
      <c r="AS12" s="11">
        <v>1</v>
      </c>
      <c r="AT12" s="11"/>
      <c r="AU12" s="11">
        <f>+AM12-AO12</f>
        <v>3</v>
      </c>
    </row>
    <row r="13" spans="1:66" s="2" customFormat="1" x14ac:dyDescent="0.25">
      <c r="A13" s="230"/>
      <c r="B13" s="10" t="s">
        <v>45</v>
      </c>
      <c r="C13" s="11">
        <v>1</v>
      </c>
      <c r="D13" s="11">
        <f>+'Real vs Q10'!G14</f>
        <v>16</v>
      </c>
      <c r="E13" s="11"/>
      <c r="F13" s="11">
        <f>+'Real vs Q10'!H14</f>
        <v>21</v>
      </c>
      <c r="G13" s="11">
        <f t="shared" si="25"/>
        <v>37</v>
      </c>
      <c r="H13" s="11">
        <f>+'Real vs Q10'!K14</f>
        <v>34</v>
      </c>
      <c r="I13" s="11">
        <f t="shared" si="26"/>
        <v>1</v>
      </c>
      <c r="J13" s="11">
        <v>1</v>
      </c>
      <c r="K13" s="12">
        <v>0</v>
      </c>
      <c r="L13" s="11">
        <f>J13+K13</f>
        <v>1</v>
      </c>
      <c r="M13" s="13">
        <v>1</v>
      </c>
      <c r="N13" s="13">
        <v>1</v>
      </c>
      <c r="O13" s="13">
        <f t="shared" si="3"/>
        <v>2</v>
      </c>
      <c r="P13" s="13">
        <f>Q13-G13</f>
        <v>-5</v>
      </c>
      <c r="Q13" s="13">
        <v>32</v>
      </c>
      <c r="R13" s="14">
        <f>+'Real vs Q10'!L14</f>
        <v>39</v>
      </c>
      <c r="S13" s="14">
        <v>33</v>
      </c>
      <c r="T13" s="13"/>
      <c r="U13" s="13">
        <f t="shared" si="23"/>
        <v>33</v>
      </c>
      <c r="V13" s="14">
        <f>+IF(S13=0,0,IF(S13&lt;=34,1,ROUNDUP(S13/34,0)))</f>
        <v>1</v>
      </c>
      <c r="W13" s="13">
        <f>C13</f>
        <v>1</v>
      </c>
      <c r="X13" s="13">
        <f>+Q13-S13</f>
        <v>-1</v>
      </c>
      <c r="Y13" s="15">
        <v>1</v>
      </c>
      <c r="Z13" s="15">
        <f>+'Real vs Q10'!R14</f>
        <v>0</v>
      </c>
      <c r="AA13" s="15"/>
      <c r="AB13" s="15">
        <f>+'Real vs Q10'!S14</f>
        <v>29</v>
      </c>
      <c r="AC13" s="15">
        <f t="shared" si="27"/>
        <v>29</v>
      </c>
      <c r="AD13" s="15">
        <f>+'Real vs Q10'!V14</f>
        <v>19</v>
      </c>
      <c r="AE13" s="14">
        <f t="shared" si="6"/>
        <v>1</v>
      </c>
      <c r="AF13" s="11">
        <v>0</v>
      </c>
      <c r="AG13" s="11">
        <v>0</v>
      </c>
      <c r="AH13" s="11">
        <v>0</v>
      </c>
      <c r="AI13" s="11"/>
      <c r="AJ13" s="11"/>
      <c r="AK13" s="11">
        <f>+AI13+AJ13</f>
        <v>0</v>
      </c>
      <c r="AL13" s="11">
        <f>AM13-AC13</f>
        <v>3</v>
      </c>
      <c r="AM13" s="11">
        <v>32</v>
      </c>
      <c r="AN13" s="16">
        <f>+'Real vs Q10'!W14</f>
        <v>4</v>
      </c>
      <c r="AO13" s="16">
        <v>22</v>
      </c>
      <c r="AP13" s="11"/>
      <c r="AQ13" s="13">
        <f t="shared" si="24"/>
        <v>22</v>
      </c>
      <c r="AR13" s="14">
        <f>+IF(AO13=0,0,IF(AO13&lt;=34,1,ROUNDUP(AO13/34,0)))</f>
        <v>1</v>
      </c>
      <c r="AS13" s="11">
        <v>1</v>
      </c>
      <c r="AT13" s="11"/>
      <c r="AU13" s="11">
        <f>+AM13-AO13</f>
        <v>10</v>
      </c>
    </row>
    <row r="14" spans="1:66" s="2" customFormat="1" x14ac:dyDescent="0.25">
      <c r="A14" s="230"/>
      <c r="B14" s="10" t="s">
        <v>46</v>
      </c>
      <c r="C14" s="11">
        <v>0</v>
      </c>
      <c r="D14" s="11">
        <f>+'Real vs Q10'!G12</f>
        <v>0</v>
      </c>
      <c r="E14" s="11"/>
      <c r="F14" s="11">
        <f>+'Real vs Q10'!H12</f>
        <v>0</v>
      </c>
      <c r="G14" s="11">
        <f t="shared" si="25"/>
        <v>0</v>
      </c>
      <c r="H14" s="11">
        <f>+'Real vs Q10'!K12</f>
        <v>0</v>
      </c>
      <c r="I14" s="11">
        <f t="shared" si="26"/>
        <v>0</v>
      </c>
      <c r="J14" s="11">
        <v>0</v>
      </c>
      <c r="K14" s="11">
        <v>0</v>
      </c>
      <c r="L14" s="11">
        <f>J14+K14</f>
        <v>0</v>
      </c>
      <c r="M14" s="13"/>
      <c r="N14" s="13"/>
      <c r="O14" s="13">
        <f t="shared" si="3"/>
        <v>0</v>
      </c>
      <c r="P14" s="13">
        <f>Q14-G14</f>
        <v>0</v>
      </c>
      <c r="Q14" s="11">
        <v>0</v>
      </c>
      <c r="R14" s="14">
        <f>+'Real vs Q10'!L12</f>
        <v>0</v>
      </c>
      <c r="S14" s="14">
        <v>0</v>
      </c>
      <c r="T14" s="13"/>
      <c r="U14" s="13">
        <f t="shared" si="23"/>
        <v>0</v>
      </c>
      <c r="V14" s="14">
        <f>+IF(S14=0,0,IF(S14&lt;=34,1,ROUNDUP(S14/34,0)))</f>
        <v>0</v>
      </c>
      <c r="W14" s="13">
        <f>C14</f>
        <v>0</v>
      </c>
      <c r="X14" s="13">
        <f>+Q14-S14</f>
        <v>0</v>
      </c>
      <c r="Y14" s="15">
        <v>1</v>
      </c>
      <c r="Z14" s="15">
        <f>+'Real vs Q10'!R12</f>
        <v>1</v>
      </c>
      <c r="AA14" s="15"/>
      <c r="AB14" s="15">
        <f>+'Real vs Q10'!S12</f>
        <v>33</v>
      </c>
      <c r="AC14" s="15">
        <f t="shared" si="27"/>
        <v>34</v>
      </c>
      <c r="AD14" s="15">
        <f>+'Real vs Q10'!V12</f>
        <v>28</v>
      </c>
      <c r="AE14" s="14">
        <f t="shared" si="6"/>
        <v>1</v>
      </c>
      <c r="AF14" s="11">
        <v>0</v>
      </c>
      <c r="AG14" s="11">
        <v>0</v>
      </c>
      <c r="AH14" s="11">
        <v>0</v>
      </c>
      <c r="AI14" s="11"/>
      <c r="AJ14" s="11"/>
      <c r="AK14" s="11">
        <f>+AI14+AJ14</f>
        <v>0</v>
      </c>
      <c r="AL14" s="11">
        <f>AM14-AC14</f>
        <v>0</v>
      </c>
      <c r="AM14" s="11">
        <v>34</v>
      </c>
      <c r="AN14" s="16">
        <f>+'Real vs Q10'!W12</f>
        <v>14</v>
      </c>
      <c r="AO14" s="16">
        <v>26</v>
      </c>
      <c r="AP14" s="11"/>
      <c r="AQ14" s="13">
        <f t="shared" si="24"/>
        <v>26</v>
      </c>
      <c r="AR14" s="14">
        <f>+IF(AO14=0,0,IF(AO14&lt;=34,1,ROUNDUP(AO14/34,0)))</f>
        <v>1</v>
      </c>
      <c r="AS14" s="11">
        <v>1</v>
      </c>
      <c r="AT14" s="11"/>
      <c r="AU14" s="11">
        <f>+AM14-AO14</f>
        <v>8</v>
      </c>
    </row>
    <row r="15" spans="1:66" s="2" customFormat="1" x14ac:dyDescent="0.25">
      <c r="A15" s="230"/>
      <c r="B15" s="10" t="s">
        <v>47</v>
      </c>
      <c r="C15" s="11">
        <v>0</v>
      </c>
      <c r="D15" s="11">
        <f>+'Real vs Q10'!G13</f>
        <v>0</v>
      </c>
      <c r="E15" s="11"/>
      <c r="F15" s="11">
        <f>+'Real vs Q10'!H13</f>
        <v>0</v>
      </c>
      <c r="G15" s="11">
        <f t="shared" si="25"/>
        <v>0</v>
      </c>
      <c r="H15" s="11">
        <f>+'Real vs Q10'!K13</f>
        <v>0</v>
      </c>
      <c r="I15" s="11">
        <f t="shared" si="26"/>
        <v>0</v>
      </c>
      <c r="J15" s="11">
        <v>0</v>
      </c>
      <c r="K15" s="11">
        <v>0</v>
      </c>
      <c r="L15" s="11">
        <f>J15+K15</f>
        <v>0</v>
      </c>
      <c r="M15" s="13"/>
      <c r="N15" s="13"/>
      <c r="O15" s="13">
        <f t="shared" si="3"/>
        <v>0</v>
      </c>
      <c r="P15" s="13">
        <f>Q15-G15</f>
        <v>0</v>
      </c>
      <c r="Q15" s="11">
        <v>0</v>
      </c>
      <c r="R15" s="14">
        <f>+'Real vs Q10'!L13</f>
        <v>0</v>
      </c>
      <c r="S15" s="14">
        <v>0</v>
      </c>
      <c r="T15" s="13"/>
      <c r="U15" s="13">
        <f t="shared" si="23"/>
        <v>0</v>
      </c>
      <c r="V15" s="14">
        <f>+IF(S15=0,0,IF(S15&lt;=34,1,ROUNDUP(S15/34,0)))</f>
        <v>0</v>
      </c>
      <c r="W15" s="13">
        <f>C15</f>
        <v>0</v>
      </c>
      <c r="X15" s="13">
        <f>+Q15-S15</f>
        <v>0</v>
      </c>
      <c r="Y15" s="15">
        <v>1</v>
      </c>
      <c r="Z15" s="15">
        <f>+'Real vs Q10'!R13</f>
        <v>1</v>
      </c>
      <c r="AA15" s="15"/>
      <c r="AB15" s="15">
        <f>+'Real vs Q10'!S13</f>
        <v>29</v>
      </c>
      <c r="AC15" s="15">
        <f>+Z15+AB15</f>
        <v>30</v>
      </c>
      <c r="AD15" s="15">
        <f>+'Real vs Q10'!V13</f>
        <v>20</v>
      </c>
      <c r="AE15" s="14">
        <f t="shared" si="6"/>
        <v>1</v>
      </c>
      <c r="AF15" s="11">
        <v>0</v>
      </c>
      <c r="AG15" s="11">
        <v>0</v>
      </c>
      <c r="AH15" s="11">
        <v>0</v>
      </c>
      <c r="AI15" s="11"/>
      <c r="AJ15" s="11">
        <v>1</v>
      </c>
      <c r="AK15" s="11">
        <f>+AI15+AJ15</f>
        <v>1</v>
      </c>
      <c r="AL15" s="11">
        <f>AM15-AC15</f>
        <v>4</v>
      </c>
      <c r="AM15" s="11">
        <v>34</v>
      </c>
      <c r="AN15" s="16">
        <f>+'Real vs Q10'!W13</f>
        <v>7</v>
      </c>
      <c r="AO15" s="16">
        <v>21</v>
      </c>
      <c r="AP15" s="11"/>
      <c r="AQ15" s="13">
        <f t="shared" si="24"/>
        <v>21</v>
      </c>
      <c r="AR15" s="14">
        <f>+IF(AO15=0,0,IF(AO15&lt;=34,1,ROUNDUP(AO15/34,0)))</f>
        <v>1</v>
      </c>
      <c r="AS15" s="11">
        <v>0</v>
      </c>
      <c r="AT15" s="11"/>
      <c r="AU15" s="11">
        <f>+AM15-AO15</f>
        <v>13</v>
      </c>
    </row>
    <row r="16" spans="1:66" s="21" customFormat="1" x14ac:dyDescent="0.25">
      <c r="A16" s="22"/>
      <c r="B16" s="18"/>
      <c r="C16" s="19">
        <f>SUM(C11:C15)</f>
        <v>5</v>
      </c>
      <c r="D16" s="19">
        <f t="shared" ref="D16:AQ16" si="28">SUM(D11:D15)</f>
        <v>29</v>
      </c>
      <c r="E16" s="19"/>
      <c r="F16" s="19">
        <f t="shared" si="28"/>
        <v>114</v>
      </c>
      <c r="G16" s="19">
        <f t="shared" si="28"/>
        <v>143</v>
      </c>
      <c r="H16" s="19">
        <f t="shared" si="28"/>
        <v>99</v>
      </c>
      <c r="I16" s="19">
        <f>SUM(I11:I15)</f>
        <v>4</v>
      </c>
      <c r="J16" s="19">
        <f t="shared" si="28"/>
        <v>2</v>
      </c>
      <c r="K16" s="19">
        <f t="shared" si="28"/>
        <v>1</v>
      </c>
      <c r="L16" s="19">
        <f t="shared" si="28"/>
        <v>3</v>
      </c>
      <c r="M16" s="19">
        <f t="shared" si="28"/>
        <v>2</v>
      </c>
      <c r="N16" s="19">
        <f t="shared" si="28"/>
        <v>2</v>
      </c>
      <c r="O16" s="19">
        <f t="shared" si="28"/>
        <v>4</v>
      </c>
      <c r="P16" s="19">
        <f t="shared" si="28"/>
        <v>-31</v>
      </c>
      <c r="Q16" s="19">
        <f t="shared" si="28"/>
        <v>112</v>
      </c>
      <c r="R16" s="19">
        <f t="shared" si="28"/>
        <v>70</v>
      </c>
      <c r="S16" s="19">
        <f>SUM(S11:S15)</f>
        <v>94</v>
      </c>
      <c r="T16" s="19">
        <f t="shared" ref="T16" si="29">SUM(T11:T15)</f>
        <v>0</v>
      </c>
      <c r="U16" s="19">
        <f t="shared" si="28"/>
        <v>94</v>
      </c>
      <c r="V16" s="19">
        <f t="shared" si="28"/>
        <v>4</v>
      </c>
      <c r="W16" s="19">
        <f t="shared" si="28"/>
        <v>5</v>
      </c>
      <c r="X16" s="19">
        <f>SUM(X11:X15)</f>
        <v>18</v>
      </c>
      <c r="Y16" s="19">
        <f t="shared" si="28"/>
        <v>5</v>
      </c>
      <c r="Z16" s="19">
        <f t="shared" si="28"/>
        <v>3</v>
      </c>
      <c r="AA16" s="19">
        <f t="shared" si="28"/>
        <v>0</v>
      </c>
      <c r="AB16" s="19">
        <f t="shared" si="28"/>
        <v>131</v>
      </c>
      <c r="AC16" s="19">
        <f t="shared" si="28"/>
        <v>134</v>
      </c>
      <c r="AD16" s="19">
        <f t="shared" si="28"/>
        <v>94</v>
      </c>
      <c r="AE16" s="19">
        <f t="shared" si="28"/>
        <v>5</v>
      </c>
      <c r="AF16" s="19">
        <f t="shared" si="28"/>
        <v>0</v>
      </c>
      <c r="AG16" s="19">
        <f t="shared" si="28"/>
        <v>0</v>
      </c>
      <c r="AH16" s="19">
        <f t="shared" si="28"/>
        <v>0</v>
      </c>
      <c r="AI16" s="19">
        <f t="shared" si="28"/>
        <v>0</v>
      </c>
      <c r="AJ16" s="19">
        <f t="shared" si="28"/>
        <v>1</v>
      </c>
      <c r="AK16" s="19">
        <f t="shared" si="28"/>
        <v>1</v>
      </c>
      <c r="AL16" s="19">
        <f t="shared" si="28"/>
        <v>16</v>
      </c>
      <c r="AM16" s="19">
        <f t="shared" si="28"/>
        <v>150</v>
      </c>
      <c r="AN16" s="19">
        <f t="shared" si="28"/>
        <v>26</v>
      </c>
      <c r="AO16" s="19">
        <f t="shared" si="28"/>
        <v>99</v>
      </c>
      <c r="AP16" s="19">
        <f t="shared" si="28"/>
        <v>0</v>
      </c>
      <c r="AQ16" s="19">
        <f t="shared" si="28"/>
        <v>99</v>
      </c>
      <c r="AR16" s="19">
        <f t="shared" ref="AR16" si="30">SUM(AR11:AR15)</f>
        <v>4</v>
      </c>
      <c r="AS16" s="19">
        <f t="shared" ref="AS16" si="31">SUM(AS11:AS15)</f>
        <v>4</v>
      </c>
      <c r="AT16" s="19"/>
      <c r="AU16" s="19">
        <f>SUM(AU11:AU15)</f>
        <v>51</v>
      </c>
      <c r="AV16" s="2"/>
      <c r="AW16" s="2"/>
      <c r="AX16" s="2"/>
      <c r="AY16" s="2"/>
      <c r="AZ16" s="2"/>
      <c r="BA16" s="2"/>
      <c r="BB16" s="2"/>
      <c r="BC16" s="2"/>
      <c r="BD16" s="2"/>
      <c r="BE16" s="2"/>
      <c r="BF16" s="2"/>
      <c r="BG16" s="2"/>
      <c r="BH16" s="2"/>
      <c r="BI16" s="2"/>
      <c r="BJ16" s="2"/>
      <c r="BK16" s="2"/>
      <c r="BL16" s="2"/>
      <c r="BM16" s="2"/>
      <c r="BN16" s="2"/>
    </row>
    <row r="17" spans="1:66" s="2" customFormat="1" x14ac:dyDescent="0.25">
      <c r="A17" s="223" t="s">
        <v>48</v>
      </c>
      <c r="B17" s="10" t="s">
        <v>38</v>
      </c>
      <c r="C17" s="11">
        <v>2</v>
      </c>
      <c r="D17" s="11">
        <f>+'Real vs Q10'!G15</f>
        <v>0</v>
      </c>
      <c r="E17" s="11"/>
      <c r="F17" s="11">
        <f>+'Real vs Q10'!H15</f>
        <v>18</v>
      </c>
      <c r="G17" s="11">
        <f>+D17+F17</f>
        <v>18</v>
      </c>
      <c r="H17" s="11">
        <f>+'Real vs Q10'!K15</f>
        <v>15</v>
      </c>
      <c r="I17" s="11">
        <f>+IF(H17=0,0,IF(H17&lt;=34,1,ROUNDUP(H17/34,0)))</f>
        <v>1</v>
      </c>
      <c r="J17" s="11">
        <v>1</v>
      </c>
      <c r="K17" s="12">
        <v>0</v>
      </c>
      <c r="L17" s="11">
        <f t="shared" si="2"/>
        <v>1</v>
      </c>
      <c r="M17" s="13"/>
      <c r="N17" s="13"/>
      <c r="O17" s="13">
        <f t="shared" si="3"/>
        <v>0</v>
      </c>
      <c r="P17" s="13">
        <f>Q17-G17</f>
        <v>32</v>
      </c>
      <c r="Q17" s="13">
        <v>50</v>
      </c>
      <c r="R17" s="14">
        <f>+'Real vs Q10'!L15</f>
        <v>0</v>
      </c>
      <c r="S17" s="14">
        <v>13</v>
      </c>
      <c r="T17" s="13"/>
      <c r="U17" s="13">
        <f t="shared" si="23"/>
        <v>13</v>
      </c>
      <c r="V17" s="210">
        <f>+IF(S17=0,0,IF(S17&lt;=34,1,ROUNDUP(S17/34,0)))</f>
        <v>1</v>
      </c>
      <c r="W17" s="13">
        <f>C17</f>
        <v>2</v>
      </c>
      <c r="X17" s="13">
        <f>+Q17-S17</f>
        <v>37</v>
      </c>
      <c r="Y17" s="15">
        <v>1</v>
      </c>
      <c r="Z17" s="15">
        <f>+'Real vs Q10'!R15</f>
        <v>1</v>
      </c>
      <c r="AA17" s="15"/>
      <c r="AB17" s="15">
        <f>+'Real vs Q10'!S15</f>
        <v>6</v>
      </c>
      <c r="AC17" s="15">
        <f>+Z17+AB17</f>
        <v>7</v>
      </c>
      <c r="AD17" s="15">
        <f>+'Real vs Q10'!V15</f>
        <v>1</v>
      </c>
      <c r="AE17" s="14">
        <f t="shared" si="6"/>
        <v>1</v>
      </c>
      <c r="AF17" s="11">
        <v>0</v>
      </c>
      <c r="AG17" s="11">
        <v>0</v>
      </c>
      <c r="AH17" s="11">
        <f t="shared" si="7"/>
        <v>0</v>
      </c>
      <c r="AI17" s="11"/>
      <c r="AJ17" s="11"/>
      <c r="AK17" s="11">
        <f>+AI17+AJ17</f>
        <v>0</v>
      </c>
      <c r="AL17" s="11">
        <f>AM17-AC17</f>
        <v>18</v>
      </c>
      <c r="AM17" s="11">
        <v>25</v>
      </c>
      <c r="AN17" s="16">
        <f>+'Real vs Q10'!W15</f>
        <v>0</v>
      </c>
      <c r="AO17" s="216">
        <v>0</v>
      </c>
      <c r="AP17" s="11"/>
      <c r="AQ17" s="217">
        <f t="shared" si="24"/>
        <v>0</v>
      </c>
      <c r="AR17" s="14">
        <f>+IF(AO17=0,0,IF(AO17&lt;=34,1,ROUNDUP(AO17/34,0)))</f>
        <v>0</v>
      </c>
      <c r="AS17" s="11">
        <v>1</v>
      </c>
      <c r="AT17" s="11" t="s">
        <v>49</v>
      </c>
      <c r="AU17" s="11">
        <f>+AM17-AO17</f>
        <v>25</v>
      </c>
    </row>
    <row r="18" spans="1:66" s="2" customFormat="1" x14ac:dyDescent="0.25">
      <c r="A18" s="223"/>
      <c r="B18" s="10" t="s">
        <v>40</v>
      </c>
      <c r="C18" s="11">
        <v>1</v>
      </c>
      <c r="D18" s="11">
        <f>+'Real vs Q10'!G16</f>
        <v>6</v>
      </c>
      <c r="E18" s="11"/>
      <c r="F18" s="11">
        <f>+'Real vs Q10'!H16</f>
        <v>24</v>
      </c>
      <c r="G18" s="11">
        <f t="shared" ref="G18:G19" si="32">+D18+F18</f>
        <v>30</v>
      </c>
      <c r="H18" s="11">
        <f>+'Real vs Q10'!K16</f>
        <v>25</v>
      </c>
      <c r="I18" s="11">
        <f t="shared" si="26"/>
        <v>1</v>
      </c>
      <c r="J18" s="11">
        <v>0</v>
      </c>
      <c r="K18" s="12">
        <v>0</v>
      </c>
      <c r="L18" s="11">
        <f t="shared" si="2"/>
        <v>0</v>
      </c>
      <c r="M18" s="13"/>
      <c r="N18" s="13"/>
      <c r="O18" s="13">
        <f t="shared" si="3"/>
        <v>0</v>
      </c>
      <c r="P18" s="13">
        <f>Q18-G18</f>
        <v>2</v>
      </c>
      <c r="Q18" s="13">
        <v>32</v>
      </c>
      <c r="R18" s="14">
        <f>+'Real vs Q10'!L16</f>
        <v>5</v>
      </c>
      <c r="S18" s="14">
        <v>21</v>
      </c>
      <c r="T18" s="13"/>
      <c r="U18" s="13">
        <f t="shared" si="23"/>
        <v>21</v>
      </c>
      <c r="V18" s="14">
        <f>+IF(S18=0,0,IF(S18&lt;=34,1,ROUNDUP(S18/34,0)))</f>
        <v>1</v>
      </c>
      <c r="W18" s="13">
        <f>C18</f>
        <v>1</v>
      </c>
      <c r="X18" s="13">
        <f>+Q18-S18</f>
        <v>11</v>
      </c>
      <c r="Y18" s="15">
        <v>1</v>
      </c>
      <c r="Z18" s="15">
        <f>+'Real vs Q10'!R16</f>
        <v>3</v>
      </c>
      <c r="AA18" s="15"/>
      <c r="AB18" s="15">
        <f>+'Real vs Q10'!S16</f>
        <v>15</v>
      </c>
      <c r="AC18" s="15">
        <f t="shared" ref="AC18:AC19" si="33">+Z18+AB18</f>
        <v>18</v>
      </c>
      <c r="AD18" s="15">
        <f>+'Real vs Q10'!V16</f>
        <v>18</v>
      </c>
      <c r="AE18" s="14">
        <f t="shared" si="6"/>
        <v>1</v>
      </c>
      <c r="AF18" s="11">
        <v>0</v>
      </c>
      <c r="AG18" s="11">
        <v>0</v>
      </c>
      <c r="AH18" s="11">
        <f t="shared" si="7"/>
        <v>0</v>
      </c>
      <c r="AI18" s="11"/>
      <c r="AJ18" s="11"/>
      <c r="AK18" s="11">
        <f>+AI18+AJ18</f>
        <v>0</v>
      </c>
      <c r="AL18" s="11">
        <f>AM18-AC18</f>
        <v>7</v>
      </c>
      <c r="AM18" s="11">
        <v>25</v>
      </c>
      <c r="AN18" s="16">
        <f>+'Real vs Q10'!W16</f>
        <v>1</v>
      </c>
      <c r="AO18" s="16">
        <v>14</v>
      </c>
      <c r="AP18" s="11"/>
      <c r="AQ18" s="13">
        <f t="shared" si="24"/>
        <v>14</v>
      </c>
      <c r="AR18" s="14">
        <f>+IF(AO18=0,0,IF(AO18&lt;=34,1,ROUNDUP(AO18/34,0)))</f>
        <v>1</v>
      </c>
      <c r="AS18" s="11">
        <v>1</v>
      </c>
      <c r="AT18" s="11"/>
      <c r="AU18" s="11">
        <f>+AM18-AO18</f>
        <v>11</v>
      </c>
    </row>
    <row r="19" spans="1:66" s="2" customFormat="1" x14ac:dyDescent="0.25">
      <c r="A19" s="223"/>
      <c r="B19" s="10" t="s">
        <v>41</v>
      </c>
      <c r="C19" s="11">
        <v>1</v>
      </c>
      <c r="D19" s="11">
        <f>+'Real vs Q10'!G17</f>
        <v>15</v>
      </c>
      <c r="E19" s="11"/>
      <c r="F19" s="11">
        <f>+'Real vs Q10'!H17</f>
        <v>13</v>
      </c>
      <c r="G19" s="11">
        <f t="shared" si="32"/>
        <v>28</v>
      </c>
      <c r="H19" s="11">
        <f>+'Real vs Q10'!K17</f>
        <v>27</v>
      </c>
      <c r="I19" s="11">
        <f t="shared" si="26"/>
        <v>1</v>
      </c>
      <c r="J19" s="11">
        <v>1</v>
      </c>
      <c r="K19" s="12">
        <v>0</v>
      </c>
      <c r="L19" s="11">
        <f t="shared" si="2"/>
        <v>1</v>
      </c>
      <c r="M19" s="13"/>
      <c r="N19" s="13"/>
      <c r="O19" s="13">
        <f t="shared" si="3"/>
        <v>0</v>
      </c>
      <c r="P19" s="13">
        <f>Q19-G19</f>
        <v>-3</v>
      </c>
      <c r="Q19" s="13">
        <v>25</v>
      </c>
      <c r="R19" s="14">
        <f>+'Real vs Q10'!L17</f>
        <v>9</v>
      </c>
      <c r="S19" s="14">
        <v>24</v>
      </c>
      <c r="T19" s="13"/>
      <c r="U19" s="13">
        <f t="shared" si="23"/>
        <v>24</v>
      </c>
      <c r="V19" s="14">
        <f>+IF(S19=0,0,IF(S19&lt;=34,1,ROUNDUP(S19/34,0)))</f>
        <v>1</v>
      </c>
      <c r="W19" s="13">
        <f>C19</f>
        <v>1</v>
      </c>
      <c r="X19" s="13">
        <f>+Q19-S19</f>
        <v>1</v>
      </c>
      <c r="Y19" s="15">
        <v>1</v>
      </c>
      <c r="Z19" s="15">
        <f>+'Real vs Q10'!R17</f>
        <v>10</v>
      </c>
      <c r="AA19" s="15"/>
      <c r="AB19" s="15">
        <f>+'Real vs Q10'!S17</f>
        <v>19</v>
      </c>
      <c r="AC19" s="15">
        <f t="shared" si="33"/>
        <v>29</v>
      </c>
      <c r="AD19" s="15">
        <f>+'Real vs Q10'!V17</f>
        <v>28</v>
      </c>
      <c r="AE19" s="14">
        <f t="shared" si="6"/>
        <v>1</v>
      </c>
      <c r="AF19" s="11">
        <v>0</v>
      </c>
      <c r="AG19" s="11">
        <v>5</v>
      </c>
      <c r="AH19" s="11">
        <f t="shared" si="7"/>
        <v>5</v>
      </c>
      <c r="AI19" s="11">
        <v>1</v>
      </c>
      <c r="AJ19" s="11"/>
      <c r="AK19" s="11">
        <f>+AI19+AJ19</f>
        <v>1</v>
      </c>
      <c r="AL19" s="11">
        <f>AM19-AC19</f>
        <v>0</v>
      </c>
      <c r="AM19" s="11">
        <v>29</v>
      </c>
      <c r="AN19" s="16">
        <f>+'Real vs Q10'!W17</f>
        <v>1</v>
      </c>
      <c r="AO19" s="16">
        <v>26</v>
      </c>
      <c r="AP19" s="11"/>
      <c r="AQ19" s="13">
        <f t="shared" si="24"/>
        <v>26</v>
      </c>
      <c r="AR19" s="14">
        <f>+IF(AO19=0,0,IF(AO19&lt;=34,1,ROUNDUP(AO19/34,0)))</f>
        <v>1</v>
      </c>
      <c r="AS19" s="11">
        <v>1</v>
      </c>
      <c r="AT19" s="11"/>
      <c r="AU19" s="11">
        <f>+AM19-AO19</f>
        <v>3</v>
      </c>
    </row>
    <row r="20" spans="1:66" s="21" customFormat="1" x14ac:dyDescent="0.25">
      <c r="A20" s="6"/>
      <c r="B20" s="18"/>
      <c r="C20" s="19">
        <f>SUM(C17:C19)</f>
        <v>4</v>
      </c>
      <c r="D20" s="19">
        <f t="shared" ref="D20:V20" si="34">SUM(D17:D19)</f>
        <v>21</v>
      </c>
      <c r="E20" s="19"/>
      <c r="F20" s="19">
        <f t="shared" si="34"/>
        <v>55</v>
      </c>
      <c r="G20" s="19">
        <f t="shared" si="34"/>
        <v>76</v>
      </c>
      <c r="H20" s="19">
        <f t="shared" si="34"/>
        <v>67</v>
      </c>
      <c r="I20" s="19">
        <f>SUM(I17:I19)</f>
        <v>3</v>
      </c>
      <c r="J20" s="19">
        <f t="shared" si="34"/>
        <v>2</v>
      </c>
      <c r="K20" s="19">
        <f t="shared" si="34"/>
        <v>0</v>
      </c>
      <c r="L20" s="19">
        <f t="shared" si="34"/>
        <v>2</v>
      </c>
      <c r="M20" s="19">
        <f t="shared" si="34"/>
        <v>0</v>
      </c>
      <c r="N20" s="19">
        <f t="shared" si="34"/>
        <v>0</v>
      </c>
      <c r="O20" s="19">
        <f t="shared" si="34"/>
        <v>0</v>
      </c>
      <c r="P20" s="19">
        <f t="shared" si="34"/>
        <v>31</v>
      </c>
      <c r="Q20" s="19">
        <f t="shared" si="34"/>
        <v>107</v>
      </c>
      <c r="R20" s="19">
        <f t="shared" si="34"/>
        <v>14</v>
      </c>
      <c r="S20" s="19">
        <f>SUM(S17:S19)</f>
        <v>58</v>
      </c>
      <c r="T20" s="19">
        <f t="shared" ref="T20" si="35">SUM(T17:T19)</f>
        <v>0</v>
      </c>
      <c r="U20" s="13">
        <f t="shared" si="23"/>
        <v>58</v>
      </c>
      <c r="V20" s="19">
        <f t="shared" si="34"/>
        <v>3</v>
      </c>
      <c r="W20" s="19">
        <f t="shared" ref="W20" si="36">SUM(W17:W19)</f>
        <v>4</v>
      </c>
      <c r="X20" s="19">
        <f>SUM(X17:X19)</f>
        <v>49</v>
      </c>
      <c r="Y20" s="19">
        <f t="shared" ref="Y20" si="37">SUM(Y17:Y19)</f>
        <v>3</v>
      </c>
      <c r="Z20" s="19">
        <f t="shared" ref="Z20" si="38">SUM(Z17:Z19)</f>
        <v>14</v>
      </c>
      <c r="AA20" s="19"/>
      <c r="AB20" s="19">
        <f t="shared" ref="AB20" si="39">SUM(AB17:AB19)</f>
        <v>40</v>
      </c>
      <c r="AC20" s="19">
        <f t="shared" ref="AC20" si="40">SUM(AC17:AC19)</f>
        <v>54</v>
      </c>
      <c r="AD20" s="19">
        <f t="shared" ref="AD20" si="41">SUM(AD17:AD19)</f>
        <v>47</v>
      </c>
      <c r="AE20" s="19">
        <f>SUM(AE17:AE19)</f>
        <v>3</v>
      </c>
      <c r="AF20" s="19">
        <f t="shared" ref="AF20" si="42">SUM(AF17:AF19)</f>
        <v>0</v>
      </c>
      <c r="AG20" s="19">
        <f t="shared" ref="AG20" si="43">SUM(AG17:AG19)</f>
        <v>5</v>
      </c>
      <c r="AH20" s="19">
        <f t="shared" ref="AH20" si="44">SUM(AH17:AH19)</f>
        <v>5</v>
      </c>
      <c r="AI20" s="19">
        <f>SUM(AI17:AI19)</f>
        <v>1</v>
      </c>
      <c r="AJ20" s="19">
        <f>SUM(AJ17:AJ19)</f>
        <v>0</v>
      </c>
      <c r="AK20" s="19">
        <f>SUM(AK17:AK19)</f>
        <v>1</v>
      </c>
      <c r="AL20" s="19">
        <f t="shared" ref="AL20" si="45">SUM(AL17:AL19)</f>
        <v>25</v>
      </c>
      <c r="AM20" s="19">
        <f t="shared" ref="AM20" si="46">SUM(AM17:AM19)</f>
        <v>79</v>
      </c>
      <c r="AN20" s="19">
        <f t="shared" ref="AN20" si="47">SUM(AN17:AN19)</f>
        <v>2</v>
      </c>
      <c r="AO20" s="19">
        <f>SUM(AO17:AO19)</f>
        <v>40</v>
      </c>
      <c r="AP20" s="19">
        <f>SUM(AP17:AP19)</f>
        <v>0</v>
      </c>
      <c r="AQ20" s="13">
        <f t="shared" si="24"/>
        <v>40</v>
      </c>
      <c r="AR20" s="19">
        <f t="shared" ref="AR20" si="48">SUM(AR17:AR19)</f>
        <v>2</v>
      </c>
      <c r="AS20" s="19">
        <f t="shared" ref="AS20" si="49">SUM(AS17:AS19)</f>
        <v>3</v>
      </c>
      <c r="AT20" s="19"/>
      <c r="AU20" s="19">
        <f>SUM(AU17:AU19)</f>
        <v>39</v>
      </c>
      <c r="AV20" s="2"/>
      <c r="AW20" s="2"/>
      <c r="AX20" s="2"/>
      <c r="AY20" s="2"/>
      <c r="AZ20" s="2"/>
      <c r="BA20" s="2"/>
      <c r="BB20" s="2"/>
      <c r="BC20" s="2"/>
      <c r="BD20" s="2"/>
      <c r="BE20" s="2"/>
      <c r="BF20" s="2"/>
      <c r="BG20" s="2"/>
      <c r="BH20" s="2"/>
      <c r="BI20" s="2"/>
      <c r="BJ20" s="2"/>
      <c r="BK20" s="2"/>
      <c r="BL20" s="2"/>
      <c r="BM20" s="2"/>
      <c r="BN20" s="2"/>
    </row>
    <row r="21" spans="1:66" s="2" customFormat="1" x14ac:dyDescent="0.25">
      <c r="A21" s="223" t="s">
        <v>50</v>
      </c>
      <c r="B21" s="10" t="s">
        <v>46</v>
      </c>
      <c r="C21" s="11">
        <v>3</v>
      </c>
      <c r="D21" s="11">
        <f>+'Real vs Q10'!G26</f>
        <v>5</v>
      </c>
      <c r="E21" s="11"/>
      <c r="F21" s="11">
        <f>+'Real vs Q10'!H26</f>
        <v>92</v>
      </c>
      <c r="G21" s="11">
        <f>+D21+F21</f>
        <v>97</v>
      </c>
      <c r="H21" s="11">
        <f>+'Real vs Q10'!K26</f>
        <v>82</v>
      </c>
      <c r="I21" s="11">
        <f t="shared" si="26"/>
        <v>3</v>
      </c>
      <c r="J21" s="11">
        <v>0</v>
      </c>
      <c r="K21" s="12">
        <v>0</v>
      </c>
      <c r="L21" s="11">
        <f t="shared" si="2"/>
        <v>0</v>
      </c>
      <c r="M21" s="13"/>
      <c r="N21" s="13">
        <v>2</v>
      </c>
      <c r="O21" s="13">
        <f t="shared" si="3"/>
        <v>2</v>
      </c>
      <c r="P21" s="13">
        <f t="shared" ref="P21:P63" si="50">Q21-G21</f>
        <v>3</v>
      </c>
      <c r="Q21" s="160">
        <f>68+32</f>
        <v>100</v>
      </c>
      <c r="R21" s="14">
        <f>+'Real vs Q10'!L26</f>
        <v>19</v>
      </c>
      <c r="S21" s="14">
        <v>72</v>
      </c>
      <c r="T21" s="13"/>
      <c r="U21" s="13">
        <f t="shared" si="23"/>
        <v>72</v>
      </c>
      <c r="V21" s="14">
        <f t="shared" ref="V21:V29" si="51">+IF(S21=0,0,IF(S21&lt;=34,1,ROUNDUP(S21/34,0)))</f>
        <v>3</v>
      </c>
      <c r="W21" s="13">
        <f>C21</f>
        <v>3</v>
      </c>
      <c r="X21" s="13">
        <f t="shared" ref="X21:X29" si="52">+Q21-S21</f>
        <v>28</v>
      </c>
      <c r="Y21" s="42">
        <v>2</v>
      </c>
      <c r="Z21" s="42">
        <f>+'Real vs Q10'!R26</f>
        <v>0</v>
      </c>
      <c r="AA21" s="42"/>
      <c r="AB21" s="42">
        <f>+'Real vs Q10'!S26</f>
        <v>60</v>
      </c>
      <c r="AC21" s="15">
        <f>+Z21+AB21</f>
        <v>60</v>
      </c>
      <c r="AD21" s="15">
        <f>+'Real vs Q10'!V26</f>
        <v>50</v>
      </c>
      <c r="AE21" s="14">
        <f t="shared" si="6"/>
        <v>2</v>
      </c>
      <c r="AF21" s="11">
        <v>3</v>
      </c>
      <c r="AG21" s="11">
        <v>0</v>
      </c>
      <c r="AH21" s="11">
        <f t="shared" si="7"/>
        <v>3</v>
      </c>
      <c r="AI21" s="11"/>
      <c r="AJ21" s="11">
        <v>3</v>
      </c>
      <c r="AK21" s="11">
        <f t="shared" ref="AK21:AK29" si="53">+AI21+AJ21</f>
        <v>3</v>
      </c>
      <c r="AL21" s="11">
        <f t="shared" ref="AL21:AL63" si="54">AM21-AC21</f>
        <v>4</v>
      </c>
      <c r="AM21" s="11">
        <v>64</v>
      </c>
      <c r="AN21" s="16">
        <f>+'Real vs Q10'!W26</f>
        <v>13</v>
      </c>
      <c r="AO21" s="16">
        <v>47</v>
      </c>
      <c r="AP21" s="11"/>
      <c r="AQ21" s="13">
        <f t="shared" si="24"/>
        <v>47</v>
      </c>
      <c r="AR21" s="14">
        <f t="shared" ref="AR21:AR29" si="55">+IF(AO21=0,0,IF(AO21&lt;=34,1,ROUNDUP(AO21/34,0)))</f>
        <v>2</v>
      </c>
      <c r="AS21" s="41">
        <v>2</v>
      </c>
      <c r="AT21" s="41"/>
      <c r="AU21" s="41">
        <f t="shared" ref="AU21:AU29" si="56">+AM21-AO21</f>
        <v>17</v>
      </c>
    </row>
    <row r="22" spans="1:66" s="2" customFormat="1" x14ac:dyDescent="0.25">
      <c r="A22" s="223"/>
      <c r="B22" s="10" t="s">
        <v>47</v>
      </c>
      <c r="C22" s="11">
        <v>2</v>
      </c>
      <c r="D22" s="11">
        <f>+'Real vs Q10'!G28</f>
        <v>52</v>
      </c>
      <c r="E22" s="11"/>
      <c r="F22" s="11">
        <f>+'Real vs Q10'!H28</f>
        <v>7</v>
      </c>
      <c r="G22" s="11">
        <f t="shared" ref="G22:G29" si="57">+D22+F22</f>
        <v>59</v>
      </c>
      <c r="H22" s="11">
        <f>+'Real vs Q10'!K28</f>
        <v>61</v>
      </c>
      <c r="I22" s="11">
        <f t="shared" si="26"/>
        <v>2</v>
      </c>
      <c r="J22" s="11">
        <v>0</v>
      </c>
      <c r="K22" s="12">
        <v>8</v>
      </c>
      <c r="L22" s="11">
        <f t="shared" si="2"/>
        <v>8</v>
      </c>
      <c r="M22" s="13">
        <v>10</v>
      </c>
      <c r="N22" s="13"/>
      <c r="O22" s="13">
        <f t="shared" si="3"/>
        <v>10</v>
      </c>
      <c r="P22" s="13">
        <f t="shared" si="50"/>
        <v>2</v>
      </c>
      <c r="Q22" s="13">
        <v>61</v>
      </c>
      <c r="R22" s="14">
        <f>+'Real vs Q10'!L28</f>
        <v>38</v>
      </c>
      <c r="S22" s="14">
        <v>57</v>
      </c>
      <c r="T22" s="13"/>
      <c r="U22" s="13">
        <f t="shared" si="23"/>
        <v>57</v>
      </c>
      <c r="V22" s="14">
        <f t="shared" si="51"/>
        <v>2</v>
      </c>
      <c r="W22" s="13">
        <f>C22</f>
        <v>2</v>
      </c>
      <c r="X22" s="13">
        <f t="shared" si="52"/>
        <v>4</v>
      </c>
      <c r="Y22" s="42">
        <v>2</v>
      </c>
      <c r="Z22" s="42">
        <f>+'Real vs Q10'!R28</f>
        <v>25</v>
      </c>
      <c r="AA22" s="42"/>
      <c r="AB22" s="42">
        <f>+'Real vs Q10'!S28</f>
        <v>28</v>
      </c>
      <c r="AC22" s="15">
        <f t="shared" ref="AC22:AC29" si="58">+Z22+AB22</f>
        <v>53</v>
      </c>
      <c r="AD22" s="15">
        <f>+'Real vs Q10'!V28</f>
        <v>44</v>
      </c>
      <c r="AE22" s="14">
        <f t="shared" si="6"/>
        <v>2</v>
      </c>
      <c r="AF22" s="11">
        <v>0</v>
      </c>
      <c r="AG22" s="11">
        <v>4</v>
      </c>
      <c r="AH22" s="11">
        <f t="shared" si="7"/>
        <v>4</v>
      </c>
      <c r="AI22" s="11">
        <v>2</v>
      </c>
      <c r="AJ22" s="11"/>
      <c r="AK22" s="11">
        <f t="shared" si="53"/>
        <v>2</v>
      </c>
      <c r="AL22" s="11">
        <f t="shared" si="54"/>
        <v>11</v>
      </c>
      <c r="AM22" s="11">
        <v>64</v>
      </c>
      <c r="AN22" s="16">
        <f>+'Real vs Q10'!W28</f>
        <v>8</v>
      </c>
      <c r="AO22" s="16">
        <v>48</v>
      </c>
      <c r="AP22" s="11"/>
      <c r="AQ22" s="13">
        <f t="shared" si="24"/>
        <v>48</v>
      </c>
      <c r="AR22" s="14">
        <f t="shared" si="55"/>
        <v>2</v>
      </c>
      <c r="AS22" s="11">
        <v>2</v>
      </c>
      <c r="AT22" s="11"/>
      <c r="AU22" s="11">
        <f t="shared" si="56"/>
        <v>16</v>
      </c>
    </row>
    <row r="23" spans="1:66" s="2" customFormat="1" x14ac:dyDescent="0.25">
      <c r="A23" s="223"/>
      <c r="B23" s="10" t="s">
        <v>51</v>
      </c>
      <c r="C23" s="11">
        <v>1</v>
      </c>
      <c r="D23" s="11">
        <f>+'Real vs Q10'!G31</f>
        <v>32</v>
      </c>
      <c r="E23" s="11"/>
      <c r="F23" s="11">
        <f>+'Real vs Q10'!H31</f>
        <v>1</v>
      </c>
      <c r="G23" s="11">
        <f t="shared" si="57"/>
        <v>33</v>
      </c>
      <c r="H23" s="11">
        <f>+'Real vs Q10'!K31</f>
        <v>33</v>
      </c>
      <c r="I23" s="11">
        <f t="shared" si="26"/>
        <v>1</v>
      </c>
      <c r="J23" s="11">
        <v>0</v>
      </c>
      <c r="K23" s="12">
        <v>9</v>
      </c>
      <c r="L23" s="11">
        <f t="shared" si="2"/>
        <v>9</v>
      </c>
      <c r="M23" s="13">
        <v>8</v>
      </c>
      <c r="N23" s="13"/>
      <c r="O23" s="13">
        <f t="shared" si="3"/>
        <v>8</v>
      </c>
      <c r="P23" s="13">
        <f t="shared" si="50"/>
        <v>0</v>
      </c>
      <c r="Q23" s="13">
        <v>33</v>
      </c>
      <c r="R23" s="14">
        <f>+'Real vs Q10'!L31</f>
        <v>29</v>
      </c>
      <c r="S23" s="14">
        <v>31</v>
      </c>
      <c r="T23" s="13"/>
      <c r="U23" s="13">
        <f t="shared" si="23"/>
        <v>31</v>
      </c>
      <c r="V23" s="14">
        <f t="shared" si="51"/>
        <v>1</v>
      </c>
      <c r="W23" s="13">
        <f>C23</f>
        <v>1</v>
      </c>
      <c r="X23" s="13">
        <f t="shared" si="52"/>
        <v>2</v>
      </c>
      <c r="Y23" s="15">
        <v>2</v>
      </c>
      <c r="Z23" s="42">
        <f>+'Real vs Q10'!R31</f>
        <v>25</v>
      </c>
      <c r="AA23" s="42"/>
      <c r="AB23" s="42">
        <f>+'Real vs Q10'!S31</f>
        <v>39</v>
      </c>
      <c r="AC23" s="15">
        <f t="shared" si="58"/>
        <v>64</v>
      </c>
      <c r="AD23" s="15">
        <f>+'Real vs Q10'!V31</f>
        <v>56</v>
      </c>
      <c r="AE23" s="14">
        <f t="shared" si="6"/>
        <v>2</v>
      </c>
      <c r="AF23" s="11">
        <v>0</v>
      </c>
      <c r="AG23" s="11">
        <v>6</v>
      </c>
      <c r="AH23" s="11">
        <f t="shared" si="7"/>
        <v>6</v>
      </c>
      <c r="AI23" s="11">
        <v>4</v>
      </c>
      <c r="AJ23" s="11"/>
      <c r="AK23" s="11">
        <f t="shared" si="53"/>
        <v>4</v>
      </c>
      <c r="AL23" s="11">
        <f t="shared" si="54"/>
        <v>0</v>
      </c>
      <c r="AM23" s="11">
        <v>64</v>
      </c>
      <c r="AN23" s="16">
        <f>+'Real vs Q10'!W31</f>
        <v>0</v>
      </c>
      <c r="AO23" s="16">
        <v>56</v>
      </c>
      <c r="AP23" s="11"/>
      <c r="AQ23" s="13">
        <f t="shared" si="24"/>
        <v>56</v>
      </c>
      <c r="AR23" s="14">
        <f t="shared" si="55"/>
        <v>2</v>
      </c>
      <c r="AS23" s="11">
        <v>2</v>
      </c>
      <c r="AT23" s="11"/>
      <c r="AU23" s="11">
        <f t="shared" si="56"/>
        <v>8</v>
      </c>
    </row>
    <row r="24" spans="1:66" s="2" customFormat="1" x14ac:dyDescent="0.25">
      <c r="A24" s="223"/>
      <c r="B24" s="10" t="s">
        <v>52</v>
      </c>
      <c r="C24" s="11">
        <v>1</v>
      </c>
      <c r="D24" s="11">
        <f>+'Real vs Q10'!G23</f>
        <v>27</v>
      </c>
      <c r="E24" s="11"/>
      <c r="F24" s="11">
        <f>+'Real vs Q10'!H23</f>
        <v>1</v>
      </c>
      <c r="G24" s="11">
        <f t="shared" si="57"/>
        <v>28</v>
      </c>
      <c r="H24" s="11">
        <f>+'Real vs Q10'!K23</f>
        <v>28</v>
      </c>
      <c r="I24" s="11">
        <f t="shared" si="26"/>
        <v>1</v>
      </c>
      <c r="J24" s="11">
        <v>0</v>
      </c>
      <c r="K24" s="12">
        <v>2</v>
      </c>
      <c r="L24" s="11">
        <f t="shared" si="2"/>
        <v>2</v>
      </c>
      <c r="M24" s="13">
        <v>2</v>
      </c>
      <c r="N24" s="13"/>
      <c r="O24" s="13">
        <f>+M24+N24+2</f>
        <v>4</v>
      </c>
      <c r="P24" s="13">
        <f t="shared" si="50"/>
        <v>3</v>
      </c>
      <c r="Q24" s="13">
        <v>31</v>
      </c>
      <c r="R24" s="14">
        <f>+'Real vs Q10'!L23</f>
        <v>55</v>
      </c>
      <c r="S24" s="14">
        <v>26</v>
      </c>
      <c r="T24" s="13"/>
      <c r="U24" s="13">
        <f t="shared" si="23"/>
        <v>26</v>
      </c>
      <c r="V24" s="14">
        <f t="shared" si="51"/>
        <v>1</v>
      </c>
      <c r="W24" s="13">
        <f>C24</f>
        <v>1</v>
      </c>
      <c r="X24" s="13">
        <f t="shared" si="52"/>
        <v>5</v>
      </c>
      <c r="Y24" s="15">
        <v>1</v>
      </c>
      <c r="Z24" s="42">
        <f>+'Real vs Q10'!R23</f>
        <v>23</v>
      </c>
      <c r="AA24" s="42"/>
      <c r="AB24" s="42">
        <f>+'Real vs Q10'!S23</f>
        <v>8</v>
      </c>
      <c r="AC24" s="15">
        <f t="shared" si="58"/>
        <v>31</v>
      </c>
      <c r="AD24" s="15">
        <f>+'Real vs Q10'!V23</f>
        <v>30</v>
      </c>
      <c r="AE24" s="14">
        <f t="shared" si="6"/>
        <v>1</v>
      </c>
      <c r="AF24" s="11">
        <v>0</v>
      </c>
      <c r="AG24" s="11">
        <v>4</v>
      </c>
      <c r="AH24" s="11">
        <f t="shared" si="7"/>
        <v>4</v>
      </c>
      <c r="AI24" s="11">
        <v>1</v>
      </c>
      <c r="AJ24" s="11"/>
      <c r="AK24" s="11">
        <f>+AI24+AJ24+2</f>
        <v>3</v>
      </c>
      <c r="AL24" s="11">
        <f t="shared" si="54"/>
        <v>1</v>
      </c>
      <c r="AM24" s="11">
        <v>32</v>
      </c>
      <c r="AN24" s="16">
        <f>+'Real vs Q10'!W23</f>
        <v>18</v>
      </c>
      <c r="AO24" s="16">
        <v>30</v>
      </c>
      <c r="AP24" s="11"/>
      <c r="AQ24" s="13">
        <f t="shared" si="24"/>
        <v>30</v>
      </c>
      <c r="AR24" s="14">
        <f t="shared" si="55"/>
        <v>1</v>
      </c>
      <c r="AS24" s="11">
        <v>1</v>
      </c>
      <c r="AT24" s="11"/>
      <c r="AU24" s="11">
        <f t="shared" si="56"/>
        <v>2</v>
      </c>
    </row>
    <row r="25" spans="1:66" s="2" customFormat="1" x14ac:dyDescent="0.25">
      <c r="A25" s="223"/>
      <c r="B25" s="10" t="s">
        <v>53</v>
      </c>
      <c r="C25" s="11">
        <v>1</v>
      </c>
      <c r="D25" s="11">
        <f>+'Real vs Q10'!G27</f>
        <v>27</v>
      </c>
      <c r="E25" s="11"/>
      <c r="F25" s="11">
        <f>+'Real vs Q10'!H27</f>
        <v>2</v>
      </c>
      <c r="G25" s="11">
        <f t="shared" si="57"/>
        <v>29</v>
      </c>
      <c r="H25" s="11">
        <f>+'Real vs Q10'!K27</f>
        <v>29</v>
      </c>
      <c r="I25" s="11">
        <f t="shared" si="26"/>
        <v>1</v>
      </c>
      <c r="J25" s="11">
        <v>0</v>
      </c>
      <c r="K25" s="12">
        <v>0</v>
      </c>
      <c r="L25" s="11">
        <f t="shared" si="2"/>
        <v>0</v>
      </c>
      <c r="M25" s="13">
        <v>1</v>
      </c>
      <c r="N25" s="13"/>
      <c r="O25" s="13">
        <f>+M25+N25+3</f>
        <v>4</v>
      </c>
      <c r="P25" s="13">
        <f t="shared" si="50"/>
        <v>5</v>
      </c>
      <c r="Q25" s="13">
        <v>34</v>
      </c>
      <c r="R25" s="14">
        <f>+'Real vs Q10'!L27</f>
        <v>29</v>
      </c>
      <c r="S25" s="14">
        <v>27</v>
      </c>
      <c r="T25" s="13"/>
      <c r="U25" s="13">
        <f t="shared" si="23"/>
        <v>27</v>
      </c>
      <c r="V25" s="14">
        <f t="shared" si="51"/>
        <v>1</v>
      </c>
      <c r="W25" s="13">
        <v>0.5</v>
      </c>
      <c r="X25" s="13">
        <f t="shared" si="52"/>
        <v>7</v>
      </c>
      <c r="Y25" s="42">
        <v>1</v>
      </c>
      <c r="Z25" s="42">
        <f>+'Real vs Q10'!R27</f>
        <v>1</v>
      </c>
      <c r="AA25" s="42"/>
      <c r="AB25" s="42">
        <f>+'Real vs Q10'!S27</f>
        <v>29</v>
      </c>
      <c r="AC25" s="15">
        <f t="shared" si="58"/>
        <v>30</v>
      </c>
      <c r="AD25" s="15">
        <f>+'Real vs Q10'!V27</f>
        <v>26</v>
      </c>
      <c r="AE25" s="14">
        <f t="shared" si="6"/>
        <v>1</v>
      </c>
      <c r="AF25" s="11">
        <v>1</v>
      </c>
      <c r="AG25" s="11">
        <v>1</v>
      </c>
      <c r="AH25" s="11">
        <f t="shared" si="7"/>
        <v>2</v>
      </c>
      <c r="AI25" s="11"/>
      <c r="AJ25" s="11">
        <v>1</v>
      </c>
      <c r="AK25" s="11">
        <f>+AI25+AJ25+4</f>
        <v>5</v>
      </c>
      <c r="AL25" s="11">
        <f t="shared" si="54"/>
        <v>2</v>
      </c>
      <c r="AM25" s="11">
        <v>32</v>
      </c>
      <c r="AN25" s="16">
        <f>+'Real vs Q10'!W27</f>
        <v>3</v>
      </c>
      <c r="AO25" s="16">
        <v>26</v>
      </c>
      <c r="AP25" s="11"/>
      <c r="AQ25" s="13">
        <f t="shared" si="24"/>
        <v>26</v>
      </c>
      <c r="AR25" s="14">
        <f t="shared" si="55"/>
        <v>1</v>
      </c>
      <c r="AS25" s="41">
        <v>0.5</v>
      </c>
      <c r="AT25" s="41"/>
      <c r="AU25" s="41">
        <f t="shared" si="56"/>
        <v>6</v>
      </c>
      <c r="AY25" s="2">
        <f>79-12</f>
        <v>67</v>
      </c>
    </row>
    <row r="26" spans="1:66" s="2" customFormat="1" x14ac:dyDescent="0.25">
      <c r="A26" s="223"/>
      <c r="B26" s="10" t="s">
        <v>54</v>
      </c>
      <c r="C26" s="11">
        <v>1</v>
      </c>
      <c r="D26" s="11">
        <f>+'Real vs Q10'!G30</f>
        <v>20</v>
      </c>
      <c r="E26" s="11"/>
      <c r="F26" s="11">
        <f>+'Real vs Q10'!H30</f>
        <v>9</v>
      </c>
      <c r="G26" s="11">
        <f t="shared" si="57"/>
        <v>29</v>
      </c>
      <c r="H26" s="11">
        <f>+'Real vs Q10'!K30</f>
        <v>26</v>
      </c>
      <c r="I26" s="11">
        <f t="shared" si="26"/>
        <v>1</v>
      </c>
      <c r="J26" s="11">
        <v>0</v>
      </c>
      <c r="K26" s="12">
        <v>4</v>
      </c>
      <c r="L26" s="11">
        <f t="shared" si="2"/>
        <v>4</v>
      </c>
      <c r="M26" s="13">
        <v>5</v>
      </c>
      <c r="N26" s="13"/>
      <c r="O26" s="13">
        <f t="shared" si="3"/>
        <v>5</v>
      </c>
      <c r="P26" s="13">
        <f t="shared" si="50"/>
        <v>-3</v>
      </c>
      <c r="Q26" s="13">
        <v>26</v>
      </c>
      <c r="R26" s="14">
        <f>+'Real vs Q10'!L30</f>
        <v>28</v>
      </c>
      <c r="S26" s="14">
        <v>23</v>
      </c>
      <c r="T26" s="13"/>
      <c r="U26" s="13">
        <f t="shared" si="23"/>
        <v>23</v>
      </c>
      <c r="V26" s="14">
        <f t="shared" si="51"/>
        <v>1</v>
      </c>
      <c r="W26" s="13">
        <v>1</v>
      </c>
      <c r="X26" s="13">
        <f t="shared" si="52"/>
        <v>3</v>
      </c>
      <c r="Y26" s="15">
        <v>0</v>
      </c>
      <c r="Z26" s="42">
        <f>+'Real vs Q10'!R30</f>
        <v>0</v>
      </c>
      <c r="AA26" s="42"/>
      <c r="AB26" s="42">
        <f>+'Real vs Q10'!S30</f>
        <v>0</v>
      </c>
      <c r="AC26" s="15">
        <f t="shared" si="58"/>
        <v>0</v>
      </c>
      <c r="AD26" s="15">
        <f>+'Real vs Q10'!V30</f>
        <v>0</v>
      </c>
      <c r="AE26" s="14">
        <f t="shared" si="6"/>
        <v>0</v>
      </c>
      <c r="AF26" s="11">
        <v>0</v>
      </c>
      <c r="AG26" s="11">
        <v>0</v>
      </c>
      <c r="AH26" s="11">
        <f t="shared" si="7"/>
        <v>0</v>
      </c>
      <c r="AI26" s="11">
        <v>1</v>
      </c>
      <c r="AJ26" s="11"/>
      <c r="AK26" s="11">
        <f t="shared" si="53"/>
        <v>1</v>
      </c>
      <c r="AL26" s="11">
        <f t="shared" si="54"/>
        <v>0</v>
      </c>
      <c r="AM26" s="11">
        <v>0</v>
      </c>
      <c r="AN26" s="16">
        <f>+'Real vs Q10'!W30</f>
        <v>14</v>
      </c>
      <c r="AO26" s="218">
        <v>1</v>
      </c>
      <c r="AP26" s="11"/>
      <c r="AQ26" s="13">
        <f t="shared" si="24"/>
        <v>1</v>
      </c>
      <c r="AR26" s="210">
        <f>+IF(AO26=0,0,IF(AO26&lt;=34,1,ROUNDUP(AO26/34,0)))-1</f>
        <v>0</v>
      </c>
      <c r="AS26" s="11">
        <v>0</v>
      </c>
      <c r="AT26" s="11"/>
      <c r="AU26" s="11">
        <f t="shared" si="56"/>
        <v>-1</v>
      </c>
    </row>
    <row r="27" spans="1:66" s="2" customFormat="1" x14ac:dyDescent="0.25">
      <c r="A27" s="223"/>
      <c r="B27" s="10" t="s">
        <v>55</v>
      </c>
      <c r="C27" s="11">
        <v>1</v>
      </c>
      <c r="D27" s="11">
        <f>+'Real vs Q10'!G29</f>
        <v>0</v>
      </c>
      <c r="E27" s="11"/>
      <c r="F27" s="11">
        <f>+'Real vs Q10'!H29</f>
        <v>34</v>
      </c>
      <c r="G27" s="11">
        <f t="shared" si="57"/>
        <v>34</v>
      </c>
      <c r="H27" s="11">
        <f>+'Real vs Q10'!K29</f>
        <v>26</v>
      </c>
      <c r="I27" s="11">
        <f t="shared" si="26"/>
        <v>1</v>
      </c>
      <c r="J27" s="11">
        <v>0</v>
      </c>
      <c r="K27" s="12">
        <v>0</v>
      </c>
      <c r="L27" s="11">
        <f t="shared" si="2"/>
        <v>0</v>
      </c>
      <c r="M27" s="13"/>
      <c r="N27" s="13"/>
      <c r="O27" s="13">
        <f t="shared" si="3"/>
        <v>0</v>
      </c>
      <c r="P27" s="13">
        <f t="shared" si="50"/>
        <v>0</v>
      </c>
      <c r="Q27" s="13">
        <v>34</v>
      </c>
      <c r="R27" s="14">
        <f>+'Real vs Q10'!L29</f>
        <v>9</v>
      </c>
      <c r="S27" s="14">
        <v>25</v>
      </c>
      <c r="T27" s="13"/>
      <c r="U27" s="13">
        <f t="shared" si="23"/>
        <v>25</v>
      </c>
      <c r="V27" s="14">
        <f t="shared" si="51"/>
        <v>1</v>
      </c>
      <c r="W27" s="13" t="s">
        <v>56</v>
      </c>
      <c r="X27" s="13">
        <f t="shared" si="52"/>
        <v>9</v>
      </c>
      <c r="Y27" s="15">
        <v>0</v>
      </c>
      <c r="Z27" s="42">
        <f>+'Real vs Q10'!R29</f>
        <v>0</v>
      </c>
      <c r="AA27" s="42"/>
      <c r="AB27" s="42">
        <f>+'Real vs Q10'!S29</f>
        <v>0</v>
      </c>
      <c r="AC27" s="15">
        <f t="shared" si="58"/>
        <v>0</v>
      </c>
      <c r="AD27" s="15">
        <f>+'Real vs Q10'!V29</f>
        <v>0</v>
      </c>
      <c r="AE27" s="14">
        <f t="shared" si="6"/>
        <v>0</v>
      </c>
      <c r="AF27" s="11">
        <v>0</v>
      </c>
      <c r="AG27" s="11">
        <v>0</v>
      </c>
      <c r="AH27" s="11">
        <f t="shared" si="7"/>
        <v>0</v>
      </c>
      <c r="AI27" s="11"/>
      <c r="AJ27" s="11"/>
      <c r="AK27" s="11">
        <f t="shared" si="53"/>
        <v>0</v>
      </c>
      <c r="AL27" s="11">
        <f t="shared" si="54"/>
        <v>0</v>
      </c>
      <c r="AM27" s="11">
        <v>0</v>
      </c>
      <c r="AN27" s="16">
        <f>+'Real vs Q10'!W29</f>
        <v>0</v>
      </c>
      <c r="AO27" s="16">
        <v>0</v>
      </c>
      <c r="AP27" s="11"/>
      <c r="AQ27" s="13">
        <f t="shared" si="24"/>
        <v>0</v>
      </c>
      <c r="AR27" s="14">
        <f t="shared" si="55"/>
        <v>0</v>
      </c>
      <c r="AS27" s="11">
        <v>0</v>
      </c>
      <c r="AT27" s="11"/>
      <c r="AU27" s="11">
        <f t="shared" si="56"/>
        <v>0</v>
      </c>
    </row>
    <row r="28" spans="1:66" s="2" customFormat="1" x14ac:dyDescent="0.25">
      <c r="A28" s="223"/>
      <c r="B28" s="10" t="s">
        <v>57</v>
      </c>
      <c r="C28" s="11">
        <v>1</v>
      </c>
      <c r="D28" s="11">
        <f>+'Real vs Q10'!G25</f>
        <v>0</v>
      </c>
      <c r="E28" s="11"/>
      <c r="F28" s="11">
        <f>+'Real vs Q10'!H25</f>
        <v>20</v>
      </c>
      <c r="G28" s="11">
        <f t="shared" si="57"/>
        <v>20</v>
      </c>
      <c r="H28" s="11">
        <f>+'Real vs Q10'!K25</f>
        <v>18</v>
      </c>
      <c r="I28" s="11">
        <f t="shared" si="26"/>
        <v>1</v>
      </c>
      <c r="J28" s="11">
        <v>2</v>
      </c>
      <c r="K28" s="12">
        <v>0</v>
      </c>
      <c r="L28" s="11">
        <f t="shared" si="2"/>
        <v>2</v>
      </c>
      <c r="M28" s="13"/>
      <c r="N28" s="13">
        <v>1</v>
      </c>
      <c r="O28" s="13">
        <f t="shared" si="3"/>
        <v>1</v>
      </c>
      <c r="P28" s="13">
        <f t="shared" si="50"/>
        <v>5</v>
      </c>
      <c r="Q28" s="13">
        <v>25</v>
      </c>
      <c r="R28" s="14">
        <f>+'Real vs Q10'!L25</f>
        <v>5</v>
      </c>
      <c r="S28" s="14">
        <v>16</v>
      </c>
      <c r="T28" s="13"/>
      <c r="U28" s="13">
        <f t="shared" si="23"/>
        <v>16</v>
      </c>
      <c r="V28" s="14">
        <f t="shared" si="51"/>
        <v>1</v>
      </c>
      <c r="W28" s="13">
        <v>0.5</v>
      </c>
      <c r="X28" s="13">
        <f t="shared" si="52"/>
        <v>9</v>
      </c>
      <c r="Y28" s="15">
        <v>0</v>
      </c>
      <c r="Z28" s="42">
        <f>+'Real vs Q10'!R25</f>
        <v>0</v>
      </c>
      <c r="AA28" s="42"/>
      <c r="AB28" s="42">
        <f>+'Real vs Q10'!S25</f>
        <v>0</v>
      </c>
      <c r="AC28" s="15">
        <f t="shared" si="58"/>
        <v>0</v>
      </c>
      <c r="AD28" s="15">
        <f>+'Real vs Q10'!V25</f>
        <v>0</v>
      </c>
      <c r="AE28" s="14">
        <f t="shared" si="6"/>
        <v>0</v>
      </c>
      <c r="AF28" s="11">
        <v>0</v>
      </c>
      <c r="AG28" s="11">
        <v>0</v>
      </c>
      <c r="AH28" s="11">
        <f t="shared" si="7"/>
        <v>0</v>
      </c>
      <c r="AI28" s="11"/>
      <c r="AJ28" s="11"/>
      <c r="AK28" s="11">
        <f t="shared" si="53"/>
        <v>0</v>
      </c>
      <c r="AL28" s="11">
        <f t="shared" si="54"/>
        <v>0</v>
      </c>
      <c r="AM28" s="11">
        <v>0</v>
      </c>
      <c r="AN28" s="16">
        <f>+'Real vs Q10'!W25</f>
        <v>0</v>
      </c>
      <c r="AO28" s="16">
        <v>0</v>
      </c>
      <c r="AP28" s="11"/>
      <c r="AQ28" s="13">
        <f t="shared" si="24"/>
        <v>0</v>
      </c>
      <c r="AR28" s="14">
        <f t="shared" si="55"/>
        <v>0</v>
      </c>
      <c r="AS28" s="11">
        <v>0</v>
      </c>
      <c r="AT28" s="11"/>
      <c r="AU28" s="11">
        <f t="shared" si="56"/>
        <v>0</v>
      </c>
    </row>
    <row r="29" spans="1:66" s="40" customFormat="1" x14ac:dyDescent="0.25">
      <c r="A29" s="223"/>
      <c r="B29" s="10" t="s">
        <v>58</v>
      </c>
      <c r="C29" s="41">
        <v>0</v>
      </c>
      <c r="D29" s="11">
        <f>+'Real vs Q10'!G24</f>
        <v>0</v>
      </c>
      <c r="E29" s="11"/>
      <c r="F29" s="11">
        <f>+'Real vs Q10'!H24</f>
        <v>0</v>
      </c>
      <c r="G29" s="11">
        <f t="shared" si="57"/>
        <v>0</v>
      </c>
      <c r="H29" s="11">
        <f>+'Real vs Q10'!K24</f>
        <v>0</v>
      </c>
      <c r="I29" s="11">
        <f>+IF(H29=0,0,IF(H29&lt;=34,1,ROUNDUP(H29/34,0)))</f>
        <v>0</v>
      </c>
      <c r="J29" s="11">
        <v>0</v>
      </c>
      <c r="K29" s="12">
        <v>0</v>
      </c>
      <c r="L29" s="11">
        <v>0</v>
      </c>
      <c r="M29" s="13"/>
      <c r="N29" s="13"/>
      <c r="O29" s="13">
        <f t="shared" si="3"/>
        <v>0</v>
      </c>
      <c r="P29" s="13">
        <f t="shared" si="50"/>
        <v>0</v>
      </c>
      <c r="Q29" s="13">
        <v>0</v>
      </c>
      <c r="R29" s="14">
        <f>+'Real vs Q10'!L24</f>
        <v>0</v>
      </c>
      <c r="S29" s="14">
        <v>0</v>
      </c>
      <c r="T29" s="13"/>
      <c r="U29" s="13">
        <f t="shared" si="23"/>
        <v>0</v>
      </c>
      <c r="V29" s="14">
        <f t="shared" si="51"/>
        <v>0</v>
      </c>
      <c r="W29" s="13">
        <v>0</v>
      </c>
      <c r="X29" s="13">
        <f t="shared" si="52"/>
        <v>0</v>
      </c>
      <c r="Y29" s="15">
        <v>1</v>
      </c>
      <c r="Z29" s="42">
        <f>+'Real vs Q10'!R24</f>
        <v>1</v>
      </c>
      <c r="AA29" s="42"/>
      <c r="AB29" s="42">
        <f>+'Real vs Q10'!S24</f>
        <v>16</v>
      </c>
      <c r="AC29" s="15">
        <f t="shared" si="58"/>
        <v>17</v>
      </c>
      <c r="AD29" s="15">
        <f>+'Real vs Q10'!V24</f>
        <v>16</v>
      </c>
      <c r="AE29" s="14">
        <f t="shared" si="6"/>
        <v>1</v>
      </c>
      <c r="AF29" s="11">
        <v>0</v>
      </c>
      <c r="AG29" s="11">
        <v>0</v>
      </c>
      <c r="AH29" s="11">
        <f t="shared" si="7"/>
        <v>0</v>
      </c>
      <c r="AI29" s="11">
        <v>1</v>
      </c>
      <c r="AJ29" s="11"/>
      <c r="AK29" s="11">
        <f t="shared" si="53"/>
        <v>1</v>
      </c>
      <c r="AL29" s="11">
        <f t="shared" si="54"/>
        <v>17</v>
      </c>
      <c r="AM29" s="11">
        <v>34</v>
      </c>
      <c r="AN29" s="16">
        <f>+'Real vs Q10'!W24</f>
        <v>0</v>
      </c>
      <c r="AO29" s="16">
        <v>12</v>
      </c>
      <c r="AP29" s="11"/>
      <c r="AQ29" s="13">
        <f t="shared" si="24"/>
        <v>12</v>
      </c>
      <c r="AR29" s="14">
        <f t="shared" si="55"/>
        <v>1</v>
      </c>
      <c r="AS29" s="11">
        <v>0</v>
      </c>
      <c r="AT29" s="11"/>
      <c r="AU29" s="11">
        <f t="shared" si="56"/>
        <v>22</v>
      </c>
      <c r="AV29" s="2"/>
      <c r="AW29" s="2"/>
      <c r="AX29" s="2"/>
      <c r="AY29" s="2"/>
      <c r="AZ29" s="2"/>
      <c r="BA29" s="2"/>
      <c r="BB29" s="2"/>
      <c r="BC29" s="2"/>
      <c r="BD29" s="2"/>
      <c r="BE29" s="2"/>
      <c r="BF29" s="2"/>
      <c r="BG29" s="2"/>
      <c r="BH29" s="2"/>
    </row>
    <row r="30" spans="1:66" s="21" customFormat="1" x14ac:dyDescent="0.25">
      <c r="A30" s="6"/>
      <c r="B30" s="18"/>
      <c r="C30" s="19">
        <f>SUM(C21:C29)</f>
        <v>11</v>
      </c>
      <c r="D30" s="19">
        <f>SUM(D21:D29)</f>
        <v>163</v>
      </c>
      <c r="E30" s="19"/>
      <c r="F30" s="19">
        <f>SUM(F21:F29)</f>
        <v>166</v>
      </c>
      <c r="G30" s="19">
        <f t="shared" ref="G30:H30" si="59">SUM(G21:G29)</f>
        <v>329</v>
      </c>
      <c r="H30" s="19">
        <f t="shared" si="59"/>
        <v>303</v>
      </c>
      <c r="I30" s="19">
        <f>SUM(I21:I29)</f>
        <v>11</v>
      </c>
      <c r="J30" s="19">
        <f t="shared" ref="J30:AS30" si="60">SUM(J21:J29)</f>
        <v>2</v>
      </c>
      <c r="K30" s="19">
        <f t="shared" si="60"/>
        <v>23</v>
      </c>
      <c r="L30" s="19">
        <f t="shared" si="60"/>
        <v>25</v>
      </c>
      <c r="M30" s="19">
        <f t="shared" si="60"/>
        <v>26</v>
      </c>
      <c r="N30" s="19">
        <f t="shared" si="60"/>
        <v>3</v>
      </c>
      <c r="O30" s="19">
        <f t="shared" si="60"/>
        <v>34</v>
      </c>
      <c r="P30" s="20">
        <f t="shared" si="50"/>
        <v>15</v>
      </c>
      <c r="Q30" s="19">
        <f t="shared" si="60"/>
        <v>344</v>
      </c>
      <c r="R30" s="19">
        <f t="shared" ref="R30:V30" si="61">SUM(R21:R29)</f>
        <v>212</v>
      </c>
      <c r="S30" s="19">
        <f>SUM(S21:S29)</f>
        <v>277</v>
      </c>
      <c r="T30" s="19">
        <f t="shared" ref="T30" si="62">SUM(T21:T29)</f>
        <v>0</v>
      </c>
      <c r="U30" s="19">
        <f t="shared" si="23"/>
        <v>277</v>
      </c>
      <c r="V30" s="19">
        <f t="shared" si="61"/>
        <v>11</v>
      </c>
      <c r="W30" s="19">
        <f t="shared" si="60"/>
        <v>9</v>
      </c>
      <c r="X30" s="19">
        <f>SUM(X21:X29)</f>
        <v>67</v>
      </c>
      <c r="Y30" s="19">
        <f t="shared" ref="Y30:AB30" si="63">SUM(Y21:Y29)</f>
        <v>9</v>
      </c>
      <c r="Z30" s="19">
        <f t="shared" si="63"/>
        <v>75</v>
      </c>
      <c r="AA30" s="19"/>
      <c r="AB30" s="19">
        <f t="shared" si="63"/>
        <v>180</v>
      </c>
      <c r="AC30" s="19">
        <f>SUM(AC21:AC29)</f>
        <v>255</v>
      </c>
      <c r="AD30" s="19">
        <f t="shared" ref="AD30" si="64">SUM(AD21:AD29)</f>
        <v>222</v>
      </c>
      <c r="AE30" s="19">
        <f>SUM(AE21:AE29)</f>
        <v>9</v>
      </c>
      <c r="AF30" s="19">
        <f t="shared" si="60"/>
        <v>4</v>
      </c>
      <c r="AG30" s="19">
        <f t="shared" si="60"/>
        <v>15</v>
      </c>
      <c r="AH30" s="19">
        <f t="shared" si="60"/>
        <v>19</v>
      </c>
      <c r="AI30" s="19">
        <f>SUM(AI21:AI29)</f>
        <v>9</v>
      </c>
      <c r="AJ30" s="19">
        <f>SUM(AJ21:AJ29)</f>
        <v>4</v>
      </c>
      <c r="AK30" s="19">
        <f>SUM(AK21:AK29)</f>
        <v>19</v>
      </c>
      <c r="AL30" s="19">
        <f t="shared" si="54"/>
        <v>35</v>
      </c>
      <c r="AM30" s="19">
        <f>SUM(AM21:AM29)</f>
        <v>290</v>
      </c>
      <c r="AN30" s="19">
        <f t="shared" ref="AN30" si="65">SUM(AN21:AN29)</f>
        <v>56</v>
      </c>
      <c r="AO30" s="19">
        <f>SUM(AO21:AO29)</f>
        <v>220</v>
      </c>
      <c r="AP30" s="19">
        <f>SUM(AP21:AP29)</f>
        <v>0</v>
      </c>
      <c r="AQ30" s="19">
        <f t="shared" si="24"/>
        <v>220</v>
      </c>
      <c r="AR30" s="19">
        <f t="shared" ref="AR30" si="66">SUM(AR21:AR29)</f>
        <v>9</v>
      </c>
      <c r="AS30" s="19">
        <f t="shared" si="60"/>
        <v>7.5</v>
      </c>
      <c r="AT30" s="19"/>
      <c r="AU30" s="19">
        <f>SUM(AU21:AU29)</f>
        <v>70</v>
      </c>
      <c r="AV30" s="2"/>
      <c r="AW30" s="2"/>
      <c r="AX30" s="2"/>
      <c r="AY30" s="2"/>
      <c r="AZ30" s="2"/>
      <c r="BA30" s="2"/>
      <c r="BB30" s="2"/>
      <c r="BC30" s="2"/>
      <c r="BD30" s="2"/>
      <c r="BE30" s="2"/>
      <c r="BF30" s="2"/>
      <c r="BG30" s="2"/>
      <c r="BH30" s="2"/>
      <c r="BI30" s="2"/>
      <c r="BJ30" s="2"/>
      <c r="BK30" s="2"/>
      <c r="BL30" s="2"/>
      <c r="BM30" s="2"/>
      <c r="BN30" s="2"/>
    </row>
    <row r="31" spans="1:66" s="2" customFormat="1" x14ac:dyDescent="0.25">
      <c r="A31" s="223" t="s">
        <v>59</v>
      </c>
      <c r="B31" s="10" t="s">
        <v>45</v>
      </c>
      <c r="C31" s="11">
        <v>2</v>
      </c>
      <c r="D31" s="11">
        <f>+'Real vs Q10'!G40</f>
        <v>0</v>
      </c>
      <c r="E31" s="11"/>
      <c r="F31" s="11">
        <f>+'Real vs Q10'!H40</f>
        <v>64</v>
      </c>
      <c r="G31" s="11">
        <f>+D31+F31</f>
        <v>64</v>
      </c>
      <c r="H31" s="11">
        <f>+'Real vs Q10'!K40</f>
        <v>57</v>
      </c>
      <c r="I31" s="11">
        <f>+IF(H31=0,0,IF(H31&lt;=34,1,ROUNDUP(H31/34,0)))</f>
        <v>2</v>
      </c>
      <c r="J31" s="11">
        <v>0</v>
      </c>
      <c r="K31" s="12">
        <v>0</v>
      </c>
      <c r="L31" s="11">
        <f t="shared" si="2"/>
        <v>0</v>
      </c>
      <c r="M31" s="13"/>
      <c r="N31" s="13">
        <v>1</v>
      </c>
      <c r="O31" s="13">
        <f t="shared" si="3"/>
        <v>1</v>
      </c>
      <c r="P31" s="13">
        <f t="shared" si="50"/>
        <v>4</v>
      </c>
      <c r="Q31" s="13">
        <v>68</v>
      </c>
      <c r="R31" s="14">
        <f>+'Real vs Q10'!L40</f>
        <v>53</v>
      </c>
      <c r="S31" s="14">
        <v>46</v>
      </c>
      <c r="T31" s="13"/>
      <c r="U31" s="13">
        <f t="shared" si="23"/>
        <v>46</v>
      </c>
      <c r="V31" s="14">
        <f t="shared" ref="V31:V39" si="67">+IF(S31=0,0,IF(S31&lt;=34,1,ROUNDUP(S31/34,0)))</f>
        <v>2</v>
      </c>
      <c r="W31" s="13">
        <f>C31</f>
        <v>2</v>
      </c>
      <c r="X31" s="13">
        <f t="shared" ref="X31:X39" si="68">+Q31-S31</f>
        <v>22</v>
      </c>
      <c r="Y31" s="15">
        <v>2</v>
      </c>
      <c r="Z31" s="15">
        <f>+'Real vs Q10'!R40</f>
        <v>1</v>
      </c>
      <c r="AA31" s="15"/>
      <c r="AB31" s="15">
        <f>+'Real vs Q10'!S40</f>
        <v>49</v>
      </c>
      <c r="AC31" s="15">
        <f>+Z31+AB31</f>
        <v>50</v>
      </c>
      <c r="AD31" s="15">
        <f>+'Real vs Q10'!V40</f>
        <v>38</v>
      </c>
      <c r="AE31" s="14">
        <f t="shared" si="6"/>
        <v>2</v>
      </c>
      <c r="AF31" s="11">
        <v>1</v>
      </c>
      <c r="AG31" s="11">
        <v>0</v>
      </c>
      <c r="AH31" s="11">
        <f t="shared" si="7"/>
        <v>1</v>
      </c>
      <c r="AI31" s="11"/>
      <c r="AJ31" s="11">
        <v>1</v>
      </c>
      <c r="AK31" s="11">
        <f t="shared" ref="AK31:AK39" si="69">+AI31+AJ31</f>
        <v>1</v>
      </c>
      <c r="AL31" s="11">
        <f t="shared" si="54"/>
        <v>14</v>
      </c>
      <c r="AM31" s="11">
        <v>64</v>
      </c>
      <c r="AN31" s="16">
        <f>+'Real vs Q10'!W40</f>
        <v>2</v>
      </c>
      <c r="AO31" s="16">
        <v>32</v>
      </c>
      <c r="AP31" s="11"/>
      <c r="AQ31" s="13">
        <f t="shared" si="24"/>
        <v>32</v>
      </c>
      <c r="AR31" s="14">
        <f t="shared" ref="AR31:AR39" si="70">+IF(AO31=0,0,IF(AO31&lt;=34,1,ROUNDUP(AO31/34,0)))</f>
        <v>1</v>
      </c>
      <c r="AS31" s="11">
        <v>2</v>
      </c>
      <c r="AT31" s="11"/>
      <c r="AU31" s="11">
        <f t="shared" ref="AU31:AU39" si="71">+AM31-AO31</f>
        <v>32</v>
      </c>
    </row>
    <row r="32" spans="1:66" s="2" customFormat="1" x14ac:dyDescent="0.25">
      <c r="A32" s="223"/>
      <c r="B32" s="10" t="s">
        <v>46</v>
      </c>
      <c r="C32" s="11">
        <v>1</v>
      </c>
      <c r="D32" s="11">
        <f>+'Real vs Q10'!G34</f>
        <v>0</v>
      </c>
      <c r="E32" s="11"/>
      <c r="F32" s="11">
        <f>+'Real vs Q10'!H34</f>
        <v>33</v>
      </c>
      <c r="G32" s="11">
        <f t="shared" ref="G32:G39" si="72">+D32+F32</f>
        <v>33</v>
      </c>
      <c r="H32" s="11">
        <f>+'Real vs Q10'!K34</f>
        <v>32</v>
      </c>
      <c r="I32" s="11">
        <f>+IF(H32=0,0,IF(H32&lt;=34,1,ROUNDUP(H32/34,0)))</f>
        <v>1</v>
      </c>
      <c r="J32" s="11">
        <v>0</v>
      </c>
      <c r="K32" s="12">
        <v>0</v>
      </c>
      <c r="L32" s="11">
        <f t="shared" si="2"/>
        <v>0</v>
      </c>
      <c r="M32" s="13"/>
      <c r="N32" s="13">
        <v>1</v>
      </c>
      <c r="O32" s="13">
        <f t="shared" si="3"/>
        <v>1</v>
      </c>
      <c r="P32" s="13">
        <f t="shared" si="50"/>
        <v>1</v>
      </c>
      <c r="Q32" s="13">
        <v>34</v>
      </c>
      <c r="R32" s="14">
        <f>+'Real vs Q10'!L34</f>
        <v>90</v>
      </c>
      <c r="S32" s="14">
        <v>32</v>
      </c>
      <c r="T32" s="13"/>
      <c r="U32" s="13">
        <f t="shared" si="23"/>
        <v>32</v>
      </c>
      <c r="V32" s="14">
        <f t="shared" si="67"/>
        <v>1</v>
      </c>
      <c r="W32" s="13">
        <f>C32</f>
        <v>1</v>
      </c>
      <c r="X32" s="13">
        <f t="shared" si="68"/>
        <v>2</v>
      </c>
      <c r="Y32" s="15">
        <v>2</v>
      </c>
      <c r="Z32" s="15">
        <f>+'Real vs Q10'!R34</f>
        <v>1</v>
      </c>
      <c r="AA32" s="15"/>
      <c r="AB32" s="15">
        <f>+'Real vs Q10'!S34</f>
        <v>66</v>
      </c>
      <c r="AC32" s="15">
        <f t="shared" ref="AC32:AC39" si="73">+Z32+AB32</f>
        <v>67</v>
      </c>
      <c r="AD32" s="15">
        <f>+'Real vs Q10'!V34</f>
        <v>55</v>
      </c>
      <c r="AE32" s="14">
        <f t="shared" si="6"/>
        <v>2</v>
      </c>
      <c r="AF32" s="11">
        <v>0</v>
      </c>
      <c r="AG32" s="11">
        <v>0</v>
      </c>
      <c r="AH32" s="11">
        <f t="shared" si="7"/>
        <v>0</v>
      </c>
      <c r="AI32" s="11"/>
      <c r="AJ32" s="11"/>
      <c r="AK32" s="11">
        <f t="shared" si="69"/>
        <v>0</v>
      </c>
      <c r="AL32" s="11">
        <f t="shared" si="54"/>
        <v>1</v>
      </c>
      <c r="AM32" s="11">
        <v>68</v>
      </c>
      <c r="AN32" s="16">
        <f>+'Real vs Q10'!W34</f>
        <v>0</v>
      </c>
      <c r="AO32" s="16">
        <v>45</v>
      </c>
      <c r="AP32" s="11"/>
      <c r="AQ32" s="13">
        <f t="shared" si="24"/>
        <v>45</v>
      </c>
      <c r="AR32" s="14">
        <f t="shared" si="70"/>
        <v>2</v>
      </c>
      <c r="AS32" s="11">
        <v>2</v>
      </c>
      <c r="AT32" s="11"/>
      <c r="AU32" s="11">
        <f t="shared" si="71"/>
        <v>23</v>
      </c>
    </row>
    <row r="33" spans="1:66" s="2" customFormat="1" x14ac:dyDescent="0.25">
      <c r="A33" s="223"/>
      <c r="B33" s="10" t="s">
        <v>47</v>
      </c>
      <c r="C33" s="11">
        <v>2</v>
      </c>
      <c r="D33" s="11">
        <f>+'Real vs Q10'!G36</f>
        <v>55</v>
      </c>
      <c r="E33" s="11"/>
      <c r="F33" s="11">
        <f>+'Real vs Q10'!H36</f>
        <v>7</v>
      </c>
      <c r="G33" s="11">
        <f t="shared" si="72"/>
        <v>62</v>
      </c>
      <c r="H33" s="11">
        <f>+'Real vs Q10'!K36</f>
        <v>62</v>
      </c>
      <c r="I33" s="11">
        <f t="shared" ref="I33:I48" si="74">+IF(H33=0,0,IF(H33&lt;=34,1,ROUNDUP(H33/34,0)))</f>
        <v>2</v>
      </c>
      <c r="J33" s="11">
        <v>0</v>
      </c>
      <c r="K33" s="12">
        <v>5</v>
      </c>
      <c r="L33" s="11">
        <f t="shared" si="2"/>
        <v>5</v>
      </c>
      <c r="M33" s="13">
        <v>5</v>
      </c>
      <c r="N33" s="13"/>
      <c r="O33" s="13">
        <f t="shared" si="3"/>
        <v>5</v>
      </c>
      <c r="P33" s="13">
        <f t="shared" si="50"/>
        <v>2</v>
      </c>
      <c r="Q33" s="13">
        <v>64</v>
      </c>
      <c r="R33" s="14">
        <f>+'Real vs Q10'!L36</f>
        <v>41</v>
      </c>
      <c r="S33" s="14">
        <v>56</v>
      </c>
      <c r="T33" s="13"/>
      <c r="U33" s="13">
        <f t="shared" si="23"/>
        <v>56</v>
      </c>
      <c r="V33" s="14">
        <f t="shared" si="67"/>
        <v>2</v>
      </c>
      <c r="W33" s="13">
        <f>C33</f>
        <v>2</v>
      </c>
      <c r="X33" s="13">
        <f t="shared" si="68"/>
        <v>8</v>
      </c>
      <c r="Y33" s="15">
        <v>2</v>
      </c>
      <c r="Z33" s="15">
        <f>+'Real vs Q10'!R36</f>
        <v>21</v>
      </c>
      <c r="AA33" s="15"/>
      <c r="AB33" s="15">
        <f>+'Real vs Q10'!S36</f>
        <v>31</v>
      </c>
      <c r="AC33" s="15">
        <f t="shared" si="73"/>
        <v>52</v>
      </c>
      <c r="AD33" s="15">
        <f>+'Real vs Q10'!V36</f>
        <v>49</v>
      </c>
      <c r="AE33" s="14">
        <f t="shared" si="6"/>
        <v>2</v>
      </c>
      <c r="AF33" s="11">
        <v>0</v>
      </c>
      <c r="AG33" s="11">
        <v>3</v>
      </c>
      <c r="AH33" s="11">
        <f t="shared" si="7"/>
        <v>3</v>
      </c>
      <c r="AI33" s="11">
        <v>1</v>
      </c>
      <c r="AJ33" s="11"/>
      <c r="AK33" s="11">
        <f t="shared" si="69"/>
        <v>1</v>
      </c>
      <c r="AL33" s="11">
        <f t="shared" si="54"/>
        <v>12</v>
      </c>
      <c r="AM33" s="11">
        <v>64</v>
      </c>
      <c r="AN33" s="16">
        <f>+'Real vs Q10'!W36</f>
        <v>5</v>
      </c>
      <c r="AO33" s="16">
        <v>43</v>
      </c>
      <c r="AP33" s="11"/>
      <c r="AQ33" s="13">
        <f t="shared" si="24"/>
        <v>43</v>
      </c>
      <c r="AR33" s="14">
        <f t="shared" si="70"/>
        <v>2</v>
      </c>
      <c r="AS33" s="11">
        <v>2</v>
      </c>
      <c r="AT33" s="11"/>
      <c r="AU33" s="11">
        <f t="shared" si="71"/>
        <v>21</v>
      </c>
    </row>
    <row r="34" spans="1:66" s="2" customFormat="1" x14ac:dyDescent="0.25">
      <c r="A34" s="223"/>
      <c r="B34" s="10" t="s">
        <v>51</v>
      </c>
      <c r="C34" s="11">
        <v>1</v>
      </c>
      <c r="D34" s="11">
        <f>+'Real vs Q10'!G39</f>
        <v>29</v>
      </c>
      <c r="E34" s="11"/>
      <c r="F34" s="11">
        <f>+'Real vs Q10'!H39</f>
        <v>6</v>
      </c>
      <c r="G34" s="11">
        <f t="shared" si="72"/>
        <v>35</v>
      </c>
      <c r="H34" s="11">
        <f>+'Real vs Q10'!K39</f>
        <v>35</v>
      </c>
      <c r="I34" s="11">
        <f t="shared" si="74"/>
        <v>2</v>
      </c>
      <c r="J34" s="11">
        <v>0</v>
      </c>
      <c r="K34" s="12">
        <v>2</v>
      </c>
      <c r="L34" s="11">
        <f t="shared" si="2"/>
        <v>2</v>
      </c>
      <c r="M34" s="13">
        <v>2</v>
      </c>
      <c r="N34" s="13"/>
      <c r="O34" s="13">
        <f t="shared" si="3"/>
        <v>2</v>
      </c>
      <c r="P34" s="13">
        <f t="shared" si="50"/>
        <v>-2</v>
      </c>
      <c r="Q34" s="13">
        <v>33</v>
      </c>
      <c r="R34" s="14">
        <f>+'Real vs Q10'!L39</f>
        <v>32</v>
      </c>
      <c r="S34" s="14">
        <v>28</v>
      </c>
      <c r="T34" s="13"/>
      <c r="U34" s="13">
        <f t="shared" si="23"/>
        <v>28</v>
      </c>
      <c r="V34" s="14">
        <f t="shared" si="67"/>
        <v>1</v>
      </c>
      <c r="W34" s="13">
        <f>C34</f>
        <v>1</v>
      </c>
      <c r="X34" s="13">
        <f t="shared" si="68"/>
        <v>5</v>
      </c>
      <c r="Y34" s="15">
        <v>1</v>
      </c>
      <c r="Z34" s="15">
        <f>+'Real vs Q10'!R39</f>
        <v>1</v>
      </c>
      <c r="AA34" s="15"/>
      <c r="AB34" s="15">
        <f>+'Real vs Q10'!S39</f>
        <v>24</v>
      </c>
      <c r="AC34" s="15">
        <f t="shared" si="73"/>
        <v>25</v>
      </c>
      <c r="AD34" s="15">
        <f>+'Real vs Q10'!V39</f>
        <v>21</v>
      </c>
      <c r="AE34" s="14">
        <f t="shared" si="6"/>
        <v>1</v>
      </c>
      <c r="AF34" s="11">
        <v>1</v>
      </c>
      <c r="AG34" s="11">
        <v>0</v>
      </c>
      <c r="AH34" s="11">
        <f t="shared" si="7"/>
        <v>1</v>
      </c>
      <c r="AI34" s="11">
        <v>4</v>
      </c>
      <c r="AJ34" s="11"/>
      <c r="AK34" s="11">
        <f t="shared" si="69"/>
        <v>4</v>
      </c>
      <c r="AL34" s="11">
        <f t="shared" si="54"/>
        <v>9</v>
      </c>
      <c r="AM34" s="11">
        <v>34</v>
      </c>
      <c r="AN34" s="16">
        <f>+'Real vs Q10'!W39</f>
        <v>2</v>
      </c>
      <c r="AO34" s="16">
        <v>16</v>
      </c>
      <c r="AP34" s="11"/>
      <c r="AQ34" s="13">
        <f t="shared" si="24"/>
        <v>16</v>
      </c>
      <c r="AR34" s="14">
        <f t="shared" si="70"/>
        <v>1</v>
      </c>
      <c r="AS34" s="11">
        <v>0.5</v>
      </c>
      <c r="AT34" s="11"/>
      <c r="AU34" s="11">
        <f t="shared" si="71"/>
        <v>18</v>
      </c>
    </row>
    <row r="35" spans="1:66" s="2" customFormat="1" x14ac:dyDescent="0.25">
      <c r="A35" s="223"/>
      <c r="B35" s="10" t="s">
        <v>52</v>
      </c>
      <c r="C35" s="11">
        <v>1</v>
      </c>
      <c r="D35" s="11">
        <f>+'Real vs Q10'!G32</f>
        <v>16</v>
      </c>
      <c r="E35" s="11"/>
      <c r="F35" s="11">
        <f>+'Real vs Q10'!H32</f>
        <v>15</v>
      </c>
      <c r="G35" s="11">
        <f t="shared" si="72"/>
        <v>31</v>
      </c>
      <c r="H35" s="11">
        <f>+'Real vs Q10'!K32</f>
        <v>28</v>
      </c>
      <c r="I35" s="11">
        <f t="shared" si="74"/>
        <v>1</v>
      </c>
      <c r="J35" s="11">
        <v>0</v>
      </c>
      <c r="K35" s="12">
        <v>0</v>
      </c>
      <c r="L35" s="11">
        <f t="shared" si="2"/>
        <v>0</v>
      </c>
      <c r="M35" s="13"/>
      <c r="N35" s="13"/>
      <c r="O35" s="13">
        <f t="shared" si="3"/>
        <v>0</v>
      </c>
      <c r="P35" s="13">
        <f t="shared" si="50"/>
        <v>3</v>
      </c>
      <c r="Q35" s="13">
        <v>34</v>
      </c>
      <c r="R35" s="14">
        <f>+'Real vs Q10'!L32</f>
        <v>34</v>
      </c>
      <c r="S35" s="14">
        <v>14</v>
      </c>
      <c r="T35" s="13"/>
      <c r="U35" s="13">
        <f t="shared" si="23"/>
        <v>14</v>
      </c>
      <c r="V35" s="14">
        <f t="shared" si="67"/>
        <v>1</v>
      </c>
      <c r="W35" s="13">
        <v>0.5</v>
      </c>
      <c r="X35" s="13">
        <f t="shared" si="68"/>
        <v>20</v>
      </c>
      <c r="Y35" s="42">
        <v>1</v>
      </c>
      <c r="Z35" s="15">
        <f>+'Real vs Q10'!R32</f>
        <v>13</v>
      </c>
      <c r="AA35" s="15"/>
      <c r="AB35" s="15">
        <f>+'Real vs Q10'!S32</f>
        <v>16</v>
      </c>
      <c r="AC35" s="15">
        <f t="shared" si="73"/>
        <v>29</v>
      </c>
      <c r="AD35" s="15">
        <f>+'Real vs Q10'!V32</f>
        <v>30</v>
      </c>
      <c r="AE35" s="14">
        <f t="shared" si="6"/>
        <v>1</v>
      </c>
      <c r="AF35" s="11">
        <v>0</v>
      </c>
      <c r="AG35" s="11">
        <v>6</v>
      </c>
      <c r="AH35" s="11">
        <f t="shared" si="7"/>
        <v>6</v>
      </c>
      <c r="AI35" s="11">
        <v>3</v>
      </c>
      <c r="AJ35" s="11"/>
      <c r="AK35" s="11">
        <f t="shared" si="69"/>
        <v>3</v>
      </c>
      <c r="AL35" s="11">
        <f t="shared" si="54"/>
        <v>-4</v>
      </c>
      <c r="AM35" s="11">
        <v>25</v>
      </c>
      <c r="AN35" s="16">
        <f>+'Real vs Q10'!W32</f>
        <v>2</v>
      </c>
      <c r="AO35" s="16">
        <v>32</v>
      </c>
      <c r="AP35" s="11"/>
      <c r="AQ35" s="13">
        <f t="shared" si="24"/>
        <v>32</v>
      </c>
      <c r="AR35" s="14">
        <f t="shared" si="70"/>
        <v>1</v>
      </c>
      <c r="AS35" s="11">
        <v>1</v>
      </c>
      <c r="AT35" s="11"/>
      <c r="AU35" s="11">
        <f t="shared" si="71"/>
        <v>-7</v>
      </c>
    </row>
    <row r="36" spans="1:66" s="2" customFormat="1" x14ac:dyDescent="0.25">
      <c r="A36" s="223"/>
      <c r="B36" s="10" t="s">
        <v>53</v>
      </c>
      <c r="C36" s="11">
        <v>1</v>
      </c>
      <c r="D36" s="11">
        <f>+'Real vs Q10'!G35</f>
        <v>0</v>
      </c>
      <c r="E36" s="11"/>
      <c r="F36" s="11">
        <f>+'Real vs Q10'!H35</f>
        <v>32</v>
      </c>
      <c r="G36" s="11">
        <f t="shared" si="72"/>
        <v>32</v>
      </c>
      <c r="H36" s="11">
        <f>+'Real vs Q10'!K35</f>
        <v>27</v>
      </c>
      <c r="I36" s="11">
        <f t="shared" si="74"/>
        <v>1</v>
      </c>
      <c r="J36" s="11">
        <v>1</v>
      </c>
      <c r="K36" s="12">
        <v>0</v>
      </c>
      <c r="L36" s="11">
        <f t="shared" si="2"/>
        <v>1</v>
      </c>
      <c r="M36" s="13"/>
      <c r="N36" s="13"/>
      <c r="O36" s="13">
        <f t="shared" si="3"/>
        <v>0</v>
      </c>
      <c r="P36" s="13">
        <f t="shared" si="50"/>
        <v>0</v>
      </c>
      <c r="Q36" s="13">
        <v>32</v>
      </c>
      <c r="R36" s="14">
        <f>+'Real vs Q10'!L35</f>
        <v>18</v>
      </c>
      <c r="S36" s="14">
        <v>24</v>
      </c>
      <c r="T36" s="13"/>
      <c r="U36" s="160">
        <f t="shared" si="23"/>
        <v>24</v>
      </c>
      <c r="V36" s="14">
        <f t="shared" si="67"/>
        <v>1</v>
      </c>
      <c r="W36" s="13">
        <v>0.5</v>
      </c>
      <c r="X36" s="13">
        <f t="shared" si="68"/>
        <v>8</v>
      </c>
      <c r="Y36" s="15">
        <v>1</v>
      </c>
      <c r="Z36" s="15">
        <f>+'Real vs Q10'!R35</f>
        <v>0</v>
      </c>
      <c r="AA36" s="15"/>
      <c r="AB36" s="15">
        <f>+'Real vs Q10'!S35</f>
        <v>16</v>
      </c>
      <c r="AC36" s="15">
        <f t="shared" si="73"/>
        <v>16</v>
      </c>
      <c r="AD36" s="15">
        <f>+'Real vs Q10'!V35</f>
        <v>12</v>
      </c>
      <c r="AE36" s="14">
        <f t="shared" si="6"/>
        <v>1</v>
      </c>
      <c r="AF36" s="11">
        <v>0</v>
      </c>
      <c r="AG36" s="11">
        <v>0</v>
      </c>
      <c r="AH36" s="11">
        <f t="shared" si="7"/>
        <v>0</v>
      </c>
      <c r="AI36" s="11"/>
      <c r="AJ36" s="11"/>
      <c r="AK36" s="11">
        <f t="shared" si="69"/>
        <v>0</v>
      </c>
      <c r="AL36" s="11">
        <f t="shared" si="54"/>
        <v>18</v>
      </c>
      <c r="AM36" s="11">
        <v>34</v>
      </c>
      <c r="AN36" s="16">
        <f>+'Real vs Q10'!W35</f>
        <v>1</v>
      </c>
      <c r="AO36" s="16">
        <v>7</v>
      </c>
      <c r="AP36" s="11"/>
      <c r="AQ36" s="13">
        <f t="shared" si="24"/>
        <v>7</v>
      </c>
      <c r="AR36" s="14">
        <f t="shared" si="70"/>
        <v>1</v>
      </c>
      <c r="AS36" s="11">
        <v>0.5</v>
      </c>
      <c r="AT36" s="11"/>
      <c r="AU36" s="11">
        <f t="shared" si="71"/>
        <v>27</v>
      </c>
    </row>
    <row r="37" spans="1:66" s="2" customFormat="1" x14ac:dyDescent="0.25">
      <c r="A37" s="223"/>
      <c r="B37" s="10" t="s">
        <v>54</v>
      </c>
      <c r="C37" s="11">
        <v>1</v>
      </c>
      <c r="D37" s="11">
        <f>+'Real vs Q10'!G38</f>
        <v>0</v>
      </c>
      <c r="E37" s="11"/>
      <c r="F37" s="11">
        <f>+'Real vs Q10'!H38</f>
        <v>41</v>
      </c>
      <c r="G37" s="11">
        <f t="shared" si="72"/>
        <v>41</v>
      </c>
      <c r="H37" s="11">
        <f>+'Real vs Q10'!K38</f>
        <v>31</v>
      </c>
      <c r="I37" s="11">
        <f t="shared" si="74"/>
        <v>1</v>
      </c>
      <c r="J37" s="11">
        <v>0</v>
      </c>
      <c r="K37" s="12">
        <v>0</v>
      </c>
      <c r="L37" s="11">
        <f t="shared" si="2"/>
        <v>0</v>
      </c>
      <c r="M37" s="13"/>
      <c r="N37" s="13"/>
      <c r="O37" s="13">
        <f t="shared" si="3"/>
        <v>0</v>
      </c>
      <c r="P37" s="13">
        <f t="shared" si="50"/>
        <v>-7</v>
      </c>
      <c r="Q37" s="13">
        <v>34</v>
      </c>
      <c r="R37" s="14">
        <f>+'Real vs Q10'!L38</f>
        <v>52</v>
      </c>
      <c r="S37" s="14">
        <v>27</v>
      </c>
      <c r="T37" s="13"/>
      <c r="U37" s="13">
        <f t="shared" si="23"/>
        <v>27</v>
      </c>
      <c r="V37" s="14">
        <f t="shared" si="67"/>
        <v>1</v>
      </c>
      <c r="W37" s="13">
        <v>0.5</v>
      </c>
      <c r="X37" s="13">
        <f t="shared" si="68"/>
        <v>7</v>
      </c>
      <c r="Y37" s="15">
        <v>0</v>
      </c>
      <c r="Z37" s="15">
        <f>+'Real vs Q10'!R38</f>
        <v>0</v>
      </c>
      <c r="AA37" s="15"/>
      <c r="AB37" s="15">
        <f>+'Real vs Q10'!S38</f>
        <v>0</v>
      </c>
      <c r="AC37" s="15">
        <f t="shared" si="73"/>
        <v>0</v>
      </c>
      <c r="AD37" s="15">
        <f>+'Real vs Q10'!V38</f>
        <v>0</v>
      </c>
      <c r="AE37" s="14">
        <f t="shared" si="6"/>
        <v>0</v>
      </c>
      <c r="AF37" s="11">
        <v>0</v>
      </c>
      <c r="AG37" s="11">
        <v>0</v>
      </c>
      <c r="AH37" s="11">
        <f t="shared" si="7"/>
        <v>0</v>
      </c>
      <c r="AI37" s="11"/>
      <c r="AJ37" s="11"/>
      <c r="AK37" s="11">
        <f t="shared" si="69"/>
        <v>0</v>
      </c>
      <c r="AL37" s="11">
        <f t="shared" si="54"/>
        <v>0</v>
      </c>
      <c r="AM37" s="11">
        <v>0</v>
      </c>
      <c r="AN37" s="16">
        <f>+'Real vs Q10'!W38</f>
        <v>2</v>
      </c>
      <c r="AO37" s="16">
        <v>0</v>
      </c>
      <c r="AP37" s="11"/>
      <c r="AQ37" s="13">
        <f t="shared" si="24"/>
        <v>0</v>
      </c>
      <c r="AR37" s="14">
        <f t="shared" si="70"/>
        <v>0</v>
      </c>
      <c r="AS37" s="11">
        <v>0</v>
      </c>
      <c r="AT37" s="11"/>
      <c r="AU37" s="11">
        <f t="shared" si="71"/>
        <v>0</v>
      </c>
    </row>
    <row r="38" spans="1:66" s="2" customFormat="1" x14ac:dyDescent="0.25">
      <c r="A38" s="223"/>
      <c r="B38" s="10" t="s">
        <v>55</v>
      </c>
      <c r="C38" s="11">
        <v>1</v>
      </c>
      <c r="D38" s="11">
        <f>+'Real vs Q10'!G37</f>
        <v>0</v>
      </c>
      <c r="E38" s="11"/>
      <c r="F38" s="11">
        <f>+'Real vs Q10'!H37</f>
        <v>38</v>
      </c>
      <c r="G38" s="11">
        <f t="shared" si="72"/>
        <v>38</v>
      </c>
      <c r="H38" s="11">
        <f>+'Real vs Q10'!K37</f>
        <v>31</v>
      </c>
      <c r="I38" s="11">
        <f>+IF(H38=0,0,IF(H38&lt;=34,1,ROUNDUP(H38/34,0)))</f>
        <v>1</v>
      </c>
      <c r="J38" s="11">
        <v>1</v>
      </c>
      <c r="K38" s="12">
        <v>0</v>
      </c>
      <c r="L38" s="11">
        <f t="shared" si="2"/>
        <v>1</v>
      </c>
      <c r="M38" s="13"/>
      <c r="N38" s="13"/>
      <c r="O38" s="13">
        <f t="shared" si="3"/>
        <v>0</v>
      </c>
      <c r="P38" s="13">
        <f t="shared" si="50"/>
        <v>-5</v>
      </c>
      <c r="Q38" s="13">
        <v>33</v>
      </c>
      <c r="R38" s="14">
        <f>+'Real vs Q10'!L37</f>
        <v>11</v>
      </c>
      <c r="S38" s="14">
        <v>28</v>
      </c>
      <c r="T38" s="13"/>
      <c r="U38" s="13">
        <f t="shared" si="23"/>
        <v>28</v>
      </c>
      <c r="V38" s="14">
        <f t="shared" si="67"/>
        <v>1</v>
      </c>
      <c r="W38" s="13">
        <v>0.5</v>
      </c>
      <c r="X38" s="13">
        <f t="shared" si="68"/>
        <v>5</v>
      </c>
      <c r="Y38" s="15">
        <v>0</v>
      </c>
      <c r="Z38" s="15">
        <f>+'Real vs Q10'!R37</f>
        <v>0</v>
      </c>
      <c r="AA38" s="15"/>
      <c r="AB38" s="15">
        <f>+'Real vs Q10'!S37</f>
        <v>0</v>
      </c>
      <c r="AC38" s="15">
        <f t="shared" si="73"/>
        <v>0</v>
      </c>
      <c r="AD38" s="15">
        <f>+'Real vs Q10'!V37</f>
        <v>0</v>
      </c>
      <c r="AE38" s="14">
        <f t="shared" si="6"/>
        <v>0</v>
      </c>
      <c r="AF38" s="11">
        <v>0</v>
      </c>
      <c r="AG38" s="11">
        <v>0</v>
      </c>
      <c r="AH38" s="11">
        <f t="shared" si="7"/>
        <v>0</v>
      </c>
      <c r="AI38" s="11"/>
      <c r="AJ38" s="11"/>
      <c r="AK38" s="11">
        <f t="shared" si="69"/>
        <v>0</v>
      </c>
      <c r="AL38" s="11">
        <f t="shared" si="54"/>
        <v>0</v>
      </c>
      <c r="AM38" s="11">
        <v>0</v>
      </c>
      <c r="AN38" s="16">
        <f>+'Real vs Q10'!W37</f>
        <v>2</v>
      </c>
      <c r="AO38" s="16">
        <v>0</v>
      </c>
      <c r="AP38" s="11"/>
      <c r="AQ38" s="13">
        <f t="shared" si="24"/>
        <v>0</v>
      </c>
      <c r="AR38" s="14">
        <f t="shared" si="70"/>
        <v>0</v>
      </c>
      <c r="AS38" s="11">
        <v>0</v>
      </c>
      <c r="AT38" s="11"/>
      <c r="AU38" s="11">
        <f t="shared" si="71"/>
        <v>0</v>
      </c>
    </row>
    <row r="39" spans="1:66" s="2" customFormat="1" x14ac:dyDescent="0.25">
      <c r="A39" s="223"/>
      <c r="B39" s="10" t="s">
        <v>57</v>
      </c>
      <c r="C39" s="11">
        <v>1</v>
      </c>
      <c r="D39" s="11">
        <f>+'Real vs Q10'!G33</f>
        <v>0</v>
      </c>
      <c r="E39" s="11"/>
      <c r="F39" s="11">
        <f>+'Real vs Q10'!H33</f>
        <v>38</v>
      </c>
      <c r="G39" s="11">
        <f t="shared" si="72"/>
        <v>38</v>
      </c>
      <c r="H39" s="11">
        <f>+'Real vs Q10'!K33</f>
        <v>23</v>
      </c>
      <c r="I39" s="11">
        <f t="shared" si="74"/>
        <v>1</v>
      </c>
      <c r="J39" s="11">
        <v>1</v>
      </c>
      <c r="K39" s="12">
        <v>0</v>
      </c>
      <c r="L39" s="11">
        <f t="shared" si="2"/>
        <v>1</v>
      </c>
      <c r="M39" s="13"/>
      <c r="N39" s="13"/>
      <c r="O39" s="13">
        <f t="shared" si="3"/>
        <v>0</v>
      </c>
      <c r="P39" s="13">
        <f t="shared" si="50"/>
        <v>-5</v>
      </c>
      <c r="Q39" s="13">
        <v>33</v>
      </c>
      <c r="R39" s="14">
        <f>+'Real vs Q10'!L33</f>
        <v>12</v>
      </c>
      <c r="S39" s="14">
        <v>22</v>
      </c>
      <c r="T39" s="13"/>
      <c r="U39" s="160">
        <f t="shared" si="23"/>
        <v>22</v>
      </c>
      <c r="V39" s="14">
        <f t="shared" si="67"/>
        <v>1</v>
      </c>
      <c r="W39" s="13">
        <v>0.5</v>
      </c>
      <c r="X39" s="13">
        <f t="shared" si="68"/>
        <v>11</v>
      </c>
      <c r="Y39" s="15">
        <v>0</v>
      </c>
      <c r="Z39" s="15">
        <f>+'Real vs Q10'!R33</f>
        <v>0</v>
      </c>
      <c r="AA39" s="15"/>
      <c r="AB39" s="15">
        <f>+'Real vs Q10'!S33</f>
        <v>0</v>
      </c>
      <c r="AC39" s="15">
        <f t="shared" si="73"/>
        <v>0</v>
      </c>
      <c r="AD39" s="15">
        <f>+'Real vs Q10'!V33</f>
        <v>0</v>
      </c>
      <c r="AE39" s="14">
        <f>+IF(AD39=0,0,IF(AD39&lt;=34,1,ROUNDUP(AD39/34,0)))</f>
        <v>0</v>
      </c>
      <c r="AF39" s="11">
        <v>0</v>
      </c>
      <c r="AG39" s="11">
        <v>0</v>
      </c>
      <c r="AH39" s="11">
        <f t="shared" si="7"/>
        <v>0</v>
      </c>
      <c r="AI39" s="11"/>
      <c r="AJ39" s="11"/>
      <c r="AK39" s="11">
        <f t="shared" si="69"/>
        <v>0</v>
      </c>
      <c r="AL39" s="11">
        <f t="shared" si="54"/>
        <v>0</v>
      </c>
      <c r="AM39" s="11">
        <v>0</v>
      </c>
      <c r="AN39" s="16">
        <f>+'Real vs Q10'!W33</f>
        <v>1</v>
      </c>
      <c r="AO39" s="16">
        <v>0</v>
      </c>
      <c r="AP39" s="11"/>
      <c r="AQ39" s="13">
        <f t="shared" si="24"/>
        <v>0</v>
      </c>
      <c r="AR39" s="14">
        <f t="shared" si="70"/>
        <v>0</v>
      </c>
      <c r="AS39" s="11">
        <v>0</v>
      </c>
      <c r="AT39" s="11"/>
      <c r="AU39" s="11">
        <f t="shared" si="71"/>
        <v>0</v>
      </c>
    </row>
    <row r="40" spans="1:66" s="21" customFormat="1" x14ac:dyDescent="0.25">
      <c r="A40" s="6"/>
      <c r="B40" s="18"/>
      <c r="C40" s="19">
        <f>SUM(C31:C39)</f>
        <v>11</v>
      </c>
      <c r="D40" s="19">
        <f t="shared" ref="D40:F40" si="75">SUM(D31:D39)</f>
        <v>100</v>
      </c>
      <c r="E40" s="19"/>
      <c r="F40" s="19">
        <f t="shared" si="75"/>
        <v>274</v>
      </c>
      <c r="G40" s="19">
        <f t="shared" ref="G40:H40" si="76">SUM(G31:G39)</f>
        <v>374</v>
      </c>
      <c r="H40" s="19">
        <f t="shared" si="76"/>
        <v>326</v>
      </c>
      <c r="I40" s="19">
        <f>SUM(I31:I39)</f>
        <v>12</v>
      </c>
      <c r="J40" s="19">
        <f t="shared" ref="J40:AS40" si="77">SUM(J31:J39)</f>
        <v>3</v>
      </c>
      <c r="K40" s="19">
        <f t="shared" si="77"/>
        <v>7</v>
      </c>
      <c r="L40" s="19">
        <f t="shared" si="77"/>
        <v>10</v>
      </c>
      <c r="M40" s="19">
        <f t="shared" si="77"/>
        <v>7</v>
      </c>
      <c r="N40" s="19">
        <f t="shared" si="77"/>
        <v>2</v>
      </c>
      <c r="O40" s="19">
        <f t="shared" si="77"/>
        <v>9</v>
      </c>
      <c r="P40" s="20">
        <f t="shared" si="50"/>
        <v>-9</v>
      </c>
      <c r="Q40" s="19">
        <f t="shared" si="77"/>
        <v>365</v>
      </c>
      <c r="R40" s="19">
        <f t="shared" ref="R40:V40" si="78">SUM(R31:R39)</f>
        <v>343</v>
      </c>
      <c r="S40" s="19">
        <f>SUM(S31:S39)</f>
        <v>277</v>
      </c>
      <c r="T40" s="19">
        <f t="shared" ref="T40" si="79">SUM(T31:T39)</f>
        <v>0</v>
      </c>
      <c r="U40" s="13">
        <f t="shared" si="23"/>
        <v>277</v>
      </c>
      <c r="V40" s="19">
        <f t="shared" si="78"/>
        <v>11</v>
      </c>
      <c r="W40" s="19">
        <f t="shared" si="77"/>
        <v>8.5</v>
      </c>
      <c r="X40" s="19">
        <f>SUM(X31:X39)</f>
        <v>88</v>
      </c>
      <c r="Y40" s="19">
        <f t="shared" ref="Y40:AB40" si="80">SUM(Y31:Y39)</f>
        <v>9</v>
      </c>
      <c r="Z40" s="19">
        <f t="shared" si="80"/>
        <v>37</v>
      </c>
      <c r="AA40" s="19"/>
      <c r="AB40" s="19">
        <f t="shared" si="80"/>
        <v>202</v>
      </c>
      <c r="AC40" s="19">
        <f t="shared" ref="AC40:AD40" si="81">SUM(AC31:AC39)</f>
        <v>239</v>
      </c>
      <c r="AD40" s="19">
        <f t="shared" si="81"/>
        <v>205</v>
      </c>
      <c r="AE40" s="19">
        <f>SUM(AE31:AE39)</f>
        <v>9</v>
      </c>
      <c r="AF40" s="19">
        <f t="shared" si="77"/>
        <v>2</v>
      </c>
      <c r="AG40" s="19">
        <f t="shared" si="77"/>
        <v>9</v>
      </c>
      <c r="AH40" s="19">
        <f t="shared" si="77"/>
        <v>11</v>
      </c>
      <c r="AI40" s="19">
        <f>SUM(AI31:AI39)</f>
        <v>8</v>
      </c>
      <c r="AJ40" s="19">
        <f>SUM(AJ31:AJ39)</f>
        <v>1</v>
      </c>
      <c r="AK40" s="19">
        <f>SUM(AK31:AK39)</f>
        <v>9</v>
      </c>
      <c r="AL40" s="19">
        <f t="shared" si="54"/>
        <v>50</v>
      </c>
      <c r="AM40" s="19">
        <f>SUM(AM31:AM39)</f>
        <v>289</v>
      </c>
      <c r="AN40" s="19">
        <f t="shared" ref="AN40:AR40" si="82">SUM(AN31:AN39)</f>
        <v>17</v>
      </c>
      <c r="AO40" s="19">
        <f>SUM(AO31:AO39)</f>
        <v>175</v>
      </c>
      <c r="AP40" s="19">
        <f>SUM(AP31:AP39)</f>
        <v>0</v>
      </c>
      <c r="AQ40" s="13">
        <f t="shared" si="24"/>
        <v>175</v>
      </c>
      <c r="AR40" s="19">
        <f t="shared" si="82"/>
        <v>8</v>
      </c>
      <c r="AS40" s="19">
        <f t="shared" si="77"/>
        <v>8</v>
      </c>
      <c r="AT40" s="19"/>
      <c r="AU40" s="19">
        <f>SUM(AU31:AU39)</f>
        <v>114</v>
      </c>
      <c r="AV40" s="2"/>
      <c r="AW40" s="2"/>
      <c r="AX40" s="2"/>
      <c r="AY40" s="2"/>
      <c r="AZ40" s="2"/>
      <c r="BA40" s="2"/>
      <c r="BB40" s="2"/>
      <c r="BC40" s="2"/>
      <c r="BD40" s="2"/>
      <c r="BE40" s="2"/>
      <c r="BF40" s="2"/>
      <c r="BG40" s="2"/>
      <c r="BH40" s="2"/>
      <c r="BI40" s="2"/>
      <c r="BJ40" s="2"/>
      <c r="BK40" s="2"/>
      <c r="BL40" s="2"/>
      <c r="BM40" s="2"/>
      <c r="BN40" s="2"/>
    </row>
    <row r="41" spans="1:66" s="2" customFormat="1" x14ac:dyDescent="0.25">
      <c r="A41" s="223" t="s">
        <v>60</v>
      </c>
      <c r="B41" s="10" t="s">
        <v>45</v>
      </c>
      <c r="C41" s="11">
        <v>2</v>
      </c>
      <c r="D41" s="11">
        <f>+'Real vs Q10'!G49</f>
        <v>46</v>
      </c>
      <c r="E41" s="11"/>
      <c r="F41" s="11">
        <f>+'Real vs Q10'!H49</f>
        <v>15</v>
      </c>
      <c r="G41" s="11">
        <f>+D41+F41</f>
        <v>61</v>
      </c>
      <c r="H41" s="11">
        <f>+'Real vs Q10'!K49</f>
        <v>60</v>
      </c>
      <c r="I41" s="11">
        <f t="shared" si="74"/>
        <v>2</v>
      </c>
      <c r="J41" s="11">
        <v>0</v>
      </c>
      <c r="K41" s="12">
        <v>7</v>
      </c>
      <c r="L41" s="11">
        <f t="shared" si="2"/>
        <v>7</v>
      </c>
      <c r="M41" s="13">
        <v>3</v>
      </c>
      <c r="N41" s="13"/>
      <c r="O41" s="13">
        <f t="shared" si="3"/>
        <v>3</v>
      </c>
      <c r="P41" s="13">
        <f t="shared" si="50"/>
        <v>7</v>
      </c>
      <c r="Q41" s="13">
        <v>68</v>
      </c>
      <c r="R41" s="14">
        <f>+'Real vs Q10'!L49</f>
        <v>29</v>
      </c>
      <c r="S41" s="14">
        <v>51</v>
      </c>
      <c r="T41" s="13"/>
      <c r="U41" s="13">
        <f t="shared" si="23"/>
        <v>51</v>
      </c>
      <c r="V41" s="14">
        <f t="shared" ref="V41:V49" si="83">+IF(S41=0,0,IF(S41&lt;=34,1,ROUNDUP(S41/34,0)))</f>
        <v>2</v>
      </c>
      <c r="W41" s="13">
        <f t="shared" ref="W41:W47" si="84">C41</f>
        <v>2</v>
      </c>
      <c r="X41" s="13">
        <f t="shared" ref="X41:X49" si="85">+Q41-S41</f>
        <v>17</v>
      </c>
      <c r="Y41" s="15">
        <v>2</v>
      </c>
      <c r="Z41" s="15">
        <f>+'Real vs Q10'!R49</f>
        <v>11</v>
      </c>
      <c r="AA41" s="15"/>
      <c r="AB41" s="15">
        <f>+'Real vs Q10'!S49</f>
        <v>42</v>
      </c>
      <c r="AC41" s="15">
        <f>+Z41+AB41</f>
        <v>53</v>
      </c>
      <c r="AD41" s="15">
        <f>+'Real vs Q10'!V49</f>
        <v>47</v>
      </c>
      <c r="AE41" s="14">
        <f t="shared" si="6"/>
        <v>2</v>
      </c>
      <c r="AF41" s="11">
        <v>0</v>
      </c>
      <c r="AG41" s="11">
        <v>1</v>
      </c>
      <c r="AH41" s="11">
        <f t="shared" si="7"/>
        <v>1</v>
      </c>
      <c r="AI41" s="11">
        <v>2</v>
      </c>
      <c r="AJ41" s="11"/>
      <c r="AK41" s="11">
        <f t="shared" ref="AK41:AK49" si="86">+AI41+AJ41</f>
        <v>2</v>
      </c>
      <c r="AL41" s="11">
        <f t="shared" si="54"/>
        <v>11</v>
      </c>
      <c r="AM41" s="11">
        <v>64</v>
      </c>
      <c r="AN41" s="16">
        <f>+'Real vs Q10'!W49</f>
        <v>2</v>
      </c>
      <c r="AO41" s="16">
        <v>46</v>
      </c>
      <c r="AP41" s="11"/>
      <c r="AQ41" s="13">
        <f t="shared" si="24"/>
        <v>46</v>
      </c>
      <c r="AR41" s="14">
        <f t="shared" ref="AR41:AR49" si="87">+IF(AO41=0,0,IF(AO41&lt;=34,1,ROUNDUP(AO41/34,0)))</f>
        <v>2</v>
      </c>
      <c r="AS41" s="11">
        <v>2</v>
      </c>
      <c r="AT41" s="11"/>
      <c r="AU41" s="11">
        <f t="shared" ref="AU41:AU49" si="88">+AM41-AO41</f>
        <v>18</v>
      </c>
    </row>
    <row r="42" spans="1:66" s="2" customFormat="1" x14ac:dyDescent="0.25">
      <c r="A42" s="223"/>
      <c r="B42" s="10" t="s">
        <v>46</v>
      </c>
      <c r="C42" s="11">
        <v>1</v>
      </c>
      <c r="D42" s="11">
        <f>+'Real vs Q10'!G43</f>
        <v>22</v>
      </c>
      <c r="E42" s="11"/>
      <c r="F42" s="11">
        <f>+'Real vs Q10'!H43</f>
        <v>6</v>
      </c>
      <c r="G42" s="11">
        <f t="shared" ref="G42:G49" si="89">+D42+F42</f>
        <v>28</v>
      </c>
      <c r="H42" s="11">
        <f>+'Real vs Q10'!K43</f>
        <v>28</v>
      </c>
      <c r="I42" s="11">
        <f t="shared" si="74"/>
        <v>1</v>
      </c>
      <c r="J42" s="11">
        <v>0</v>
      </c>
      <c r="K42" s="12">
        <v>1</v>
      </c>
      <c r="L42" s="11">
        <f t="shared" si="2"/>
        <v>1</v>
      </c>
      <c r="M42" s="13">
        <v>1</v>
      </c>
      <c r="N42" s="13"/>
      <c r="O42" s="13">
        <f t="shared" si="3"/>
        <v>1</v>
      </c>
      <c r="P42" s="13">
        <f t="shared" si="50"/>
        <v>6</v>
      </c>
      <c r="Q42" s="13">
        <v>34</v>
      </c>
      <c r="R42" s="14">
        <f>+'Real vs Q10'!L43</f>
        <v>22</v>
      </c>
      <c r="S42" s="14">
        <v>25</v>
      </c>
      <c r="T42" s="13"/>
      <c r="U42" s="13">
        <f t="shared" si="23"/>
        <v>25</v>
      </c>
      <c r="V42" s="14">
        <f t="shared" si="83"/>
        <v>1</v>
      </c>
      <c r="W42" s="13">
        <f t="shared" si="84"/>
        <v>1</v>
      </c>
      <c r="X42" s="13">
        <f t="shared" si="85"/>
        <v>9</v>
      </c>
      <c r="Y42" s="15">
        <v>2</v>
      </c>
      <c r="Z42" s="15">
        <f>+'Real vs Q10'!R43</f>
        <v>10</v>
      </c>
      <c r="AA42" s="15"/>
      <c r="AB42" s="15">
        <f>+'Real vs Q10'!S43</f>
        <v>43</v>
      </c>
      <c r="AC42" s="15">
        <f t="shared" ref="AC42:AC49" si="90">+Z42+AB42</f>
        <v>53</v>
      </c>
      <c r="AD42" s="15">
        <f>+'Real vs Q10'!V43</f>
        <v>38</v>
      </c>
      <c r="AE42" s="14">
        <f t="shared" si="6"/>
        <v>2</v>
      </c>
      <c r="AF42" s="11">
        <v>0</v>
      </c>
      <c r="AG42" s="11">
        <v>1</v>
      </c>
      <c r="AH42" s="11">
        <f t="shared" si="7"/>
        <v>1</v>
      </c>
      <c r="AI42" s="11"/>
      <c r="AJ42" s="11"/>
      <c r="AK42" s="11">
        <f t="shared" si="86"/>
        <v>0</v>
      </c>
      <c r="AL42" s="11">
        <f t="shared" si="54"/>
        <v>3</v>
      </c>
      <c r="AM42" s="11">
        <v>56</v>
      </c>
      <c r="AN42" s="16">
        <f>+'Real vs Q10'!W43</f>
        <v>3</v>
      </c>
      <c r="AO42" s="16">
        <v>39</v>
      </c>
      <c r="AP42" s="11"/>
      <c r="AQ42" s="13">
        <f t="shared" si="24"/>
        <v>39</v>
      </c>
      <c r="AR42" s="14">
        <f t="shared" si="87"/>
        <v>2</v>
      </c>
      <c r="AS42" s="11">
        <v>2</v>
      </c>
      <c r="AT42" s="11"/>
      <c r="AU42" s="11">
        <f t="shared" si="88"/>
        <v>17</v>
      </c>
    </row>
    <row r="43" spans="1:66" s="2" customFormat="1" x14ac:dyDescent="0.25">
      <c r="A43" s="223"/>
      <c r="B43" s="10" t="s">
        <v>47</v>
      </c>
      <c r="C43" s="11">
        <v>2</v>
      </c>
      <c r="D43" s="11">
        <f>+'Real vs Q10'!G45</f>
        <v>42</v>
      </c>
      <c r="E43" s="11"/>
      <c r="F43" s="11">
        <f>+'Real vs Q10'!H45</f>
        <v>10</v>
      </c>
      <c r="G43" s="11">
        <f t="shared" si="89"/>
        <v>52</v>
      </c>
      <c r="H43" s="11">
        <f>+'Real vs Q10'!K45</f>
        <v>52</v>
      </c>
      <c r="I43" s="11">
        <f t="shared" si="74"/>
        <v>2</v>
      </c>
      <c r="J43" s="11">
        <v>0</v>
      </c>
      <c r="K43" s="12">
        <v>1</v>
      </c>
      <c r="L43" s="11">
        <f t="shared" si="2"/>
        <v>1</v>
      </c>
      <c r="M43" s="13">
        <v>2</v>
      </c>
      <c r="N43" s="13"/>
      <c r="O43" s="13">
        <f t="shared" si="3"/>
        <v>2</v>
      </c>
      <c r="P43" s="13">
        <f t="shared" si="50"/>
        <v>16</v>
      </c>
      <c r="Q43" s="13">
        <v>68</v>
      </c>
      <c r="R43" s="14">
        <f>+'Real vs Q10'!L45</f>
        <v>21</v>
      </c>
      <c r="S43" s="14">
        <v>48</v>
      </c>
      <c r="T43" s="13"/>
      <c r="U43" s="13">
        <f t="shared" si="23"/>
        <v>48</v>
      </c>
      <c r="V43" s="14">
        <f t="shared" si="83"/>
        <v>2</v>
      </c>
      <c r="W43" s="13">
        <f t="shared" si="84"/>
        <v>2</v>
      </c>
      <c r="X43" s="13">
        <f t="shared" si="85"/>
        <v>20</v>
      </c>
      <c r="Y43" s="15">
        <v>1</v>
      </c>
      <c r="Z43" s="15">
        <f>+'Real vs Q10'!R45</f>
        <v>17</v>
      </c>
      <c r="AA43" s="15"/>
      <c r="AB43" s="15">
        <f>+'Real vs Q10'!S45</f>
        <v>11</v>
      </c>
      <c r="AC43" s="15">
        <f t="shared" si="90"/>
        <v>28</v>
      </c>
      <c r="AD43" s="15">
        <f>+'Real vs Q10'!V45</f>
        <v>23</v>
      </c>
      <c r="AE43" s="14">
        <f t="shared" si="6"/>
        <v>1</v>
      </c>
      <c r="AF43" s="11">
        <v>0</v>
      </c>
      <c r="AG43" s="11">
        <v>2</v>
      </c>
      <c r="AH43" s="11">
        <f t="shared" si="7"/>
        <v>2</v>
      </c>
      <c r="AI43" s="11">
        <v>1</v>
      </c>
      <c r="AJ43" s="11"/>
      <c r="AK43" s="11">
        <f t="shared" si="86"/>
        <v>1</v>
      </c>
      <c r="AL43" s="11">
        <f t="shared" si="54"/>
        <v>6</v>
      </c>
      <c r="AM43" s="11">
        <v>34</v>
      </c>
      <c r="AN43" s="16">
        <f>+'Real vs Q10'!W45</f>
        <v>2</v>
      </c>
      <c r="AO43" s="16">
        <v>18</v>
      </c>
      <c r="AP43" s="11"/>
      <c r="AQ43" s="13">
        <f t="shared" si="24"/>
        <v>18</v>
      </c>
      <c r="AR43" s="14">
        <f t="shared" si="87"/>
        <v>1</v>
      </c>
      <c r="AS43" s="11">
        <v>1</v>
      </c>
      <c r="AT43" s="11"/>
      <c r="AU43" s="11">
        <f t="shared" si="88"/>
        <v>16</v>
      </c>
    </row>
    <row r="44" spans="1:66" s="2" customFormat="1" x14ac:dyDescent="0.25">
      <c r="A44" s="223"/>
      <c r="B44" s="10" t="s">
        <v>51</v>
      </c>
      <c r="C44" s="11">
        <v>1</v>
      </c>
      <c r="D44" s="11">
        <f>+'Real vs Q10'!G48</f>
        <v>19</v>
      </c>
      <c r="E44" s="11"/>
      <c r="F44" s="11">
        <f>+'Real vs Q10'!H48</f>
        <v>6</v>
      </c>
      <c r="G44" s="11">
        <f t="shared" si="89"/>
        <v>25</v>
      </c>
      <c r="H44" s="11">
        <f>+'Real vs Q10'!K48</f>
        <v>25</v>
      </c>
      <c r="I44" s="11">
        <f t="shared" si="74"/>
        <v>1</v>
      </c>
      <c r="J44" s="11">
        <v>0</v>
      </c>
      <c r="K44" s="12">
        <v>3</v>
      </c>
      <c r="L44" s="11">
        <f t="shared" si="2"/>
        <v>3</v>
      </c>
      <c r="M44" s="13">
        <v>1</v>
      </c>
      <c r="N44" s="13"/>
      <c r="O44" s="13">
        <f t="shared" si="3"/>
        <v>1</v>
      </c>
      <c r="P44" s="13">
        <f t="shared" si="50"/>
        <v>2</v>
      </c>
      <c r="Q44" s="13">
        <v>27</v>
      </c>
      <c r="R44" s="14">
        <f>+'Real vs Q10'!L48</f>
        <v>27</v>
      </c>
      <c r="S44" s="14">
        <v>25</v>
      </c>
      <c r="T44" s="13"/>
      <c r="U44" s="13">
        <f t="shared" si="23"/>
        <v>25</v>
      </c>
      <c r="V44" s="14">
        <f t="shared" si="83"/>
        <v>1</v>
      </c>
      <c r="W44" s="13">
        <f t="shared" si="84"/>
        <v>1</v>
      </c>
      <c r="X44" s="13">
        <f t="shared" si="85"/>
        <v>2</v>
      </c>
      <c r="Y44" s="15">
        <v>1</v>
      </c>
      <c r="Z44" s="15">
        <f>+'Real vs Q10'!R48</f>
        <v>0</v>
      </c>
      <c r="AA44" s="15"/>
      <c r="AB44" s="15">
        <f>+'Real vs Q10'!S48</f>
        <v>20</v>
      </c>
      <c r="AC44" s="15">
        <f t="shared" si="90"/>
        <v>20</v>
      </c>
      <c r="AD44" s="15">
        <f>+'Real vs Q10'!V48</f>
        <v>14</v>
      </c>
      <c r="AE44" s="14">
        <f t="shared" si="6"/>
        <v>1</v>
      </c>
      <c r="AF44" s="11">
        <v>0</v>
      </c>
      <c r="AG44" s="11">
        <v>0</v>
      </c>
      <c r="AH44" s="11">
        <f t="shared" si="7"/>
        <v>0</v>
      </c>
      <c r="AI44" s="11"/>
      <c r="AJ44" s="11"/>
      <c r="AK44" s="11">
        <f t="shared" si="86"/>
        <v>0</v>
      </c>
      <c r="AL44" s="11">
        <f t="shared" si="54"/>
        <v>14</v>
      </c>
      <c r="AM44" s="11">
        <v>34</v>
      </c>
      <c r="AN44" s="16">
        <f>+'Real vs Q10'!W48</f>
        <v>3</v>
      </c>
      <c r="AO44" s="16">
        <v>10</v>
      </c>
      <c r="AP44" s="11"/>
      <c r="AQ44" s="13">
        <f t="shared" si="24"/>
        <v>10</v>
      </c>
      <c r="AR44" s="14">
        <f t="shared" si="87"/>
        <v>1</v>
      </c>
      <c r="AS44" s="11">
        <v>0.5</v>
      </c>
      <c r="AT44" s="11"/>
      <c r="AU44" s="11">
        <f t="shared" si="88"/>
        <v>24</v>
      </c>
    </row>
    <row r="45" spans="1:66" s="2" customFormat="1" x14ac:dyDescent="0.25">
      <c r="A45" s="223"/>
      <c r="B45" s="10" t="s">
        <v>52</v>
      </c>
      <c r="C45" s="11">
        <v>1</v>
      </c>
      <c r="D45" s="11">
        <f>+'Real vs Q10'!G41</f>
        <v>20</v>
      </c>
      <c r="E45" s="11"/>
      <c r="F45" s="11">
        <f>+'Real vs Q10'!H41</f>
        <v>11</v>
      </c>
      <c r="G45" s="11">
        <f t="shared" si="89"/>
        <v>31</v>
      </c>
      <c r="H45" s="11">
        <f>+'Real vs Q10'!K41</f>
        <v>31</v>
      </c>
      <c r="I45" s="11">
        <f>+IF(H45=0,0,IF(H45&lt;=34,1,ROUNDUP(H45/34,0)))</f>
        <v>1</v>
      </c>
      <c r="J45" s="11">
        <v>0</v>
      </c>
      <c r="K45" s="12">
        <v>3</v>
      </c>
      <c r="L45" s="11">
        <f t="shared" si="2"/>
        <v>3</v>
      </c>
      <c r="M45" s="13"/>
      <c r="N45" s="13"/>
      <c r="O45" s="13">
        <f t="shared" si="3"/>
        <v>0</v>
      </c>
      <c r="P45" s="13">
        <f t="shared" si="50"/>
        <v>-1</v>
      </c>
      <c r="Q45" s="13">
        <v>30</v>
      </c>
      <c r="R45" s="14">
        <f>+'Real vs Q10'!L41</f>
        <v>6</v>
      </c>
      <c r="S45" s="14">
        <v>27</v>
      </c>
      <c r="T45" s="13"/>
      <c r="U45" s="13">
        <f t="shared" si="23"/>
        <v>27</v>
      </c>
      <c r="V45" s="14">
        <f t="shared" si="83"/>
        <v>1</v>
      </c>
      <c r="W45" s="13">
        <f t="shared" si="84"/>
        <v>1</v>
      </c>
      <c r="X45" s="13">
        <f t="shared" si="85"/>
        <v>3</v>
      </c>
      <c r="Y45" s="15">
        <v>1</v>
      </c>
      <c r="Z45" s="15">
        <f>+'Real vs Q10'!R41</f>
        <v>4</v>
      </c>
      <c r="AA45" s="15"/>
      <c r="AB45" s="15">
        <f>+'Real vs Q10'!S41</f>
        <v>9</v>
      </c>
      <c r="AC45" s="15">
        <f t="shared" si="90"/>
        <v>13</v>
      </c>
      <c r="AD45" s="15">
        <f>+'Real vs Q10'!V41</f>
        <v>5</v>
      </c>
      <c r="AE45" s="14">
        <f t="shared" si="6"/>
        <v>1</v>
      </c>
      <c r="AF45" s="11">
        <v>0</v>
      </c>
      <c r="AG45" s="11">
        <v>0</v>
      </c>
      <c r="AH45" s="11">
        <f t="shared" si="7"/>
        <v>0</v>
      </c>
      <c r="AI45" s="11"/>
      <c r="AJ45" s="11"/>
      <c r="AK45" s="11">
        <f t="shared" si="86"/>
        <v>0</v>
      </c>
      <c r="AL45" s="11">
        <f t="shared" si="54"/>
        <v>21</v>
      </c>
      <c r="AM45" s="11">
        <v>34</v>
      </c>
      <c r="AN45" s="16">
        <f>+'Real vs Q10'!W41</f>
        <v>4</v>
      </c>
      <c r="AO45" s="216">
        <v>0</v>
      </c>
      <c r="AP45" s="11"/>
      <c r="AQ45" s="217">
        <f t="shared" si="24"/>
        <v>0</v>
      </c>
      <c r="AR45" s="219">
        <f>+IF(AO45=0,0,IF(AO45&lt;=34,1,ROUNDUP(AO45/34,0)))</f>
        <v>0</v>
      </c>
      <c r="AS45" s="11">
        <v>0.5</v>
      </c>
      <c r="AT45" s="11" t="s">
        <v>61</v>
      </c>
      <c r="AU45" s="11">
        <f t="shared" si="88"/>
        <v>34</v>
      </c>
    </row>
    <row r="46" spans="1:66" s="2" customFormat="1" x14ac:dyDescent="0.25">
      <c r="A46" s="223"/>
      <c r="B46" s="10" t="s">
        <v>53</v>
      </c>
      <c r="C46" s="11">
        <v>1</v>
      </c>
      <c r="D46" s="11">
        <f>+'Real vs Q10'!G44</f>
        <v>15</v>
      </c>
      <c r="E46" s="11"/>
      <c r="F46" s="11">
        <f>+'Real vs Q10'!H44</f>
        <v>13</v>
      </c>
      <c r="G46" s="11">
        <f t="shared" si="89"/>
        <v>28</v>
      </c>
      <c r="H46" s="11">
        <f>+'Real vs Q10'!K44</f>
        <v>23</v>
      </c>
      <c r="I46" s="11">
        <f t="shared" si="74"/>
        <v>1</v>
      </c>
      <c r="J46" s="11">
        <v>0</v>
      </c>
      <c r="K46" s="12">
        <v>4</v>
      </c>
      <c r="L46" s="11">
        <f t="shared" si="2"/>
        <v>4</v>
      </c>
      <c r="M46" s="13">
        <v>3</v>
      </c>
      <c r="N46" s="13">
        <v>1</v>
      </c>
      <c r="O46" s="13">
        <f>+M46+N46</f>
        <v>4</v>
      </c>
      <c r="P46" s="13">
        <f t="shared" si="50"/>
        <v>-3</v>
      </c>
      <c r="Q46" s="13">
        <v>25</v>
      </c>
      <c r="R46" s="14">
        <f>+'Real vs Q10'!L44</f>
        <v>26</v>
      </c>
      <c r="S46" s="14">
        <v>21</v>
      </c>
      <c r="T46" s="13"/>
      <c r="U46" s="13">
        <f t="shared" si="23"/>
        <v>21</v>
      </c>
      <c r="V46" s="14">
        <f t="shared" si="83"/>
        <v>1</v>
      </c>
      <c r="W46" s="13">
        <f t="shared" si="84"/>
        <v>1</v>
      </c>
      <c r="X46" s="13">
        <f t="shared" si="85"/>
        <v>4</v>
      </c>
      <c r="Y46" s="15">
        <v>0</v>
      </c>
      <c r="Z46" s="15">
        <f>+'Real vs Q10'!R44</f>
        <v>0</v>
      </c>
      <c r="AA46" s="15"/>
      <c r="AB46" s="15">
        <f>+'Real vs Q10'!S44</f>
        <v>1</v>
      </c>
      <c r="AC46" s="15">
        <f t="shared" si="90"/>
        <v>1</v>
      </c>
      <c r="AD46" s="15">
        <f>+'Real vs Q10'!V44</f>
        <v>0</v>
      </c>
      <c r="AE46" s="14">
        <f t="shared" si="6"/>
        <v>0</v>
      </c>
      <c r="AF46" s="11">
        <v>0</v>
      </c>
      <c r="AG46" s="11">
        <v>0</v>
      </c>
      <c r="AH46" s="11">
        <f t="shared" si="7"/>
        <v>0</v>
      </c>
      <c r="AI46" s="11"/>
      <c r="AJ46" s="11"/>
      <c r="AK46" s="11">
        <f t="shared" si="86"/>
        <v>0</v>
      </c>
      <c r="AL46" s="11">
        <f t="shared" si="54"/>
        <v>-1</v>
      </c>
      <c r="AM46" s="11">
        <v>0</v>
      </c>
      <c r="AN46" s="16">
        <f>+'Real vs Q10'!W44</f>
        <v>0</v>
      </c>
      <c r="AO46" s="16">
        <v>0</v>
      </c>
      <c r="AP46" s="11"/>
      <c r="AQ46" s="13">
        <f t="shared" si="24"/>
        <v>0</v>
      </c>
      <c r="AR46" s="14">
        <f t="shared" si="87"/>
        <v>0</v>
      </c>
      <c r="AS46" s="11">
        <v>0</v>
      </c>
      <c r="AT46" s="11"/>
      <c r="AU46" s="11">
        <f t="shared" si="88"/>
        <v>0</v>
      </c>
    </row>
    <row r="47" spans="1:66" s="2" customFormat="1" x14ac:dyDescent="0.25">
      <c r="A47" s="223"/>
      <c r="B47" s="10" t="s">
        <v>54</v>
      </c>
      <c r="C47" s="11">
        <v>1</v>
      </c>
      <c r="D47" s="11">
        <f>+'Real vs Q10'!G47</f>
        <v>4</v>
      </c>
      <c r="E47" s="11"/>
      <c r="F47" s="11">
        <f>+'Real vs Q10'!H47</f>
        <v>29</v>
      </c>
      <c r="G47" s="11">
        <f t="shared" si="89"/>
        <v>33</v>
      </c>
      <c r="H47" s="11">
        <f>+'Real vs Q10'!K47</f>
        <v>23</v>
      </c>
      <c r="I47" s="11">
        <f t="shared" si="74"/>
        <v>1</v>
      </c>
      <c r="J47" s="11">
        <v>1</v>
      </c>
      <c r="K47" s="12">
        <v>2</v>
      </c>
      <c r="L47" s="11">
        <f>J47+K47</f>
        <v>3</v>
      </c>
      <c r="M47" s="13">
        <v>1</v>
      </c>
      <c r="N47" s="13"/>
      <c r="O47" s="13">
        <f t="shared" si="3"/>
        <v>1</v>
      </c>
      <c r="P47" s="13">
        <f t="shared" si="50"/>
        <v>-2</v>
      </c>
      <c r="Q47" s="13">
        <v>31</v>
      </c>
      <c r="R47" s="14">
        <f>+'Real vs Q10'!L47</f>
        <v>13</v>
      </c>
      <c r="S47" s="14">
        <v>21</v>
      </c>
      <c r="T47" s="13"/>
      <c r="U47" s="13">
        <f t="shared" si="23"/>
        <v>21</v>
      </c>
      <c r="V47" s="14">
        <f t="shared" si="83"/>
        <v>1</v>
      </c>
      <c r="W47" s="13">
        <f t="shared" si="84"/>
        <v>1</v>
      </c>
      <c r="X47" s="13">
        <f t="shared" si="85"/>
        <v>10</v>
      </c>
      <c r="Y47" s="15">
        <v>1</v>
      </c>
      <c r="Z47" s="15">
        <f>+'Real vs Q10'!R47</f>
        <v>5</v>
      </c>
      <c r="AA47" s="15"/>
      <c r="AB47" s="15">
        <f>+'Real vs Q10'!S47</f>
        <v>12</v>
      </c>
      <c r="AC47" s="15">
        <f t="shared" si="90"/>
        <v>17</v>
      </c>
      <c r="AD47" s="15">
        <f>+'Real vs Q10'!V47</f>
        <v>11</v>
      </c>
      <c r="AE47" s="14">
        <f t="shared" si="6"/>
        <v>1</v>
      </c>
      <c r="AF47" s="11">
        <v>1</v>
      </c>
      <c r="AG47" s="11">
        <v>1</v>
      </c>
      <c r="AH47" s="11">
        <f t="shared" si="7"/>
        <v>2</v>
      </c>
      <c r="AI47" s="11"/>
      <c r="AJ47" s="11">
        <v>1</v>
      </c>
      <c r="AK47" s="11">
        <f t="shared" si="86"/>
        <v>1</v>
      </c>
      <c r="AL47" s="11">
        <f t="shared" si="54"/>
        <v>17</v>
      </c>
      <c r="AM47" s="11">
        <v>34</v>
      </c>
      <c r="AN47" s="16">
        <f>+'Real vs Q10'!W47</f>
        <v>3</v>
      </c>
      <c r="AO47" s="16">
        <v>9</v>
      </c>
      <c r="AP47" s="11"/>
      <c r="AQ47" s="13">
        <f t="shared" si="24"/>
        <v>9</v>
      </c>
      <c r="AR47" s="14">
        <f t="shared" si="87"/>
        <v>1</v>
      </c>
      <c r="AS47" s="11">
        <v>0</v>
      </c>
      <c r="AT47" s="11"/>
      <c r="AU47" s="11">
        <f t="shared" si="88"/>
        <v>25</v>
      </c>
    </row>
    <row r="48" spans="1:66" s="2" customFormat="1" x14ac:dyDescent="0.25">
      <c r="A48" s="223"/>
      <c r="B48" s="10" t="s">
        <v>55</v>
      </c>
      <c r="C48" s="11">
        <v>1</v>
      </c>
      <c r="D48" s="11">
        <f>+'Real vs Q10'!G46</f>
        <v>0</v>
      </c>
      <c r="E48" s="11"/>
      <c r="F48" s="11">
        <f>+'Real vs Q10'!H46</f>
        <v>24</v>
      </c>
      <c r="G48" s="11">
        <f t="shared" si="89"/>
        <v>24</v>
      </c>
      <c r="H48" s="11">
        <f>+'Real vs Q10'!K46</f>
        <v>20</v>
      </c>
      <c r="I48" s="11">
        <f t="shared" si="74"/>
        <v>1</v>
      </c>
      <c r="J48" s="11">
        <v>1</v>
      </c>
      <c r="K48" s="12">
        <v>0</v>
      </c>
      <c r="L48" s="11">
        <f t="shared" si="2"/>
        <v>1</v>
      </c>
      <c r="M48" s="13"/>
      <c r="N48" s="13">
        <v>1</v>
      </c>
      <c r="O48" s="13">
        <f t="shared" si="3"/>
        <v>1</v>
      </c>
      <c r="P48" s="13">
        <f t="shared" si="50"/>
        <v>10</v>
      </c>
      <c r="Q48" s="13">
        <v>34</v>
      </c>
      <c r="R48" s="14">
        <f>+'Real vs Q10'!L46</f>
        <v>4</v>
      </c>
      <c r="S48" s="14">
        <v>18</v>
      </c>
      <c r="T48" s="13"/>
      <c r="U48" s="13">
        <f t="shared" si="23"/>
        <v>18</v>
      </c>
      <c r="V48" s="14">
        <f t="shared" si="83"/>
        <v>1</v>
      </c>
      <c r="W48" s="13">
        <v>0.5</v>
      </c>
      <c r="X48" s="13">
        <f t="shared" si="85"/>
        <v>16</v>
      </c>
      <c r="Y48" s="15">
        <v>0</v>
      </c>
      <c r="Z48" s="15">
        <f>+'Real vs Q10'!R46</f>
        <v>0</v>
      </c>
      <c r="AA48" s="15"/>
      <c r="AB48" s="15">
        <f>+'Real vs Q10'!S46</f>
        <v>0</v>
      </c>
      <c r="AC48" s="15">
        <f t="shared" si="90"/>
        <v>0</v>
      </c>
      <c r="AD48" s="15">
        <f>+'Real vs Q10'!V46</f>
        <v>0</v>
      </c>
      <c r="AE48" s="14">
        <f t="shared" si="6"/>
        <v>0</v>
      </c>
      <c r="AF48" s="11">
        <v>0</v>
      </c>
      <c r="AG48" s="11">
        <v>0</v>
      </c>
      <c r="AH48" s="11">
        <f t="shared" si="7"/>
        <v>0</v>
      </c>
      <c r="AI48" s="11"/>
      <c r="AJ48" s="11"/>
      <c r="AK48" s="11">
        <f t="shared" si="86"/>
        <v>0</v>
      </c>
      <c r="AL48" s="11">
        <f t="shared" si="54"/>
        <v>0</v>
      </c>
      <c r="AM48" s="11">
        <v>0</v>
      </c>
      <c r="AN48" s="16">
        <f>+'Real vs Q10'!W46</f>
        <v>0</v>
      </c>
      <c r="AO48" s="16">
        <v>0</v>
      </c>
      <c r="AP48" s="11"/>
      <c r="AQ48" s="13">
        <f t="shared" si="24"/>
        <v>0</v>
      </c>
      <c r="AR48" s="14">
        <f t="shared" si="87"/>
        <v>0</v>
      </c>
      <c r="AS48" s="11">
        <v>0</v>
      </c>
      <c r="AT48" s="11"/>
      <c r="AU48" s="11">
        <f t="shared" si="88"/>
        <v>0</v>
      </c>
    </row>
    <row r="49" spans="1:66" s="2" customFormat="1" x14ac:dyDescent="0.25">
      <c r="A49" s="223"/>
      <c r="B49" s="10" t="s">
        <v>57</v>
      </c>
      <c r="C49" s="11">
        <v>1</v>
      </c>
      <c r="D49" s="11">
        <f>+'Real vs Q10'!G55</f>
        <v>0</v>
      </c>
      <c r="E49" s="11"/>
      <c r="F49" s="11">
        <f>+'Real vs Q10'!H42</f>
        <v>15</v>
      </c>
      <c r="G49" s="11">
        <f t="shared" si="89"/>
        <v>15</v>
      </c>
      <c r="H49" s="11">
        <f>+'Real vs Q10'!K42</f>
        <v>11</v>
      </c>
      <c r="I49" s="11">
        <f>+IF(H49=0,0,IF(H49&lt;=34,1,ROUNDUP(H49/34,0)))</f>
        <v>1</v>
      </c>
      <c r="J49" s="11">
        <v>1</v>
      </c>
      <c r="K49" s="12">
        <v>0</v>
      </c>
      <c r="L49" s="11">
        <f t="shared" si="2"/>
        <v>1</v>
      </c>
      <c r="M49" s="13"/>
      <c r="N49" s="13">
        <v>1</v>
      </c>
      <c r="O49" s="13">
        <f t="shared" si="3"/>
        <v>1</v>
      </c>
      <c r="P49" s="13">
        <f t="shared" si="50"/>
        <v>19</v>
      </c>
      <c r="Q49" s="13">
        <v>34</v>
      </c>
      <c r="R49" s="14">
        <f>+'Real vs Q10'!L42</f>
        <v>3</v>
      </c>
      <c r="S49" s="14">
        <v>11</v>
      </c>
      <c r="T49" s="13"/>
      <c r="U49" s="13">
        <f t="shared" si="23"/>
        <v>11</v>
      </c>
      <c r="V49" s="14">
        <f t="shared" si="83"/>
        <v>1</v>
      </c>
      <c r="W49" s="13">
        <v>0.5</v>
      </c>
      <c r="X49" s="13">
        <f t="shared" si="85"/>
        <v>23</v>
      </c>
      <c r="Y49" s="15">
        <v>0</v>
      </c>
      <c r="Z49" s="15">
        <f>+'Real vs Q10'!R42</f>
        <v>0</v>
      </c>
      <c r="AA49" s="15"/>
      <c r="AB49" s="15">
        <f>+'Real vs Q10'!S42</f>
        <v>0</v>
      </c>
      <c r="AC49" s="15">
        <f t="shared" si="90"/>
        <v>0</v>
      </c>
      <c r="AD49" s="15">
        <f>+'Real vs Q10'!V42</f>
        <v>0</v>
      </c>
      <c r="AE49" s="14">
        <f t="shared" si="6"/>
        <v>0</v>
      </c>
      <c r="AF49" s="11">
        <v>0</v>
      </c>
      <c r="AG49" s="11">
        <v>0</v>
      </c>
      <c r="AH49" s="11">
        <f t="shared" si="7"/>
        <v>0</v>
      </c>
      <c r="AI49" s="11"/>
      <c r="AJ49" s="11"/>
      <c r="AK49" s="11">
        <f t="shared" si="86"/>
        <v>0</v>
      </c>
      <c r="AL49" s="11">
        <f t="shared" si="54"/>
        <v>0</v>
      </c>
      <c r="AM49" s="11">
        <v>0</v>
      </c>
      <c r="AN49" s="16">
        <f>+'Real vs Q10'!W42</f>
        <v>0</v>
      </c>
      <c r="AO49" s="16">
        <v>0</v>
      </c>
      <c r="AP49" s="11"/>
      <c r="AQ49" s="13">
        <f t="shared" si="24"/>
        <v>0</v>
      </c>
      <c r="AR49" s="14">
        <f t="shared" si="87"/>
        <v>0</v>
      </c>
      <c r="AS49" s="11">
        <v>0</v>
      </c>
      <c r="AT49" s="11"/>
      <c r="AU49" s="11">
        <f t="shared" si="88"/>
        <v>0</v>
      </c>
    </row>
    <row r="50" spans="1:66" s="21" customFormat="1" x14ac:dyDescent="0.25">
      <c r="A50" s="6"/>
      <c r="B50" s="18"/>
      <c r="C50" s="19">
        <f>SUM(C41:C49)</f>
        <v>11</v>
      </c>
      <c r="D50" s="19">
        <f t="shared" ref="D50:F50" si="91">SUM(D41:D49)</f>
        <v>168</v>
      </c>
      <c r="E50" s="19"/>
      <c r="F50" s="19">
        <f t="shared" si="91"/>
        <v>129</v>
      </c>
      <c r="G50" s="19">
        <f>SUM(G41:G49)</f>
        <v>297</v>
      </c>
      <c r="H50" s="19">
        <f>SUM(H41:H49)</f>
        <v>273</v>
      </c>
      <c r="I50" s="19">
        <f>SUM(I41:I49)</f>
        <v>11</v>
      </c>
      <c r="J50" s="19">
        <f t="shared" ref="J50:AS50" si="92">SUM(J41:J49)</f>
        <v>3</v>
      </c>
      <c r="K50" s="19">
        <f t="shared" si="92"/>
        <v>21</v>
      </c>
      <c r="L50" s="19">
        <f t="shared" si="92"/>
        <v>24</v>
      </c>
      <c r="M50" s="19">
        <f t="shared" si="92"/>
        <v>11</v>
      </c>
      <c r="N50" s="19">
        <f t="shared" si="92"/>
        <v>3</v>
      </c>
      <c r="O50" s="19">
        <f t="shared" si="92"/>
        <v>14</v>
      </c>
      <c r="P50" s="20">
        <f t="shared" si="50"/>
        <v>54</v>
      </c>
      <c r="Q50" s="19">
        <f t="shared" si="92"/>
        <v>351</v>
      </c>
      <c r="R50" s="19">
        <f t="shared" ref="R50:V50" si="93">SUM(R41:R49)</f>
        <v>151</v>
      </c>
      <c r="S50" s="19">
        <f>SUM(S41:S49)</f>
        <v>247</v>
      </c>
      <c r="T50" s="19">
        <f t="shared" ref="T50" si="94">SUM(T41:T49)</f>
        <v>0</v>
      </c>
      <c r="U50" s="13">
        <f t="shared" si="23"/>
        <v>247</v>
      </c>
      <c r="V50" s="19">
        <f t="shared" si="93"/>
        <v>11</v>
      </c>
      <c r="W50" s="19">
        <f t="shared" si="92"/>
        <v>10</v>
      </c>
      <c r="X50" s="19">
        <f>SUM(X41:X49)</f>
        <v>104</v>
      </c>
      <c r="Y50" s="19">
        <f t="shared" ref="Y50:AB50" si="95">SUM(Y41:Y49)</f>
        <v>8</v>
      </c>
      <c r="Z50" s="19">
        <f t="shared" si="95"/>
        <v>47</v>
      </c>
      <c r="AA50" s="19"/>
      <c r="AB50" s="19">
        <f t="shared" si="95"/>
        <v>138</v>
      </c>
      <c r="AC50" s="19">
        <f t="shared" ref="AC50" si="96">SUM(AC41:AC49)</f>
        <v>185</v>
      </c>
      <c r="AD50" s="19">
        <f>SUM(AD41:AD49)</f>
        <v>138</v>
      </c>
      <c r="AE50" s="19">
        <f>SUM(AE41:AE49)</f>
        <v>8</v>
      </c>
      <c r="AF50" s="19">
        <f t="shared" si="92"/>
        <v>1</v>
      </c>
      <c r="AG50" s="19">
        <f t="shared" si="92"/>
        <v>5</v>
      </c>
      <c r="AH50" s="19">
        <f t="shared" si="92"/>
        <v>6</v>
      </c>
      <c r="AI50" s="19">
        <f>SUM(AI41:AI49)</f>
        <v>3</v>
      </c>
      <c r="AJ50" s="19">
        <f>SUM(AJ41:AJ49)</f>
        <v>1</v>
      </c>
      <c r="AK50" s="19">
        <f>SUM(AK41:AK49)</f>
        <v>4</v>
      </c>
      <c r="AL50" s="19">
        <f t="shared" si="54"/>
        <v>71</v>
      </c>
      <c r="AM50" s="19">
        <f>SUM(AM41:AM49)</f>
        <v>256</v>
      </c>
      <c r="AN50" s="19">
        <f t="shared" ref="AN50:AR50" si="97">SUM(AN41:AN49)</f>
        <v>17</v>
      </c>
      <c r="AO50" s="19">
        <f>SUM(AO41:AO49)</f>
        <v>122</v>
      </c>
      <c r="AP50" s="19">
        <f>SUM(AP41:AP49)</f>
        <v>0</v>
      </c>
      <c r="AQ50" s="13">
        <f t="shared" si="24"/>
        <v>122</v>
      </c>
      <c r="AR50" s="19">
        <f t="shared" si="97"/>
        <v>7</v>
      </c>
      <c r="AS50" s="19">
        <f t="shared" si="92"/>
        <v>6</v>
      </c>
      <c r="AT50" s="19"/>
      <c r="AU50" s="19">
        <f>SUM(AU41:AU49)</f>
        <v>134</v>
      </c>
      <c r="AV50" s="2"/>
      <c r="AW50" s="2"/>
      <c r="AX50" s="2"/>
      <c r="AY50" s="2"/>
      <c r="AZ50" s="2"/>
      <c r="BA50" s="2"/>
      <c r="BB50" s="2"/>
      <c r="BC50" s="2"/>
      <c r="BD50" s="2"/>
      <c r="BE50" s="2"/>
      <c r="BF50" s="2"/>
      <c r="BG50" s="2"/>
      <c r="BH50" s="2"/>
      <c r="BI50" s="2"/>
      <c r="BJ50" s="2"/>
      <c r="BK50" s="2"/>
      <c r="BL50" s="2"/>
      <c r="BM50" s="2"/>
      <c r="BN50" s="2"/>
    </row>
    <row r="51" spans="1:66" s="2" customFormat="1" ht="14.45" customHeight="1" x14ac:dyDescent="0.25">
      <c r="A51" s="225" t="s">
        <v>62</v>
      </c>
      <c r="B51" s="10" t="s">
        <v>40</v>
      </c>
      <c r="C51" s="11">
        <v>1</v>
      </c>
      <c r="D51" s="11">
        <f>+'Real vs Q10'!G50</f>
        <v>0</v>
      </c>
      <c r="E51" s="11"/>
      <c r="F51" s="11">
        <f>+'Real vs Q10'!H50</f>
        <v>13</v>
      </c>
      <c r="G51" s="11">
        <f>+D51+F51</f>
        <v>13</v>
      </c>
      <c r="H51" s="11">
        <f>+'Real vs Q10'!K50</f>
        <v>7</v>
      </c>
      <c r="I51" s="11">
        <f>+IF(H51=0,0,IF(H51&lt;=34,1,ROUNDUP(H51/34,0)))</f>
        <v>1</v>
      </c>
      <c r="J51" s="11">
        <v>1</v>
      </c>
      <c r="K51" s="12">
        <v>0</v>
      </c>
      <c r="L51" s="11">
        <f t="shared" si="2"/>
        <v>1</v>
      </c>
      <c r="M51" s="13"/>
      <c r="N51" s="13">
        <v>1</v>
      </c>
      <c r="O51" s="13">
        <f t="shared" si="3"/>
        <v>1</v>
      </c>
      <c r="P51" s="13">
        <f t="shared" si="50"/>
        <v>16</v>
      </c>
      <c r="Q51" s="13">
        <v>29</v>
      </c>
      <c r="R51" s="14">
        <f>+'Real vs Q10'!L50</f>
        <v>1</v>
      </c>
      <c r="S51" s="14">
        <v>6</v>
      </c>
      <c r="T51" s="13"/>
      <c r="U51" s="13">
        <f t="shared" si="23"/>
        <v>6</v>
      </c>
      <c r="V51" s="14">
        <f t="shared" ref="V51:V64" si="98">+IF(S51=0,0,IF(S51&lt;=34,1,ROUNDUP(S51/34,0)))</f>
        <v>1</v>
      </c>
      <c r="W51" s="13">
        <f>C51</f>
        <v>1</v>
      </c>
      <c r="X51" s="13">
        <f t="shared" ref="X51:X64" si="99">+Q51-S51</f>
        <v>23</v>
      </c>
      <c r="Y51" s="15">
        <v>1</v>
      </c>
      <c r="Z51" s="15">
        <f>+'Real vs Q10'!R50</f>
        <v>0</v>
      </c>
      <c r="AA51" s="15"/>
      <c r="AB51" s="15">
        <f>+'Real vs Q10'!S50</f>
        <v>13</v>
      </c>
      <c r="AC51" s="15">
        <f>+Z51+AB51</f>
        <v>13</v>
      </c>
      <c r="AD51" s="15">
        <f>+'Real vs Q10'!V50</f>
        <v>2</v>
      </c>
      <c r="AE51" s="14">
        <f>+IF(AD51=0,0,IF(AD51&lt;=34,1,ROUNDUP(AD51/34,0)))</f>
        <v>1</v>
      </c>
      <c r="AF51" s="11">
        <v>0</v>
      </c>
      <c r="AG51" s="11">
        <v>0</v>
      </c>
      <c r="AH51" s="11">
        <f t="shared" si="7"/>
        <v>0</v>
      </c>
      <c r="AI51" s="11"/>
      <c r="AJ51" s="11"/>
      <c r="AK51" s="11">
        <f t="shared" ref="AK51:AK64" si="100">+AI51+AJ51</f>
        <v>0</v>
      </c>
      <c r="AL51" s="11">
        <f t="shared" si="54"/>
        <v>12</v>
      </c>
      <c r="AM51" s="11">
        <v>25</v>
      </c>
      <c r="AN51" s="16">
        <f>+'Real vs Q10'!W50</f>
        <v>1</v>
      </c>
      <c r="AO51" s="216">
        <v>1</v>
      </c>
      <c r="AP51" s="11"/>
      <c r="AQ51" s="217">
        <f t="shared" si="24"/>
        <v>1</v>
      </c>
      <c r="AR51" s="219">
        <f>+IF(AO51=0,0,IF(AO51&lt;=34,1,ROUNDUP(AO51/34,0)))-1</f>
        <v>0</v>
      </c>
      <c r="AS51" s="11">
        <v>1</v>
      </c>
      <c r="AT51" s="11" t="s">
        <v>63</v>
      </c>
      <c r="AU51" s="11">
        <f t="shared" ref="AU51:AU64" si="101">+AM51-AO51</f>
        <v>24</v>
      </c>
    </row>
    <row r="52" spans="1:66" s="2" customFormat="1" x14ac:dyDescent="0.25">
      <c r="A52" s="227"/>
      <c r="B52" s="10" t="s">
        <v>41</v>
      </c>
      <c r="C52" s="11">
        <v>1</v>
      </c>
      <c r="D52" s="11">
        <f>+'Real vs Q10'!G53</f>
        <v>3</v>
      </c>
      <c r="E52" s="11"/>
      <c r="F52" s="11">
        <f>+'Real vs Q10'!H53</f>
        <v>25</v>
      </c>
      <c r="G52" s="11">
        <f t="shared" ref="G52:G63" si="102">+D52+F52</f>
        <v>28</v>
      </c>
      <c r="H52" s="11">
        <f>+'Real vs Q10'!K53</f>
        <v>17</v>
      </c>
      <c r="I52" s="11">
        <f t="shared" ref="I52:I76" si="103">+IF(H52=0,0,IF(H52&lt;=34,1,ROUNDUP(H52/34,0)))</f>
        <v>1</v>
      </c>
      <c r="J52" s="11">
        <v>0</v>
      </c>
      <c r="K52" s="12">
        <v>0</v>
      </c>
      <c r="L52" s="11">
        <f t="shared" si="2"/>
        <v>0</v>
      </c>
      <c r="M52" s="13"/>
      <c r="N52" s="13"/>
      <c r="O52" s="13">
        <f t="shared" si="3"/>
        <v>0</v>
      </c>
      <c r="P52" s="13">
        <f t="shared" si="50"/>
        <v>0</v>
      </c>
      <c r="Q52" s="13">
        <v>28</v>
      </c>
      <c r="R52" s="14">
        <f>+'Real vs Q10'!L53</f>
        <v>1</v>
      </c>
      <c r="S52" s="14">
        <v>18</v>
      </c>
      <c r="T52" s="13"/>
      <c r="U52" s="13">
        <f t="shared" si="23"/>
        <v>18</v>
      </c>
      <c r="V52" s="14">
        <f t="shared" si="98"/>
        <v>1</v>
      </c>
      <c r="W52" s="13">
        <f>C52</f>
        <v>1</v>
      </c>
      <c r="X52" s="13">
        <f t="shared" si="99"/>
        <v>10</v>
      </c>
      <c r="Y52" s="15">
        <v>1</v>
      </c>
      <c r="Z52" s="15">
        <f>+'Real vs Q10'!R53</f>
        <v>0</v>
      </c>
      <c r="AA52" s="15"/>
      <c r="AB52" s="15">
        <f>+'Real vs Q10'!S53</f>
        <v>8</v>
      </c>
      <c r="AC52" s="15">
        <f t="shared" ref="AC52:AC63" si="104">+Z52+AB52</f>
        <v>8</v>
      </c>
      <c r="AD52" s="15">
        <f>+'Real vs Q10'!V53</f>
        <v>2</v>
      </c>
      <c r="AE52" s="14">
        <f t="shared" ref="AE52:AE66" si="105">+IF(AD52=0,0,IF(AD52&lt;=34,1,ROUNDUP(AD52/34,0)))</f>
        <v>1</v>
      </c>
      <c r="AF52" s="11">
        <v>1</v>
      </c>
      <c r="AG52" s="11">
        <v>0</v>
      </c>
      <c r="AH52" s="11">
        <f t="shared" si="7"/>
        <v>1</v>
      </c>
      <c r="AI52" s="11"/>
      <c r="AJ52" s="11"/>
      <c r="AK52" s="11">
        <f t="shared" si="100"/>
        <v>0</v>
      </c>
      <c r="AL52" s="11">
        <f t="shared" si="54"/>
        <v>17</v>
      </c>
      <c r="AM52" s="11">
        <v>25</v>
      </c>
      <c r="AN52" s="16">
        <f>+'Real vs Q10'!W53</f>
        <v>2</v>
      </c>
      <c r="AO52" s="216">
        <v>0</v>
      </c>
      <c r="AP52" s="11"/>
      <c r="AQ52" s="217">
        <f t="shared" si="24"/>
        <v>0</v>
      </c>
      <c r="AR52" s="219">
        <f>+IF(AO52=0,0,IF(AO52&lt;=34,1,ROUNDUP(AO52/34,0)))</f>
        <v>0</v>
      </c>
      <c r="AS52" s="11">
        <v>1</v>
      </c>
      <c r="AT52" s="11" t="s">
        <v>64</v>
      </c>
      <c r="AU52" s="11">
        <f t="shared" si="101"/>
        <v>25</v>
      </c>
    </row>
    <row r="53" spans="1:66" s="2" customFormat="1" x14ac:dyDescent="0.25">
      <c r="A53" s="227"/>
      <c r="B53" s="10" t="s">
        <v>45</v>
      </c>
      <c r="C53" s="11">
        <v>1</v>
      </c>
      <c r="D53" s="11">
        <f>+'Real vs Q10'!G62</f>
        <v>3</v>
      </c>
      <c r="E53" s="11"/>
      <c r="F53" s="11">
        <f>+'Real vs Q10'!H62</f>
        <v>30</v>
      </c>
      <c r="G53" s="11">
        <f t="shared" si="102"/>
        <v>33</v>
      </c>
      <c r="H53" s="11">
        <f>+'Real vs Q10'!K62</f>
        <v>21</v>
      </c>
      <c r="I53" s="11">
        <f t="shared" si="103"/>
        <v>1</v>
      </c>
      <c r="J53" s="11">
        <v>1</v>
      </c>
      <c r="K53" s="12">
        <v>0</v>
      </c>
      <c r="L53" s="11">
        <f t="shared" si="2"/>
        <v>1</v>
      </c>
      <c r="M53" s="13"/>
      <c r="N53" s="13">
        <v>1</v>
      </c>
      <c r="O53" s="13">
        <f t="shared" si="3"/>
        <v>1</v>
      </c>
      <c r="P53" s="13">
        <f t="shared" si="50"/>
        <v>1</v>
      </c>
      <c r="Q53" s="13">
        <v>34</v>
      </c>
      <c r="R53" s="14">
        <f>+'Real vs Q10'!L62</f>
        <v>4</v>
      </c>
      <c r="S53" s="14">
        <v>20</v>
      </c>
      <c r="T53" s="13"/>
      <c r="U53" s="13">
        <f t="shared" si="23"/>
        <v>20</v>
      </c>
      <c r="V53" s="14">
        <f t="shared" si="98"/>
        <v>1</v>
      </c>
      <c r="W53" s="13">
        <f>C53</f>
        <v>1</v>
      </c>
      <c r="X53" s="13">
        <f t="shared" si="99"/>
        <v>14</v>
      </c>
      <c r="Y53" s="15">
        <v>1</v>
      </c>
      <c r="Z53" s="15">
        <f>+'Real vs Q10'!R62</f>
        <v>3</v>
      </c>
      <c r="AA53" s="15"/>
      <c r="AB53" s="15">
        <f>+'Real vs Q10'!S62</f>
        <v>23</v>
      </c>
      <c r="AC53" s="15">
        <f t="shared" si="104"/>
        <v>26</v>
      </c>
      <c r="AD53" s="15">
        <f>+'Real vs Q10'!V62</f>
        <v>14</v>
      </c>
      <c r="AE53" s="14">
        <f t="shared" si="105"/>
        <v>1</v>
      </c>
      <c r="AF53" s="11">
        <v>0</v>
      </c>
      <c r="AG53" s="11">
        <v>0</v>
      </c>
      <c r="AH53" s="11">
        <f t="shared" si="7"/>
        <v>0</v>
      </c>
      <c r="AI53" s="11"/>
      <c r="AJ53" s="11"/>
      <c r="AK53" s="11">
        <f t="shared" si="100"/>
        <v>0</v>
      </c>
      <c r="AL53" s="11">
        <f t="shared" si="54"/>
        <v>6</v>
      </c>
      <c r="AM53" s="11">
        <v>32</v>
      </c>
      <c r="AN53" s="16">
        <f>+'Real vs Q10'!W62</f>
        <v>2</v>
      </c>
      <c r="AO53" s="16">
        <v>13</v>
      </c>
      <c r="AP53" s="11"/>
      <c r="AQ53" s="13">
        <f t="shared" si="24"/>
        <v>13</v>
      </c>
      <c r="AR53" s="14">
        <f t="shared" ref="AR53:AR64" si="106">+IF(AO53=0,0,IF(AO53&lt;=34,1,ROUNDUP(AO53/34,0)))</f>
        <v>1</v>
      </c>
      <c r="AS53" s="11">
        <v>1</v>
      </c>
      <c r="AT53" s="11"/>
      <c r="AU53" s="11">
        <f t="shared" si="101"/>
        <v>19</v>
      </c>
    </row>
    <row r="54" spans="1:66" s="2" customFormat="1" x14ac:dyDescent="0.25">
      <c r="A54" s="227"/>
      <c r="B54" s="10" t="s">
        <v>46</v>
      </c>
      <c r="C54" s="11">
        <v>1</v>
      </c>
      <c r="D54" s="11">
        <f>+'Real vs Q10'!G56</f>
        <v>0</v>
      </c>
      <c r="E54" s="11"/>
      <c r="F54" s="11">
        <f>+'Real vs Q10'!H56</f>
        <v>35</v>
      </c>
      <c r="G54" s="11">
        <f t="shared" si="102"/>
        <v>35</v>
      </c>
      <c r="H54" s="11">
        <f>+'Real vs Q10'!K56</f>
        <v>25</v>
      </c>
      <c r="I54" s="11">
        <f t="shared" si="103"/>
        <v>1</v>
      </c>
      <c r="J54" s="11">
        <v>1</v>
      </c>
      <c r="K54" s="12">
        <v>0</v>
      </c>
      <c r="L54" s="11">
        <f t="shared" si="2"/>
        <v>1</v>
      </c>
      <c r="M54" s="13"/>
      <c r="N54" s="13">
        <v>2</v>
      </c>
      <c r="O54" s="13">
        <f t="shared" si="3"/>
        <v>2</v>
      </c>
      <c r="P54" s="13">
        <f t="shared" si="50"/>
        <v>-1</v>
      </c>
      <c r="Q54" s="13">
        <v>34</v>
      </c>
      <c r="R54" s="14">
        <f>+'Real vs Q10'!L56</f>
        <v>8</v>
      </c>
      <c r="S54" s="14">
        <v>23</v>
      </c>
      <c r="T54" s="13"/>
      <c r="U54" s="13">
        <f t="shared" si="23"/>
        <v>23</v>
      </c>
      <c r="V54" s="14">
        <f t="shared" si="98"/>
        <v>1</v>
      </c>
      <c r="W54" s="13">
        <f>C54</f>
        <v>1</v>
      </c>
      <c r="X54" s="13">
        <f t="shared" si="99"/>
        <v>11</v>
      </c>
      <c r="Y54" s="15">
        <v>2</v>
      </c>
      <c r="Z54" s="15">
        <f>'Real vs Q10'!R56</f>
        <v>2</v>
      </c>
      <c r="AA54" s="15"/>
      <c r="AB54" s="15">
        <f>+'Real vs Q10'!S56</f>
        <v>42</v>
      </c>
      <c r="AC54" s="15">
        <f t="shared" si="104"/>
        <v>44</v>
      </c>
      <c r="AD54" s="15">
        <f>+'Real vs Q10'!V56</f>
        <v>30</v>
      </c>
      <c r="AE54" s="14">
        <f t="shared" si="105"/>
        <v>1</v>
      </c>
      <c r="AF54" s="11">
        <v>1</v>
      </c>
      <c r="AG54" s="11">
        <v>0</v>
      </c>
      <c r="AH54" s="11">
        <f t="shared" si="7"/>
        <v>1</v>
      </c>
      <c r="AI54" s="11"/>
      <c r="AJ54" s="11">
        <v>2</v>
      </c>
      <c r="AK54" s="11">
        <f t="shared" si="100"/>
        <v>2</v>
      </c>
      <c r="AL54" s="11">
        <f t="shared" si="54"/>
        <v>24</v>
      </c>
      <c r="AM54" s="11">
        <v>68</v>
      </c>
      <c r="AN54" s="16">
        <f>+'Real vs Q10'!W56</f>
        <v>5</v>
      </c>
      <c r="AO54" s="16">
        <v>29</v>
      </c>
      <c r="AP54" s="11"/>
      <c r="AQ54" s="13">
        <f t="shared" si="24"/>
        <v>29</v>
      </c>
      <c r="AR54" s="14">
        <f t="shared" si="106"/>
        <v>1</v>
      </c>
      <c r="AS54" s="11">
        <v>2</v>
      </c>
      <c r="AT54" s="11"/>
      <c r="AU54" s="11">
        <f t="shared" si="101"/>
        <v>39</v>
      </c>
    </row>
    <row r="55" spans="1:66" s="2" customFormat="1" x14ac:dyDescent="0.25">
      <c r="A55" s="227"/>
      <c r="B55" s="10" t="s">
        <v>47</v>
      </c>
      <c r="C55" s="11">
        <v>1</v>
      </c>
      <c r="D55" s="11">
        <f>+'Real vs Q10'!G58</f>
        <v>13</v>
      </c>
      <c r="E55" s="11"/>
      <c r="F55" s="11">
        <f>+'Real vs Q10'!H58</f>
        <v>21</v>
      </c>
      <c r="G55" s="11">
        <f t="shared" si="102"/>
        <v>34</v>
      </c>
      <c r="H55" s="11">
        <f>+'Real vs Q10'!K58</f>
        <v>23</v>
      </c>
      <c r="I55" s="11">
        <f t="shared" si="103"/>
        <v>1</v>
      </c>
      <c r="J55" s="11">
        <v>0</v>
      </c>
      <c r="K55" s="12">
        <v>0</v>
      </c>
      <c r="L55" s="11">
        <f t="shared" si="2"/>
        <v>0</v>
      </c>
      <c r="M55" s="13">
        <v>1</v>
      </c>
      <c r="N55" s="13"/>
      <c r="O55" s="13">
        <f t="shared" si="3"/>
        <v>1</v>
      </c>
      <c r="P55" s="13">
        <f t="shared" si="50"/>
        <v>0</v>
      </c>
      <c r="Q55" s="13">
        <v>34</v>
      </c>
      <c r="R55" s="14">
        <f>+'Real vs Q10'!L58</f>
        <v>5</v>
      </c>
      <c r="S55" s="14">
        <v>23</v>
      </c>
      <c r="T55" s="13"/>
      <c r="U55" s="13">
        <f t="shared" si="23"/>
        <v>23</v>
      </c>
      <c r="V55" s="14">
        <f t="shared" si="98"/>
        <v>1</v>
      </c>
      <c r="W55" s="13">
        <f>C55</f>
        <v>1</v>
      </c>
      <c r="X55" s="13">
        <f t="shared" si="99"/>
        <v>11</v>
      </c>
      <c r="Y55" s="15">
        <v>1</v>
      </c>
      <c r="Z55" s="15">
        <f>'Real vs Q10'!R58</f>
        <v>0</v>
      </c>
      <c r="AA55" s="15"/>
      <c r="AB55" s="15">
        <f>+'Real vs Q10'!S58</f>
        <v>13</v>
      </c>
      <c r="AC55" s="15">
        <f t="shared" si="104"/>
        <v>13</v>
      </c>
      <c r="AD55" s="15">
        <f>+'Real vs Q10'!V58</f>
        <v>5</v>
      </c>
      <c r="AE55" s="14">
        <f t="shared" si="105"/>
        <v>1</v>
      </c>
      <c r="AF55" s="11">
        <v>0</v>
      </c>
      <c r="AG55" s="11">
        <v>0</v>
      </c>
      <c r="AH55" s="11">
        <f t="shared" si="7"/>
        <v>0</v>
      </c>
      <c r="AI55" s="11"/>
      <c r="AJ55" s="11"/>
      <c r="AK55" s="11">
        <f t="shared" si="100"/>
        <v>0</v>
      </c>
      <c r="AL55" s="11">
        <f t="shared" si="54"/>
        <v>21</v>
      </c>
      <c r="AM55" s="11">
        <v>34</v>
      </c>
      <c r="AN55" s="16">
        <f>+'Real vs Q10'!W58</f>
        <v>2</v>
      </c>
      <c r="AO55" s="16">
        <v>0</v>
      </c>
      <c r="AP55" s="11"/>
      <c r="AQ55" s="67">
        <v>0</v>
      </c>
      <c r="AR55" s="14">
        <f t="shared" si="106"/>
        <v>0</v>
      </c>
      <c r="AS55" s="11">
        <v>1</v>
      </c>
      <c r="AT55" s="11"/>
      <c r="AU55" s="11">
        <f t="shared" si="101"/>
        <v>34</v>
      </c>
    </row>
    <row r="56" spans="1:66" s="2" customFormat="1" x14ac:dyDescent="0.25">
      <c r="A56" s="227"/>
      <c r="B56" s="10" t="s">
        <v>51</v>
      </c>
      <c r="C56" s="11">
        <v>1</v>
      </c>
      <c r="D56" s="11">
        <f>+'Real vs Q10'!G61</f>
        <v>2</v>
      </c>
      <c r="E56" s="11"/>
      <c r="F56" s="11">
        <f>+'Real vs Q10'!H61</f>
        <v>26</v>
      </c>
      <c r="G56" s="11">
        <f t="shared" si="102"/>
        <v>28</v>
      </c>
      <c r="H56" s="11">
        <f>+'Real vs Q10'!K61</f>
        <v>19</v>
      </c>
      <c r="I56" s="11">
        <f t="shared" si="103"/>
        <v>1</v>
      </c>
      <c r="J56" s="11">
        <v>1</v>
      </c>
      <c r="K56" s="12">
        <v>0</v>
      </c>
      <c r="L56" s="11">
        <f t="shared" si="2"/>
        <v>1</v>
      </c>
      <c r="M56" s="13">
        <v>1</v>
      </c>
      <c r="N56" s="13">
        <v>1</v>
      </c>
      <c r="O56" s="13">
        <f t="shared" si="3"/>
        <v>2</v>
      </c>
      <c r="P56" s="13">
        <f t="shared" si="50"/>
        <v>6</v>
      </c>
      <c r="Q56" s="13">
        <v>34</v>
      </c>
      <c r="R56" s="14">
        <f>+'Real vs Q10'!L61</f>
        <v>8</v>
      </c>
      <c r="S56" s="14">
        <v>18</v>
      </c>
      <c r="T56" s="13"/>
      <c r="U56" s="13">
        <f t="shared" si="23"/>
        <v>18</v>
      </c>
      <c r="V56" s="14">
        <f t="shared" si="98"/>
        <v>1</v>
      </c>
      <c r="W56" s="13">
        <v>0.5</v>
      </c>
      <c r="X56" s="13">
        <f t="shared" si="99"/>
        <v>16</v>
      </c>
      <c r="Y56" s="15">
        <v>0</v>
      </c>
      <c r="Z56" s="15">
        <f>'Real vs Q10'!R61</f>
        <v>0</v>
      </c>
      <c r="AA56" s="15"/>
      <c r="AB56" s="15">
        <f>+'Real vs Q10'!S61</f>
        <v>0</v>
      </c>
      <c r="AC56" s="15">
        <f t="shared" si="104"/>
        <v>0</v>
      </c>
      <c r="AD56" s="15">
        <f>+'Real vs Q10'!V61</f>
        <v>0</v>
      </c>
      <c r="AE56" s="14">
        <f t="shared" si="105"/>
        <v>0</v>
      </c>
      <c r="AF56" s="11">
        <v>0</v>
      </c>
      <c r="AG56" s="11">
        <v>0</v>
      </c>
      <c r="AH56" s="11">
        <f t="shared" si="7"/>
        <v>0</v>
      </c>
      <c r="AI56" s="11"/>
      <c r="AJ56" s="11"/>
      <c r="AK56" s="11">
        <f t="shared" si="100"/>
        <v>0</v>
      </c>
      <c r="AL56" s="11">
        <f t="shared" si="54"/>
        <v>0</v>
      </c>
      <c r="AM56" s="11">
        <v>0</v>
      </c>
      <c r="AN56" s="16">
        <f>+'Real vs Q10'!W61</f>
        <v>0</v>
      </c>
      <c r="AO56" s="16">
        <v>0</v>
      </c>
      <c r="AP56" s="11"/>
      <c r="AQ56" s="13">
        <f t="shared" si="24"/>
        <v>0</v>
      </c>
      <c r="AR56" s="14">
        <f t="shared" si="106"/>
        <v>0</v>
      </c>
      <c r="AS56" s="11">
        <v>0</v>
      </c>
      <c r="AT56" s="11"/>
      <c r="AU56" s="11">
        <f t="shared" si="101"/>
        <v>0</v>
      </c>
    </row>
    <row r="57" spans="1:66" s="2" customFormat="1" x14ac:dyDescent="0.25">
      <c r="A57" s="227"/>
      <c r="B57" s="10" t="s">
        <v>52</v>
      </c>
      <c r="C57" s="11">
        <v>1</v>
      </c>
      <c r="D57" s="11">
        <f>+'Real vs Q10'!G51</f>
        <v>4</v>
      </c>
      <c r="E57" s="11"/>
      <c r="F57" s="11">
        <f>+'Real vs Q10'!H51</f>
        <v>28</v>
      </c>
      <c r="G57" s="11">
        <f t="shared" si="102"/>
        <v>32</v>
      </c>
      <c r="H57" s="11">
        <f>+'Real vs Q10'!K51</f>
        <v>23</v>
      </c>
      <c r="I57" s="11">
        <f t="shared" si="103"/>
        <v>1</v>
      </c>
      <c r="J57" s="11">
        <v>1</v>
      </c>
      <c r="K57" s="12">
        <v>0</v>
      </c>
      <c r="L57" s="11">
        <f t="shared" si="2"/>
        <v>1</v>
      </c>
      <c r="M57" s="13"/>
      <c r="N57" s="13"/>
      <c r="O57" s="13">
        <f t="shared" si="3"/>
        <v>0</v>
      </c>
      <c r="P57" s="13">
        <f t="shared" si="50"/>
        <v>2</v>
      </c>
      <c r="Q57" s="13">
        <v>34</v>
      </c>
      <c r="R57" s="14">
        <f>+'Real vs Q10'!L51</f>
        <v>8</v>
      </c>
      <c r="S57" s="14">
        <v>20</v>
      </c>
      <c r="T57" s="13"/>
      <c r="U57" s="13">
        <f t="shared" si="23"/>
        <v>20</v>
      </c>
      <c r="V57" s="14">
        <f t="shared" si="98"/>
        <v>1</v>
      </c>
      <c r="W57" s="13">
        <v>1</v>
      </c>
      <c r="X57" s="13">
        <f t="shared" si="99"/>
        <v>14</v>
      </c>
      <c r="Y57" s="15">
        <v>0</v>
      </c>
      <c r="Z57" s="15">
        <f>'Real vs Q10'!R51</f>
        <v>0</v>
      </c>
      <c r="AA57" s="15"/>
      <c r="AB57" s="15">
        <f>+'Real vs Q10'!S51</f>
        <v>0</v>
      </c>
      <c r="AC57" s="15">
        <f t="shared" si="104"/>
        <v>0</v>
      </c>
      <c r="AD57" s="15">
        <f>+'Real vs Q10'!V51</f>
        <v>0</v>
      </c>
      <c r="AE57" s="14">
        <f t="shared" si="105"/>
        <v>0</v>
      </c>
      <c r="AF57" s="11">
        <v>0</v>
      </c>
      <c r="AG57" s="11">
        <v>0</v>
      </c>
      <c r="AH57" s="11">
        <v>0</v>
      </c>
      <c r="AI57" s="11"/>
      <c r="AJ57" s="11"/>
      <c r="AK57" s="11">
        <f t="shared" si="100"/>
        <v>0</v>
      </c>
      <c r="AL57" s="11">
        <f t="shared" si="54"/>
        <v>0</v>
      </c>
      <c r="AM57" s="11">
        <v>0</v>
      </c>
      <c r="AN57" s="16">
        <f>+'Real vs Q10'!W51</f>
        <v>0</v>
      </c>
      <c r="AO57" s="16">
        <v>0</v>
      </c>
      <c r="AP57" s="11"/>
      <c r="AQ57" s="13">
        <f t="shared" si="24"/>
        <v>0</v>
      </c>
      <c r="AR57" s="14">
        <f t="shared" si="106"/>
        <v>0</v>
      </c>
      <c r="AS57" s="11">
        <v>0</v>
      </c>
      <c r="AT57" s="11"/>
      <c r="AU57" s="11">
        <f t="shared" si="101"/>
        <v>0</v>
      </c>
    </row>
    <row r="58" spans="1:66" s="2" customFormat="1" x14ac:dyDescent="0.25">
      <c r="A58" s="227"/>
      <c r="B58" s="10" t="s">
        <v>53</v>
      </c>
      <c r="C58" s="11">
        <v>1</v>
      </c>
      <c r="D58" s="11">
        <f>+'Real vs Q10'!G57</f>
        <v>6</v>
      </c>
      <c r="E58" s="11"/>
      <c r="F58" s="11">
        <f>+'Real vs Q10'!H57</f>
        <v>26</v>
      </c>
      <c r="G58" s="11">
        <f t="shared" si="102"/>
        <v>32</v>
      </c>
      <c r="H58" s="11">
        <f>+'Real vs Q10'!K57</f>
        <v>24</v>
      </c>
      <c r="I58" s="11">
        <f>+IF(H58=0,0,IF(H58&lt;=34,1,ROUNDUP(H58/34,0)))</f>
        <v>1</v>
      </c>
      <c r="J58" s="11">
        <v>0</v>
      </c>
      <c r="K58" s="12">
        <v>0</v>
      </c>
      <c r="L58" s="11">
        <f t="shared" si="2"/>
        <v>0</v>
      </c>
      <c r="M58" s="13"/>
      <c r="N58" s="13"/>
      <c r="O58" s="13">
        <f t="shared" si="3"/>
        <v>0</v>
      </c>
      <c r="P58" s="13">
        <f t="shared" si="50"/>
        <v>2</v>
      </c>
      <c r="Q58" s="13">
        <v>34</v>
      </c>
      <c r="R58" s="14">
        <f>+'Real vs Q10'!L57</f>
        <v>5</v>
      </c>
      <c r="S58" s="14">
        <v>23</v>
      </c>
      <c r="T58" s="13"/>
      <c r="U58" s="13">
        <f t="shared" si="23"/>
        <v>23</v>
      </c>
      <c r="V58" s="14">
        <f t="shared" si="98"/>
        <v>1</v>
      </c>
      <c r="W58" s="13">
        <v>0.5</v>
      </c>
      <c r="X58" s="13">
        <f t="shared" si="99"/>
        <v>11</v>
      </c>
      <c r="Y58" s="15">
        <v>0</v>
      </c>
      <c r="Z58" s="15">
        <f>'Real vs Q10'!R57</f>
        <v>0</v>
      </c>
      <c r="AA58" s="15"/>
      <c r="AB58" s="15">
        <f>+'Real vs Q10'!S57</f>
        <v>0</v>
      </c>
      <c r="AC58" s="15">
        <f t="shared" si="104"/>
        <v>0</v>
      </c>
      <c r="AD58" s="15">
        <f>+'Real vs Q10'!V57</f>
        <v>0</v>
      </c>
      <c r="AE58" s="14">
        <f t="shared" si="105"/>
        <v>0</v>
      </c>
      <c r="AF58" s="11">
        <v>0</v>
      </c>
      <c r="AG58" s="11">
        <v>0</v>
      </c>
      <c r="AH58" s="11">
        <f t="shared" si="7"/>
        <v>0</v>
      </c>
      <c r="AI58" s="11"/>
      <c r="AJ58" s="11"/>
      <c r="AK58" s="11">
        <f t="shared" si="100"/>
        <v>0</v>
      </c>
      <c r="AL58" s="11">
        <f t="shared" si="54"/>
        <v>0</v>
      </c>
      <c r="AM58" s="11">
        <v>0</v>
      </c>
      <c r="AN58" s="16">
        <f>+'Real vs Q10'!W57</f>
        <v>0</v>
      </c>
      <c r="AO58" s="16">
        <v>0</v>
      </c>
      <c r="AP58" s="11"/>
      <c r="AQ58" s="13">
        <f t="shared" si="24"/>
        <v>0</v>
      </c>
      <c r="AR58" s="14">
        <f t="shared" si="106"/>
        <v>0</v>
      </c>
      <c r="AS58" s="11">
        <v>0</v>
      </c>
      <c r="AT58" s="11"/>
      <c r="AU58" s="11">
        <f t="shared" si="101"/>
        <v>0</v>
      </c>
    </row>
    <row r="59" spans="1:66" s="2" customFormat="1" x14ac:dyDescent="0.25">
      <c r="A59" s="227"/>
      <c r="B59" s="10" t="s">
        <v>54</v>
      </c>
      <c r="C59" s="11">
        <v>1</v>
      </c>
      <c r="D59" s="11">
        <f>+'Real vs Q10'!G60</f>
        <v>3</v>
      </c>
      <c r="E59" s="11"/>
      <c r="F59" s="11">
        <f>+'Real vs Q10'!H60</f>
        <v>30</v>
      </c>
      <c r="G59" s="11">
        <f t="shared" si="102"/>
        <v>33</v>
      </c>
      <c r="H59" s="11">
        <f>+'Real vs Q10'!K60</f>
        <v>23</v>
      </c>
      <c r="I59" s="11">
        <f t="shared" si="103"/>
        <v>1</v>
      </c>
      <c r="J59" s="11">
        <v>1</v>
      </c>
      <c r="K59" s="12">
        <v>0</v>
      </c>
      <c r="L59" s="11">
        <f t="shared" si="2"/>
        <v>1</v>
      </c>
      <c r="M59" s="13">
        <v>1</v>
      </c>
      <c r="N59" s="13">
        <v>1</v>
      </c>
      <c r="O59" s="13">
        <f t="shared" si="3"/>
        <v>2</v>
      </c>
      <c r="P59" s="13">
        <f t="shared" si="50"/>
        <v>-1</v>
      </c>
      <c r="Q59" s="13">
        <v>32</v>
      </c>
      <c r="R59" s="14">
        <f>+'Real vs Q10'!L60</f>
        <v>14</v>
      </c>
      <c r="S59" s="14">
        <v>28</v>
      </c>
      <c r="T59" s="13"/>
      <c r="U59" s="13">
        <f t="shared" si="23"/>
        <v>28</v>
      </c>
      <c r="V59" s="14">
        <f t="shared" si="98"/>
        <v>1</v>
      </c>
      <c r="W59" s="13">
        <v>0.5</v>
      </c>
      <c r="X59" s="13">
        <f t="shared" si="99"/>
        <v>4</v>
      </c>
      <c r="Y59" s="42">
        <v>1</v>
      </c>
      <c r="Z59" s="15">
        <f>'Real vs Q10'!R60</f>
        <v>0</v>
      </c>
      <c r="AA59" s="15"/>
      <c r="AB59" s="15">
        <f>+'Real vs Q10'!S60</f>
        <v>10</v>
      </c>
      <c r="AC59" s="15">
        <f t="shared" si="104"/>
        <v>10</v>
      </c>
      <c r="AD59" s="15">
        <f>+'Real vs Q10'!V60</f>
        <v>4</v>
      </c>
      <c r="AE59" s="14">
        <f t="shared" si="105"/>
        <v>1</v>
      </c>
      <c r="AF59" s="11">
        <v>1</v>
      </c>
      <c r="AG59" s="11">
        <v>0</v>
      </c>
      <c r="AH59" s="11">
        <v>0</v>
      </c>
      <c r="AI59" s="11"/>
      <c r="AJ59" s="11"/>
      <c r="AK59" s="11">
        <f t="shared" si="100"/>
        <v>0</v>
      </c>
      <c r="AL59" s="11">
        <f t="shared" si="54"/>
        <v>22</v>
      </c>
      <c r="AM59" s="11">
        <v>32</v>
      </c>
      <c r="AN59" s="16">
        <f>+'Real vs Q10'!W60</f>
        <v>5</v>
      </c>
      <c r="AO59" s="216">
        <v>0</v>
      </c>
      <c r="AP59" s="11"/>
      <c r="AQ59" s="13">
        <f t="shared" si="24"/>
        <v>0</v>
      </c>
      <c r="AR59" s="219">
        <f>+IF(AO59=0,0,IF(AO59&lt;=34,1,ROUNDUP(AO59/34,0)))</f>
        <v>0</v>
      </c>
      <c r="AS59" s="11">
        <v>0</v>
      </c>
      <c r="AT59" s="11" t="s">
        <v>65</v>
      </c>
      <c r="AU59" s="11">
        <f t="shared" si="101"/>
        <v>32</v>
      </c>
    </row>
    <row r="60" spans="1:66" s="2" customFormat="1" x14ac:dyDescent="0.25">
      <c r="A60" s="227"/>
      <c r="B60" s="10" t="s">
        <v>55</v>
      </c>
      <c r="C60" s="11">
        <v>1</v>
      </c>
      <c r="D60" s="11">
        <f>+'Real vs Q10'!G59</f>
        <v>0</v>
      </c>
      <c r="E60" s="11"/>
      <c r="F60" s="11">
        <f>+'Real vs Q10'!H59</f>
        <v>21</v>
      </c>
      <c r="G60" s="11">
        <f t="shared" si="102"/>
        <v>21</v>
      </c>
      <c r="H60" s="11">
        <f>+'Real vs Q10'!K59</f>
        <v>10</v>
      </c>
      <c r="I60" s="11">
        <f t="shared" si="103"/>
        <v>1</v>
      </c>
      <c r="J60" s="11">
        <v>0</v>
      </c>
      <c r="K60" s="12">
        <v>0</v>
      </c>
      <c r="L60" s="11">
        <f t="shared" si="2"/>
        <v>0</v>
      </c>
      <c r="M60" s="13"/>
      <c r="N60" s="13"/>
      <c r="O60" s="13">
        <f t="shared" si="3"/>
        <v>0</v>
      </c>
      <c r="P60" s="13">
        <f t="shared" si="50"/>
        <v>13</v>
      </c>
      <c r="Q60" s="13">
        <v>34</v>
      </c>
      <c r="R60" s="14">
        <f>+'Real vs Q10'!L59</f>
        <v>9</v>
      </c>
      <c r="S60" s="14">
        <v>13</v>
      </c>
      <c r="T60" s="13"/>
      <c r="U60" s="13">
        <f t="shared" si="23"/>
        <v>13</v>
      </c>
      <c r="V60" s="14">
        <f t="shared" si="98"/>
        <v>1</v>
      </c>
      <c r="W60" s="13">
        <v>0.5</v>
      </c>
      <c r="X60" s="13">
        <f t="shared" si="99"/>
        <v>21</v>
      </c>
      <c r="Y60" s="15">
        <v>0</v>
      </c>
      <c r="Z60" s="15">
        <f>'Real vs Q10'!R59</f>
        <v>0</v>
      </c>
      <c r="AA60" s="15"/>
      <c r="AB60" s="15">
        <f>+'Real vs Q10'!S59</f>
        <v>0</v>
      </c>
      <c r="AC60" s="15">
        <f t="shared" si="104"/>
        <v>0</v>
      </c>
      <c r="AD60" s="15">
        <f>+'Real vs Q10'!V59</f>
        <v>0</v>
      </c>
      <c r="AE60" s="14">
        <f t="shared" si="105"/>
        <v>0</v>
      </c>
      <c r="AF60" s="11">
        <v>0</v>
      </c>
      <c r="AG60" s="11">
        <v>0</v>
      </c>
      <c r="AH60" s="11">
        <f t="shared" si="7"/>
        <v>0</v>
      </c>
      <c r="AI60" s="11"/>
      <c r="AJ60" s="11"/>
      <c r="AK60" s="11">
        <f t="shared" si="100"/>
        <v>0</v>
      </c>
      <c r="AL60" s="11">
        <f t="shared" si="54"/>
        <v>0</v>
      </c>
      <c r="AM60" s="11">
        <v>0</v>
      </c>
      <c r="AN60" s="16">
        <f>+'Real vs Q10'!W59</f>
        <v>0</v>
      </c>
      <c r="AO60" s="16">
        <v>0</v>
      </c>
      <c r="AP60" s="11"/>
      <c r="AQ60" s="13">
        <f t="shared" si="24"/>
        <v>0</v>
      </c>
      <c r="AR60" s="14">
        <f t="shared" si="106"/>
        <v>0</v>
      </c>
      <c r="AS60" s="11">
        <v>0</v>
      </c>
      <c r="AT60" s="11"/>
      <c r="AU60" s="11">
        <f t="shared" si="101"/>
        <v>0</v>
      </c>
    </row>
    <row r="61" spans="1:66" s="2" customFormat="1" x14ac:dyDescent="0.25">
      <c r="A61" s="227"/>
      <c r="B61" s="10" t="s">
        <v>57</v>
      </c>
      <c r="C61" s="11">
        <v>1</v>
      </c>
      <c r="D61" s="11">
        <f>+'Real vs Q10'!G55</f>
        <v>0</v>
      </c>
      <c r="E61" s="11"/>
      <c r="F61" s="11">
        <f>+'Real vs Q10'!H55</f>
        <v>33</v>
      </c>
      <c r="G61" s="11">
        <f t="shared" si="102"/>
        <v>33</v>
      </c>
      <c r="H61" s="11">
        <f>+'Real vs Q10'!K55</f>
        <v>27</v>
      </c>
      <c r="I61" s="11">
        <f t="shared" si="103"/>
        <v>1</v>
      </c>
      <c r="J61" s="11">
        <v>1</v>
      </c>
      <c r="K61" s="12">
        <v>0</v>
      </c>
      <c r="L61" s="11">
        <f t="shared" si="2"/>
        <v>1</v>
      </c>
      <c r="M61" s="13"/>
      <c r="N61" s="13">
        <v>1</v>
      </c>
      <c r="O61" s="13">
        <f t="shared" si="3"/>
        <v>1</v>
      </c>
      <c r="P61" s="13">
        <f t="shared" si="50"/>
        <v>1</v>
      </c>
      <c r="Q61" s="13">
        <v>34</v>
      </c>
      <c r="R61" s="14">
        <f>+'Real vs Q10'!L55</f>
        <v>7</v>
      </c>
      <c r="S61" s="14">
        <v>20</v>
      </c>
      <c r="T61" s="13"/>
      <c r="U61" s="13">
        <f t="shared" si="23"/>
        <v>20</v>
      </c>
      <c r="V61" s="14">
        <f t="shared" si="98"/>
        <v>1</v>
      </c>
      <c r="W61" s="13">
        <v>0.5</v>
      </c>
      <c r="X61" s="13">
        <f t="shared" si="99"/>
        <v>14</v>
      </c>
      <c r="Y61" s="15">
        <v>1</v>
      </c>
      <c r="Z61" s="15">
        <f>'Real vs Q10'!R55</f>
        <v>0</v>
      </c>
      <c r="AA61" s="15"/>
      <c r="AB61" s="15">
        <f>+'Real vs Q10'!S55</f>
        <v>15</v>
      </c>
      <c r="AC61" s="15">
        <f t="shared" si="104"/>
        <v>15</v>
      </c>
      <c r="AD61" s="15">
        <f>+'Real vs Q10'!V55</f>
        <v>9</v>
      </c>
      <c r="AE61" s="14">
        <f t="shared" si="105"/>
        <v>1</v>
      </c>
      <c r="AF61" s="11">
        <v>0</v>
      </c>
      <c r="AG61" s="11">
        <v>0</v>
      </c>
      <c r="AH61" s="11">
        <f t="shared" si="7"/>
        <v>0</v>
      </c>
      <c r="AI61" s="11"/>
      <c r="AJ61" s="11"/>
      <c r="AK61" s="11">
        <f t="shared" si="100"/>
        <v>0</v>
      </c>
      <c r="AL61" s="11">
        <f t="shared" si="54"/>
        <v>19</v>
      </c>
      <c r="AM61" s="11">
        <v>34</v>
      </c>
      <c r="AN61" s="16">
        <f>+'Real vs Q10'!W55</f>
        <v>1</v>
      </c>
      <c r="AO61" s="16">
        <v>9</v>
      </c>
      <c r="AP61" s="11"/>
      <c r="AQ61" s="13">
        <f t="shared" si="24"/>
        <v>9</v>
      </c>
      <c r="AR61" s="14">
        <f t="shared" si="106"/>
        <v>1</v>
      </c>
      <c r="AS61" s="11">
        <v>0</v>
      </c>
      <c r="AT61" s="11"/>
      <c r="AU61" s="11">
        <f t="shared" si="101"/>
        <v>25</v>
      </c>
    </row>
    <row r="62" spans="1:66" x14ac:dyDescent="0.25">
      <c r="A62" s="227"/>
      <c r="B62" s="10" t="s">
        <v>58</v>
      </c>
      <c r="C62" s="11">
        <v>1</v>
      </c>
      <c r="D62" s="11">
        <f>+'Real vs Q10'!G54</f>
        <v>29</v>
      </c>
      <c r="E62" s="11"/>
      <c r="F62" s="11">
        <f>+'Real vs Q10'!H54</f>
        <v>7</v>
      </c>
      <c r="G62" s="11">
        <f t="shared" si="102"/>
        <v>36</v>
      </c>
      <c r="H62" s="11">
        <f>+'Real vs Q10'!K54</f>
        <v>36</v>
      </c>
      <c r="I62" s="11">
        <f t="shared" si="103"/>
        <v>2</v>
      </c>
      <c r="J62" s="11">
        <v>0</v>
      </c>
      <c r="K62" s="12">
        <v>5</v>
      </c>
      <c r="L62" s="11">
        <v>5</v>
      </c>
      <c r="M62" s="13">
        <v>3</v>
      </c>
      <c r="N62" s="13"/>
      <c r="O62" s="13">
        <f t="shared" si="3"/>
        <v>3</v>
      </c>
      <c r="P62" s="13">
        <f t="shared" si="50"/>
        <v>-2</v>
      </c>
      <c r="Q62" s="13">
        <v>34</v>
      </c>
      <c r="R62" s="14">
        <f>+'Real vs Q10'!L54</f>
        <v>58</v>
      </c>
      <c r="S62" s="14">
        <v>30</v>
      </c>
      <c r="T62" s="13"/>
      <c r="U62" s="13">
        <f t="shared" si="23"/>
        <v>30</v>
      </c>
      <c r="V62" s="14">
        <f t="shared" si="98"/>
        <v>1</v>
      </c>
      <c r="W62" s="13">
        <f>C62</f>
        <v>1</v>
      </c>
      <c r="X62" s="13">
        <f t="shared" si="99"/>
        <v>4</v>
      </c>
      <c r="Y62" s="15">
        <v>1</v>
      </c>
      <c r="Z62" s="15">
        <f>'Real vs Q10'!R54</f>
        <v>0</v>
      </c>
      <c r="AA62" s="15"/>
      <c r="AB62" s="15">
        <f>+'Real vs Q10'!S54</f>
        <v>31</v>
      </c>
      <c r="AC62" s="15">
        <f t="shared" si="104"/>
        <v>31</v>
      </c>
      <c r="AD62" s="15">
        <f>+'Real vs Q10'!V54</f>
        <v>19</v>
      </c>
      <c r="AE62" s="14">
        <f t="shared" si="105"/>
        <v>1</v>
      </c>
      <c r="AF62" s="11">
        <v>0</v>
      </c>
      <c r="AG62" s="11">
        <v>0</v>
      </c>
      <c r="AH62" s="11">
        <f t="shared" si="7"/>
        <v>0</v>
      </c>
      <c r="AI62" s="11"/>
      <c r="AJ62" s="11"/>
      <c r="AK62" s="11">
        <f t="shared" si="100"/>
        <v>0</v>
      </c>
      <c r="AL62" s="11">
        <f t="shared" si="54"/>
        <v>3</v>
      </c>
      <c r="AM62" s="11">
        <v>34</v>
      </c>
      <c r="AN62" s="16">
        <f>+'Real vs Q10'!W54</f>
        <v>3</v>
      </c>
      <c r="AO62" s="16">
        <v>14</v>
      </c>
      <c r="AP62" s="11"/>
      <c r="AQ62" s="13">
        <f t="shared" si="24"/>
        <v>14</v>
      </c>
      <c r="AR62" s="14">
        <f t="shared" si="106"/>
        <v>1</v>
      </c>
      <c r="AS62" s="11">
        <v>0</v>
      </c>
      <c r="AT62" s="11"/>
      <c r="AU62" s="11">
        <f t="shared" si="101"/>
        <v>20</v>
      </c>
    </row>
    <row r="63" spans="1:66" x14ac:dyDescent="0.25">
      <c r="A63" s="227"/>
      <c r="B63" s="10" t="s">
        <v>66</v>
      </c>
      <c r="C63" s="11">
        <v>1</v>
      </c>
      <c r="D63" s="11">
        <f>+'Real vs Q10'!G52</f>
        <v>22</v>
      </c>
      <c r="E63" s="11"/>
      <c r="F63" s="11">
        <f>+'Real vs Q10'!H52</f>
        <v>9</v>
      </c>
      <c r="G63" s="11">
        <f t="shared" si="102"/>
        <v>31</v>
      </c>
      <c r="H63" s="11">
        <f>+'Real vs Q10'!K52</f>
        <v>24</v>
      </c>
      <c r="I63" s="11">
        <f>+IF(H63=0,0,IF(H63&lt;=34,1,ROUNDUP(H63/34,0)))</f>
        <v>1</v>
      </c>
      <c r="J63" s="11">
        <v>0</v>
      </c>
      <c r="K63" s="12">
        <v>3</v>
      </c>
      <c r="L63" s="11">
        <f t="shared" si="2"/>
        <v>3</v>
      </c>
      <c r="M63" s="13">
        <v>2</v>
      </c>
      <c r="N63" s="13"/>
      <c r="O63" s="13">
        <f t="shared" si="3"/>
        <v>2</v>
      </c>
      <c r="P63" s="13">
        <f t="shared" si="50"/>
        <v>3</v>
      </c>
      <c r="Q63" s="13">
        <v>34</v>
      </c>
      <c r="R63" s="14">
        <f>+'Real vs Q10'!L52</f>
        <v>35</v>
      </c>
      <c r="S63" s="14">
        <v>24</v>
      </c>
      <c r="T63" s="13"/>
      <c r="U63" s="13">
        <f t="shared" si="23"/>
        <v>24</v>
      </c>
      <c r="V63" s="14">
        <f t="shared" si="98"/>
        <v>1</v>
      </c>
      <c r="W63" s="13">
        <f>C63</f>
        <v>1</v>
      </c>
      <c r="X63" s="13">
        <f t="shared" si="99"/>
        <v>10</v>
      </c>
      <c r="Y63" s="15">
        <v>1</v>
      </c>
      <c r="Z63" s="15">
        <f>'Real vs Q10'!R52</f>
        <v>2</v>
      </c>
      <c r="AA63" s="15"/>
      <c r="AB63" s="15">
        <f>+'Real vs Q10'!S52</f>
        <v>21</v>
      </c>
      <c r="AC63" s="15">
        <f t="shared" si="104"/>
        <v>23</v>
      </c>
      <c r="AD63" s="15">
        <f>+'Real vs Q10'!V52</f>
        <v>11</v>
      </c>
      <c r="AE63" s="14">
        <f t="shared" si="105"/>
        <v>1</v>
      </c>
      <c r="AF63" s="11">
        <v>0</v>
      </c>
      <c r="AG63" s="11">
        <v>0</v>
      </c>
      <c r="AH63" s="11">
        <f t="shared" si="7"/>
        <v>0</v>
      </c>
      <c r="AI63" s="11"/>
      <c r="AJ63" s="11"/>
      <c r="AK63" s="11">
        <f t="shared" si="100"/>
        <v>0</v>
      </c>
      <c r="AL63" s="11">
        <f t="shared" si="54"/>
        <v>-4</v>
      </c>
      <c r="AM63" s="11">
        <v>19</v>
      </c>
      <c r="AN63" s="16">
        <f>+'Real vs Q10'!W52</f>
        <v>0</v>
      </c>
      <c r="AO63" s="16">
        <v>8</v>
      </c>
      <c r="AP63" s="11"/>
      <c r="AQ63" s="13">
        <f t="shared" si="24"/>
        <v>8</v>
      </c>
      <c r="AR63" s="14">
        <f t="shared" si="106"/>
        <v>1</v>
      </c>
      <c r="AS63" s="11">
        <v>0</v>
      </c>
      <c r="AT63" s="11"/>
      <c r="AU63" s="11">
        <f t="shared" si="101"/>
        <v>11</v>
      </c>
    </row>
    <row r="64" spans="1:66" x14ac:dyDescent="0.25">
      <c r="A64" s="226"/>
      <c r="B64" s="10" t="s">
        <v>67</v>
      </c>
      <c r="C64" s="11"/>
      <c r="D64" s="11"/>
      <c r="E64" s="11"/>
      <c r="F64" s="11"/>
      <c r="G64" s="11"/>
      <c r="H64" s="11"/>
      <c r="I64" s="11">
        <f t="shared" si="103"/>
        <v>0</v>
      </c>
      <c r="J64" s="11"/>
      <c r="K64" s="12"/>
      <c r="M64" s="13">
        <v>1</v>
      </c>
      <c r="N64" s="13"/>
      <c r="O64" s="13">
        <f t="shared" si="3"/>
        <v>1</v>
      </c>
      <c r="P64" s="13"/>
      <c r="Q64" s="13"/>
      <c r="R64" s="14"/>
      <c r="S64" s="14">
        <v>6</v>
      </c>
      <c r="T64" s="13"/>
      <c r="U64" s="13">
        <f t="shared" si="23"/>
        <v>6</v>
      </c>
      <c r="V64" s="14">
        <f t="shared" si="98"/>
        <v>1</v>
      </c>
      <c r="W64" s="13"/>
      <c r="X64" s="13">
        <f t="shared" si="99"/>
        <v>-6</v>
      </c>
      <c r="Y64" s="15"/>
      <c r="Z64" s="15"/>
      <c r="AA64" s="15"/>
      <c r="AB64" s="15"/>
      <c r="AC64" s="15"/>
      <c r="AD64" s="15"/>
      <c r="AE64" s="14">
        <f t="shared" si="105"/>
        <v>0</v>
      </c>
      <c r="AF64" s="11"/>
      <c r="AG64" s="11"/>
      <c r="AH64" s="11" t="s">
        <v>68</v>
      </c>
      <c r="AI64" s="11"/>
      <c r="AJ64" s="11"/>
      <c r="AK64" s="11">
        <f t="shared" si="100"/>
        <v>0</v>
      </c>
      <c r="AL64" s="11"/>
      <c r="AM64" s="11"/>
      <c r="AN64" s="16"/>
      <c r="AO64" s="16">
        <v>1</v>
      </c>
      <c r="AP64" s="11"/>
      <c r="AQ64" s="13">
        <f t="shared" si="24"/>
        <v>1</v>
      </c>
      <c r="AR64" s="14">
        <f t="shared" si="106"/>
        <v>1</v>
      </c>
      <c r="AS64" s="11"/>
      <c r="AT64" s="11"/>
      <c r="AU64" s="11">
        <f t="shared" si="101"/>
        <v>-1</v>
      </c>
    </row>
    <row r="65" spans="1:66" s="21" customFormat="1" x14ac:dyDescent="0.25">
      <c r="A65" s="6"/>
      <c r="B65" s="18"/>
      <c r="C65" s="19">
        <f>SUM(C51:C63)</f>
        <v>13</v>
      </c>
      <c r="D65" s="19">
        <f t="shared" ref="D65:F65" si="107">SUM(D51:D63)</f>
        <v>85</v>
      </c>
      <c r="E65" s="19"/>
      <c r="F65" s="19">
        <f t="shared" si="107"/>
        <v>304</v>
      </c>
      <c r="G65" s="19">
        <f>SUM(G51:G63)</f>
        <v>389</v>
      </c>
      <c r="H65" s="19">
        <f>SUM(H51:H63)</f>
        <v>279</v>
      </c>
      <c r="I65" s="19">
        <f>SUM(I51:I64)</f>
        <v>14</v>
      </c>
      <c r="J65" s="19">
        <f>SUM(J51:J63)</f>
        <v>7</v>
      </c>
      <c r="K65" s="19">
        <f>SUM(K51:K63)</f>
        <v>8</v>
      </c>
      <c r="L65" s="19">
        <f>SUM(L51:L63)</f>
        <v>15</v>
      </c>
      <c r="M65" s="19">
        <f t="shared" ref="M65:O65" si="108">SUM(M51:M63)</f>
        <v>8</v>
      </c>
      <c r="N65" s="19">
        <f t="shared" si="108"/>
        <v>7</v>
      </c>
      <c r="O65" s="19">
        <f t="shared" si="108"/>
        <v>15</v>
      </c>
      <c r="P65" s="20">
        <f>Q65-G65</f>
        <v>40</v>
      </c>
      <c r="Q65" s="19">
        <f>SUM(Q51:Q63)</f>
        <v>429</v>
      </c>
      <c r="R65" s="19">
        <f>SUM(R51:R63)</f>
        <v>163</v>
      </c>
      <c r="S65" s="19">
        <f>SUM(S51:S64)</f>
        <v>272</v>
      </c>
      <c r="T65" s="19">
        <f t="shared" ref="T65" si="109">SUM(T51:T63)</f>
        <v>0</v>
      </c>
      <c r="U65" s="13">
        <f t="shared" si="23"/>
        <v>272</v>
      </c>
      <c r="V65" s="19">
        <f t="shared" ref="V65" si="110">SUM(V51:V63)</f>
        <v>13</v>
      </c>
      <c r="W65" s="19">
        <f>SUM(W51:W63)</f>
        <v>10.5</v>
      </c>
      <c r="X65" s="19">
        <f>SUM(X51:X63)</f>
        <v>163</v>
      </c>
      <c r="Y65" s="19">
        <f>SUM(Y51:Y63)</f>
        <v>10</v>
      </c>
      <c r="Z65" s="19">
        <f>SUM(Z51:Z63)</f>
        <v>7</v>
      </c>
      <c r="AA65" s="19"/>
      <c r="AB65" s="19">
        <f t="shared" ref="AB65" si="111">SUM(AB51:AB63)</f>
        <v>176</v>
      </c>
      <c r="AC65" s="19">
        <f>SUM(AC51:AC63)</f>
        <v>183</v>
      </c>
      <c r="AD65" s="19">
        <f>SUM(AD51:AD63)</f>
        <v>96</v>
      </c>
      <c r="AE65" s="19">
        <f>SUM(AE51:AE64)</f>
        <v>9</v>
      </c>
      <c r="AF65" s="19">
        <f t="shared" ref="AF65:AK65" si="112">SUM(AF51:AF63)</f>
        <v>3</v>
      </c>
      <c r="AG65" s="19">
        <f t="shared" si="112"/>
        <v>0</v>
      </c>
      <c r="AH65" s="19">
        <f t="shared" si="112"/>
        <v>2</v>
      </c>
      <c r="AI65" s="19">
        <f t="shared" si="112"/>
        <v>0</v>
      </c>
      <c r="AJ65" s="19">
        <f t="shared" si="112"/>
        <v>2</v>
      </c>
      <c r="AK65" s="19">
        <f t="shared" si="112"/>
        <v>2</v>
      </c>
      <c r="AL65" s="19">
        <f>AM65-AC65</f>
        <v>120</v>
      </c>
      <c r="AM65" s="19">
        <f>SUM(AM51:AM63)</f>
        <v>303</v>
      </c>
      <c r="AN65" s="19">
        <f>SUM(AN51:AN63)</f>
        <v>21</v>
      </c>
      <c r="AO65" s="19">
        <f>SUM(AO51:AO64)</f>
        <v>75</v>
      </c>
      <c r="AP65" s="19">
        <f>SUM(AP51:AP63)</f>
        <v>0</v>
      </c>
      <c r="AQ65" s="13">
        <f t="shared" si="24"/>
        <v>75</v>
      </c>
      <c r="AR65" s="19">
        <f t="shared" ref="AR65" si="113">SUM(AR51:AR63)</f>
        <v>5</v>
      </c>
      <c r="AS65" s="19">
        <f>SUM(AS51:AS63)</f>
        <v>6</v>
      </c>
      <c r="AT65" s="19"/>
      <c r="AU65" s="19">
        <f>SUM(AU51:AU63)</f>
        <v>229</v>
      </c>
      <c r="AV65" s="2"/>
      <c r="AW65" s="2"/>
      <c r="AX65" s="2"/>
      <c r="AY65" s="2"/>
      <c r="AZ65" s="2"/>
      <c r="BA65" s="2"/>
      <c r="BB65" s="2"/>
      <c r="BC65" s="2"/>
      <c r="BD65" s="2"/>
      <c r="BE65" s="2"/>
      <c r="BF65" s="2"/>
      <c r="BG65" s="2"/>
      <c r="BH65" s="2"/>
      <c r="BI65" s="2"/>
      <c r="BJ65" s="2"/>
      <c r="BK65" s="2"/>
      <c r="BL65" s="2"/>
      <c r="BM65" s="2"/>
      <c r="BN65" s="2"/>
    </row>
    <row r="66" spans="1:66" x14ac:dyDescent="0.25">
      <c r="A66" s="225" t="s">
        <v>69</v>
      </c>
      <c r="B66" s="65" t="s">
        <v>58</v>
      </c>
      <c r="C66" s="41">
        <v>2</v>
      </c>
      <c r="D66" s="41">
        <f>+'Real vs Q10'!G63</f>
        <v>0</v>
      </c>
      <c r="E66" s="41"/>
      <c r="F66" s="41">
        <f>+'Real vs Q10'!H63</f>
        <v>12</v>
      </c>
      <c r="G66" s="41">
        <f>+D66+F66</f>
        <v>12</v>
      </c>
      <c r="H66" s="41">
        <f>+'Real vs Q10'!K63</f>
        <v>5</v>
      </c>
      <c r="I66" s="11">
        <f>+IF(H66=0,0,IF(H66&lt;=34,1,ROUNDUP(H66/34,0)))</f>
        <v>1</v>
      </c>
      <c r="J66" s="41"/>
      <c r="K66" s="66"/>
      <c r="L66" s="41"/>
      <c r="M66" s="67"/>
      <c r="N66" s="67"/>
      <c r="O66" s="13">
        <f t="shared" si="3"/>
        <v>0</v>
      </c>
      <c r="P66" s="67"/>
      <c r="Q66" s="67"/>
      <c r="R66" s="67">
        <f>+'Real vs Q10'!L63</f>
        <v>0</v>
      </c>
      <c r="S66" s="67">
        <v>7</v>
      </c>
      <c r="T66" s="67"/>
      <c r="U66" s="13">
        <f t="shared" si="23"/>
        <v>7</v>
      </c>
      <c r="V66" s="14">
        <f>+IF(S66=0,0,IF(S66&lt;=34,1,ROUNDUP(S66/34,0)))</f>
        <v>1</v>
      </c>
      <c r="W66" s="67"/>
      <c r="X66" s="67">
        <f>+Q66-S66</f>
        <v>-7</v>
      </c>
      <c r="Y66" s="41">
        <v>2</v>
      </c>
      <c r="Z66" s="41">
        <f>+'Real vs Q10'!R63</f>
        <v>0</v>
      </c>
      <c r="AA66" s="41"/>
      <c r="AB66" s="41">
        <f>+'Real vs Q10'!S63</f>
        <v>0</v>
      </c>
      <c r="AC66" s="41">
        <f>+Z66+AB66</f>
        <v>0</v>
      </c>
      <c r="AD66" s="41">
        <f>+'Real vs Q10'!V63</f>
        <v>0</v>
      </c>
      <c r="AE66" s="14">
        <f t="shared" si="105"/>
        <v>0</v>
      </c>
      <c r="AF66" s="41"/>
      <c r="AG66" s="41"/>
      <c r="AH66" s="41"/>
      <c r="AI66" s="41"/>
      <c r="AJ66" s="41"/>
      <c r="AK66" s="11">
        <f>+AI66+AJ66</f>
        <v>0</v>
      </c>
      <c r="AL66" s="41"/>
      <c r="AM66" s="41"/>
      <c r="AN66" s="41">
        <f>+'Real vs Q10'!W63</f>
        <v>0</v>
      </c>
      <c r="AO66" s="41">
        <v>0</v>
      </c>
      <c r="AP66" s="41"/>
      <c r="AQ66" s="13">
        <f t="shared" si="24"/>
        <v>0</v>
      </c>
      <c r="AR66" s="14">
        <f>+IF(AO66=0,0,IF(AO66&lt;=34,1,ROUNDUP(AO66/34,0)))</f>
        <v>0</v>
      </c>
      <c r="AS66" s="41"/>
      <c r="AT66" s="41"/>
      <c r="AU66" s="41">
        <f t="shared" ref="AU66:AU77" si="114">+AM66-AO66</f>
        <v>0</v>
      </c>
      <c r="AV66"/>
      <c r="AW66"/>
      <c r="AX66"/>
      <c r="AY66"/>
      <c r="AZ66"/>
      <c r="BA66"/>
      <c r="BB66"/>
      <c r="BC66"/>
      <c r="BD66"/>
      <c r="BE66"/>
      <c r="BF66"/>
      <c r="BG66"/>
      <c r="BH66"/>
      <c r="BI66"/>
      <c r="BJ66"/>
      <c r="BK66"/>
      <c r="BL66"/>
      <c r="BM66"/>
      <c r="BN66"/>
    </row>
    <row r="67" spans="1:66" x14ac:dyDescent="0.25">
      <c r="A67" s="226"/>
      <c r="B67" s="65" t="s">
        <v>66</v>
      </c>
      <c r="C67" s="41">
        <v>1</v>
      </c>
      <c r="D67" s="41">
        <f>+'Real vs Q10'!G64</f>
        <v>0</v>
      </c>
      <c r="E67" s="41"/>
      <c r="F67" s="41">
        <f>+'Real vs Q10'!H64</f>
        <v>14</v>
      </c>
      <c r="G67" s="41">
        <f>+D67+F67</f>
        <v>14</v>
      </c>
      <c r="H67" s="41">
        <f>+'Real vs Q10'!K64</f>
        <v>11</v>
      </c>
      <c r="I67" s="11">
        <f t="shared" si="103"/>
        <v>1</v>
      </c>
      <c r="J67" s="41"/>
      <c r="K67" s="66"/>
      <c r="L67" s="41"/>
      <c r="M67" s="67"/>
      <c r="N67" s="67"/>
      <c r="O67" s="13">
        <f t="shared" si="3"/>
        <v>0</v>
      </c>
      <c r="P67" s="67"/>
      <c r="Q67" s="67"/>
      <c r="R67" s="67">
        <f>+'Real vs Q10'!L64</f>
        <v>0</v>
      </c>
      <c r="S67" s="67">
        <v>10</v>
      </c>
      <c r="T67" s="67"/>
      <c r="U67" s="13">
        <f t="shared" si="23"/>
        <v>10</v>
      </c>
      <c r="V67" s="14">
        <f>+IF(S67=0,0,IF(S67&lt;=34,1,ROUNDUP(S67/34,0)))</f>
        <v>1</v>
      </c>
      <c r="W67" s="67"/>
      <c r="X67" s="67">
        <f>+Q67-S67</f>
        <v>-10</v>
      </c>
      <c r="Y67" s="41">
        <v>1</v>
      </c>
      <c r="Z67" s="41">
        <f>+'Real vs Q10'!R64</f>
        <v>0</v>
      </c>
      <c r="AA67" s="41"/>
      <c r="AB67" s="41">
        <f>+'Real vs Q10'!S64</f>
        <v>0</v>
      </c>
      <c r="AC67" s="41">
        <f>+Z67+AB67</f>
        <v>0</v>
      </c>
      <c r="AD67" s="41">
        <f>+'Real vs Q10'!V64</f>
        <v>0</v>
      </c>
      <c r="AE67" s="14">
        <f>+IF(AD67=0,0,IF(AD67&lt;=34,1,ROUNDUP(AD67/34,0)))</f>
        <v>0</v>
      </c>
      <c r="AF67" s="41"/>
      <c r="AG67" s="41"/>
      <c r="AH67" s="41"/>
      <c r="AI67" s="41"/>
      <c r="AJ67" s="41"/>
      <c r="AK67" s="11">
        <f>+AI67+AJ67</f>
        <v>0</v>
      </c>
      <c r="AL67" s="41"/>
      <c r="AM67" s="41"/>
      <c r="AN67" s="41">
        <f>+'Real vs Q10'!W64</f>
        <v>0</v>
      </c>
      <c r="AO67" s="41">
        <v>0</v>
      </c>
      <c r="AP67" s="41"/>
      <c r="AQ67" s="13">
        <f t="shared" si="24"/>
        <v>0</v>
      </c>
      <c r="AR67" s="14">
        <f>+IF(AO67=0,0,IF(AO67&lt;=34,1,ROUNDUP(AO67/34,0)))</f>
        <v>0</v>
      </c>
      <c r="AS67" s="41"/>
      <c r="AT67" s="41"/>
      <c r="AU67" s="41">
        <f t="shared" si="114"/>
        <v>0</v>
      </c>
      <c r="AV67"/>
      <c r="AW67"/>
      <c r="AX67"/>
      <c r="AY67"/>
      <c r="AZ67"/>
      <c r="BA67"/>
      <c r="BB67"/>
      <c r="BC67"/>
      <c r="BD67"/>
      <c r="BE67"/>
      <c r="BF67"/>
      <c r="BG67"/>
      <c r="BH67"/>
      <c r="BI67"/>
      <c r="BJ67"/>
      <c r="BK67"/>
      <c r="BL67"/>
      <c r="BM67"/>
      <c r="BN67"/>
    </row>
    <row r="68" spans="1:66" s="21" customFormat="1" x14ac:dyDescent="0.25">
      <c r="A68" s="6"/>
      <c r="B68" s="18"/>
      <c r="C68" s="19">
        <f>+SUM(C66:C67)</f>
        <v>3</v>
      </c>
      <c r="D68" s="19">
        <f t="shared" ref="D68:F68" si="115">+SUM(D66:D67)</f>
        <v>0</v>
      </c>
      <c r="E68" s="19"/>
      <c r="F68" s="19">
        <f t="shared" si="115"/>
        <v>26</v>
      </c>
      <c r="G68" s="19">
        <f>SUM(G66:G67)</f>
        <v>26</v>
      </c>
      <c r="H68" s="19">
        <f>SUM(H66:H67)</f>
        <v>16</v>
      </c>
      <c r="I68" s="19">
        <f>SUM(I66:I67)</f>
        <v>2</v>
      </c>
      <c r="J68" s="19">
        <f t="shared" ref="J68:Q68" si="116">SUM(J66:J67)</f>
        <v>0</v>
      </c>
      <c r="K68" s="19">
        <f t="shared" si="116"/>
        <v>0</v>
      </c>
      <c r="L68" s="19">
        <f t="shared" si="116"/>
        <v>0</v>
      </c>
      <c r="M68" s="19">
        <f t="shared" si="116"/>
        <v>0</v>
      </c>
      <c r="N68" s="19">
        <f t="shared" si="116"/>
        <v>0</v>
      </c>
      <c r="O68" s="19">
        <f t="shared" si="116"/>
        <v>0</v>
      </c>
      <c r="P68" s="19">
        <f t="shared" si="116"/>
        <v>0</v>
      </c>
      <c r="Q68" s="19">
        <f t="shared" si="116"/>
        <v>0</v>
      </c>
      <c r="R68" s="20">
        <f>SUM(R66:R67)</f>
        <v>0</v>
      </c>
      <c r="S68" s="20">
        <f>SUM(S66:S67)</f>
        <v>17</v>
      </c>
      <c r="T68" s="19">
        <f t="shared" ref="T68" si="117">SUM(T66:T67)</f>
        <v>0</v>
      </c>
      <c r="U68" s="13">
        <f t="shared" si="23"/>
        <v>17</v>
      </c>
      <c r="V68" s="20">
        <f t="shared" ref="V68" si="118">SUM(V66:V67)</f>
        <v>2</v>
      </c>
      <c r="W68" s="20"/>
      <c r="X68" s="20"/>
      <c r="Y68" s="19">
        <f>+SUM(Y66:Y67)</f>
        <v>3</v>
      </c>
      <c r="Z68" s="19">
        <f t="shared" ref="Z68:AB68" si="119">+SUM(Z66:Z67)</f>
        <v>0</v>
      </c>
      <c r="AA68" s="19"/>
      <c r="AB68" s="19">
        <f t="shared" si="119"/>
        <v>0</v>
      </c>
      <c r="AC68" s="19">
        <f>+SUM(AC66:AC67)</f>
        <v>0</v>
      </c>
      <c r="AD68" s="19">
        <f t="shared" ref="AD68:AM68" si="120">SUM(AD66:AD67)</f>
        <v>0</v>
      </c>
      <c r="AE68" s="19">
        <f t="shared" si="120"/>
        <v>0</v>
      </c>
      <c r="AF68" s="19">
        <f t="shared" si="120"/>
        <v>0</v>
      </c>
      <c r="AG68" s="19">
        <f t="shared" si="120"/>
        <v>0</v>
      </c>
      <c r="AH68" s="19">
        <f t="shared" si="120"/>
        <v>0</v>
      </c>
      <c r="AI68" s="19">
        <f t="shared" si="120"/>
        <v>0</v>
      </c>
      <c r="AJ68" s="19">
        <f t="shared" si="120"/>
        <v>0</v>
      </c>
      <c r="AK68" s="19">
        <f t="shared" si="120"/>
        <v>0</v>
      </c>
      <c r="AL68" s="19">
        <f t="shared" si="120"/>
        <v>0</v>
      </c>
      <c r="AM68" s="19">
        <f t="shared" si="120"/>
        <v>0</v>
      </c>
      <c r="AN68" s="19">
        <f>+SUM(AN66:AN67)</f>
        <v>0</v>
      </c>
      <c r="AO68" s="19">
        <f>+SUM(AO66:AO67)</f>
        <v>0</v>
      </c>
      <c r="AP68" s="19">
        <f>SUM(AP66:AP67)</f>
        <v>0</v>
      </c>
      <c r="AQ68" s="13">
        <f t="shared" si="24"/>
        <v>0</v>
      </c>
      <c r="AR68" s="19">
        <f t="shared" ref="AR68" si="121">+SUM(AR66:AR67)</f>
        <v>0</v>
      </c>
      <c r="AS68" s="19"/>
      <c r="AT68" s="19"/>
      <c r="AU68" s="19">
        <f t="shared" si="114"/>
        <v>0</v>
      </c>
      <c r="AV68" s="2"/>
      <c r="AW68" s="2"/>
      <c r="AX68" s="2"/>
      <c r="AY68" s="2"/>
      <c r="AZ68" s="2"/>
      <c r="BA68" s="2"/>
      <c r="BB68" s="2"/>
      <c r="BC68" s="2"/>
      <c r="BD68" s="2"/>
      <c r="BE68" s="2"/>
      <c r="BF68" s="2"/>
      <c r="BG68" s="2"/>
      <c r="BH68" s="2"/>
      <c r="BI68" s="2"/>
      <c r="BJ68" s="2"/>
      <c r="BK68" s="2"/>
      <c r="BL68" s="2"/>
      <c r="BM68" s="2"/>
      <c r="BN68" s="2"/>
    </row>
    <row r="69" spans="1:66" s="2" customFormat="1" x14ac:dyDescent="0.25">
      <c r="A69" s="223" t="s">
        <v>70</v>
      </c>
      <c r="B69" s="10" t="s">
        <v>45</v>
      </c>
      <c r="C69" s="11">
        <v>2</v>
      </c>
      <c r="D69" s="11">
        <f>+'Real vs Q10'!G73</f>
        <v>16</v>
      </c>
      <c r="E69" s="11"/>
      <c r="F69" s="11">
        <f>+'Real vs Q10'!H73</f>
        <v>49</v>
      </c>
      <c r="G69" s="11">
        <f>+D69+F69</f>
        <v>65</v>
      </c>
      <c r="H69" s="11">
        <f>+'Real vs Q10'!K73</f>
        <v>52</v>
      </c>
      <c r="I69" s="11">
        <f t="shared" si="103"/>
        <v>2</v>
      </c>
      <c r="J69" s="11">
        <v>0</v>
      </c>
      <c r="K69" s="12">
        <v>0</v>
      </c>
      <c r="L69" s="11">
        <f t="shared" si="2"/>
        <v>0</v>
      </c>
      <c r="M69" s="13">
        <v>1</v>
      </c>
      <c r="N69" s="13"/>
      <c r="O69" s="13">
        <f t="shared" si="3"/>
        <v>1</v>
      </c>
      <c r="P69" s="13">
        <f t="shared" ref="P69:P93" si="122">Q69-G69</f>
        <v>3</v>
      </c>
      <c r="Q69" s="13">
        <v>68</v>
      </c>
      <c r="R69" s="14">
        <f>+'Real vs Q10'!L73</f>
        <v>1</v>
      </c>
      <c r="S69" s="14">
        <v>42</v>
      </c>
      <c r="T69" s="13"/>
      <c r="U69" s="13">
        <f t="shared" si="23"/>
        <v>42</v>
      </c>
      <c r="V69" s="14">
        <f t="shared" ref="V69:V77" si="123">+IF(S69=0,0,IF(S69&lt;=34,1,ROUNDUP(S69/34,0)))</f>
        <v>2</v>
      </c>
      <c r="W69" s="13">
        <f t="shared" ref="W69:W75" si="124">C69</f>
        <v>2</v>
      </c>
      <c r="X69" s="13">
        <f t="shared" ref="X69:X77" si="125">+Q69-S69</f>
        <v>26</v>
      </c>
      <c r="Y69" s="15">
        <v>2</v>
      </c>
      <c r="Z69" s="15">
        <f>'Real vs Q10'!R73</f>
        <v>12</v>
      </c>
      <c r="AA69" s="15"/>
      <c r="AB69" s="15">
        <f>+'Real vs Q10'!S73</f>
        <v>39</v>
      </c>
      <c r="AC69" s="15">
        <f>+Z69+AB69</f>
        <v>51</v>
      </c>
      <c r="AD69" s="15">
        <f>+'Real vs Q10'!V73</f>
        <v>39</v>
      </c>
      <c r="AE69" s="14">
        <f>+IF(AD69=0,0,IF(AD69&lt;=34,1,ROUNDUP(AD69/34,0)))</f>
        <v>2</v>
      </c>
      <c r="AF69" s="11">
        <v>1</v>
      </c>
      <c r="AG69" s="11">
        <v>0</v>
      </c>
      <c r="AH69" s="11">
        <f t="shared" si="7"/>
        <v>1</v>
      </c>
      <c r="AI69" s="11"/>
      <c r="AJ69" s="11">
        <v>1</v>
      </c>
      <c r="AK69" s="11">
        <f t="shared" ref="AK69:AK77" si="126">+AI69+AJ69</f>
        <v>1</v>
      </c>
      <c r="AL69" s="11">
        <f t="shared" ref="AL69:AL93" si="127">AM69-AC69</f>
        <v>13</v>
      </c>
      <c r="AM69" s="11">
        <v>64</v>
      </c>
      <c r="AN69" s="16">
        <f>+'Real vs Q10'!W73</f>
        <v>4</v>
      </c>
      <c r="AO69" s="16">
        <v>33</v>
      </c>
      <c r="AP69" s="11"/>
      <c r="AQ69" s="13">
        <f t="shared" si="24"/>
        <v>33</v>
      </c>
      <c r="AR69" s="14">
        <f t="shared" ref="AR69:AR77" si="128">+IF(AO69=0,0,IF(AO69&lt;=34,1,ROUNDUP(AO69/34,0)))</f>
        <v>1</v>
      </c>
      <c r="AS69" s="11">
        <v>2</v>
      </c>
      <c r="AT69" s="11"/>
      <c r="AU69" s="11">
        <f t="shared" si="114"/>
        <v>31</v>
      </c>
    </row>
    <row r="70" spans="1:66" s="2" customFormat="1" x14ac:dyDescent="0.25">
      <c r="A70" s="223"/>
      <c r="B70" s="10" t="s">
        <v>46</v>
      </c>
      <c r="C70" s="11">
        <v>2</v>
      </c>
      <c r="D70" s="11">
        <f>+'Real vs Q10'!G67</f>
        <v>27</v>
      </c>
      <c r="E70" s="11"/>
      <c r="F70" s="11">
        <f>+'Real vs Q10'!H67</f>
        <v>37</v>
      </c>
      <c r="G70" s="11">
        <f t="shared" ref="G70:G77" si="129">+D70+F70</f>
        <v>64</v>
      </c>
      <c r="H70" s="11">
        <f>+'Real vs Q10'!K67</f>
        <v>51</v>
      </c>
      <c r="I70" s="11">
        <f t="shared" si="103"/>
        <v>2</v>
      </c>
      <c r="J70" s="11">
        <v>0</v>
      </c>
      <c r="K70" s="12">
        <v>0</v>
      </c>
      <c r="L70" s="11">
        <f t="shared" si="2"/>
        <v>0</v>
      </c>
      <c r="M70" s="13"/>
      <c r="N70" s="13"/>
      <c r="O70" s="13">
        <f t="shared" ref="O70:O91" si="130">+M70+N70</f>
        <v>0</v>
      </c>
      <c r="P70" s="13">
        <f t="shared" si="122"/>
        <v>-30</v>
      </c>
      <c r="Q70" s="13">
        <v>34</v>
      </c>
      <c r="R70" s="14">
        <f>+'Real vs Q10'!L67</f>
        <v>27</v>
      </c>
      <c r="S70" s="14">
        <v>44</v>
      </c>
      <c r="T70" s="13"/>
      <c r="U70" s="13">
        <f t="shared" ref="U70:U94" si="131">+S70+T70</f>
        <v>44</v>
      </c>
      <c r="V70" s="14">
        <f t="shared" si="123"/>
        <v>2</v>
      </c>
      <c r="W70" s="13">
        <f t="shared" si="124"/>
        <v>2</v>
      </c>
      <c r="X70" s="13">
        <f t="shared" si="125"/>
        <v>-10</v>
      </c>
      <c r="Y70" s="15">
        <v>2</v>
      </c>
      <c r="Z70" s="15">
        <f>'Real vs Q10'!R67</f>
        <v>15</v>
      </c>
      <c r="AA70" s="15"/>
      <c r="AB70" s="15">
        <f>+'Real vs Q10'!S67</f>
        <v>40</v>
      </c>
      <c r="AC70" s="15">
        <f t="shared" ref="AC70:AC77" si="132">+Z70+AB70</f>
        <v>55</v>
      </c>
      <c r="AD70" s="15">
        <f>+'Real vs Q10'!V67</f>
        <v>40</v>
      </c>
      <c r="AE70" s="14">
        <f t="shared" ref="AE70:AE86" si="133">+IF(AD70=0,0,IF(AD70&lt;=34,1,ROUNDUP(AD70/34,0)))</f>
        <v>2</v>
      </c>
      <c r="AF70" s="11">
        <v>0</v>
      </c>
      <c r="AG70" s="11">
        <v>2</v>
      </c>
      <c r="AH70" s="11">
        <f t="shared" si="7"/>
        <v>2</v>
      </c>
      <c r="AI70" s="11">
        <v>1</v>
      </c>
      <c r="AJ70" s="11"/>
      <c r="AK70" s="11">
        <f t="shared" si="126"/>
        <v>1</v>
      </c>
      <c r="AL70" s="11">
        <f t="shared" si="127"/>
        <v>13</v>
      </c>
      <c r="AM70" s="11">
        <v>68</v>
      </c>
      <c r="AN70" s="16">
        <f>+'Real vs Q10'!W67</f>
        <v>9</v>
      </c>
      <c r="AO70" s="16">
        <v>33</v>
      </c>
      <c r="AP70" s="11"/>
      <c r="AQ70" s="13">
        <f t="shared" ref="AQ70:AQ94" si="134">+AO70+AP70</f>
        <v>33</v>
      </c>
      <c r="AR70" s="14">
        <f>+IF(AO70=0,0,IF(AO70&lt;=34,1,ROUNDUP(AO70/34,0)))</f>
        <v>1</v>
      </c>
      <c r="AS70" s="11">
        <v>2</v>
      </c>
      <c r="AT70" s="11"/>
      <c r="AU70" s="11">
        <f t="shared" si="114"/>
        <v>35</v>
      </c>
    </row>
    <row r="71" spans="1:66" s="2" customFormat="1" x14ac:dyDescent="0.25">
      <c r="A71" s="223"/>
      <c r="B71" s="10" t="s">
        <v>47</v>
      </c>
      <c r="C71" s="11">
        <v>1</v>
      </c>
      <c r="D71" s="11">
        <f>+'Real vs Q10'!G69</f>
        <v>30</v>
      </c>
      <c r="E71" s="11"/>
      <c r="F71" s="11">
        <f>+'Real vs Q10'!H69</f>
        <v>3</v>
      </c>
      <c r="G71" s="11">
        <f t="shared" si="129"/>
        <v>33</v>
      </c>
      <c r="H71" s="11">
        <f>+'Real vs Q10'!K69</f>
        <v>32</v>
      </c>
      <c r="I71" s="11">
        <f t="shared" si="103"/>
        <v>1</v>
      </c>
      <c r="J71" s="11">
        <v>0</v>
      </c>
      <c r="K71" s="12">
        <v>3</v>
      </c>
      <c r="L71" s="11">
        <f t="shared" si="2"/>
        <v>3</v>
      </c>
      <c r="M71" s="13">
        <v>4</v>
      </c>
      <c r="N71" s="13"/>
      <c r="O71" s="13">
        <f t="shared" si="130"/>
        <v>4</v>
      </c>
      <c r="P71" s="13">
        <f t="shared" si="122"/>
        <v>-1</v>
      </c>
      <c r="Q71" s="13">
        <v>32</v>
      </c>
      <c r="R71" s="14">
        <f>+'Real vs Q10'!L69</f>
        <v>37</v>
      </c>
      <c r="S71" s="14">
        <v>32</v>
      </c>
      <c r="T71" s="13"/>
      <c r="U71" s="13">
        <f t="shared" si="131"/>
        <v>32</v>
      </c>
      <c r="V71" s="14">
        <f t="shared" si="123"/>
        <v>1</v>
      </c>
      <c r="W71" s="13">
        <f t="shared" si="124"/>
        <v>1</v>
      </c>
      <c r="X71" s="13">
        <f t="shared" si="125"/>
        <v>0</v>
      </c>
      <c r="Y71" s="15">
        <v>2</v>
      </c>
      <c r="Z71" s="15">
        <f>+'Real vs Q10'!R69</f>
        <v>16</v>
      </c>
      <c r="AA71" s="15"/>
      <c r="AB71" s="15">
        <f>+'Real vs Q10'!S69</f>
        <v>33</v>
      </c>
      <c r="AC71" s="15">
        <f t="shared" si="132"/>
        <v>49</v>
      </c>
      <c r="AD71" s="15">
        <f>+'Real vs Q10'!V69</f>
        <v>35</v>
      </c>
      <c r="AE71" s="14">
        <f t="shared" si="133"/>
        <v>2</v>
      </c>
      <c r="AF71" s="11">
        <v>0</v>
      </c>
      <c r="AG71" s="11">
        <v>4</v>
      </c>
      <c r="AH71" s="11">
        <f t="shared" si="7"/>
        <v>4</v>
      </c>
      <c r="AI71" s="11">
        <v>3</v>
      </c>
      <c r="AJ71" s="11"/>
      <c r="AK71" s="11">
        <f t="shared" si="126"/>
        <v>3</v>
      </c>
      <c r="AL71" s="11">
        <f t="shared" si="127"/>
        <v>15</v>
      </c>
      <c r="AM71" s="11">
        <v>64</v>
      </c>
      <c r="AN71" s="16">
        <f>+'Real vs Q10'!W69</f>
        <v>1</v>
      </c>
      <c r="AO71" s="16">
        <v>31</v>
      </c>
      <c r="AP71" s="11"/>
      <c r="AQ71" s="13">
        <f t="shared" si="134"/>
        <v>31</v>
      </c>
      <c r="AR71" s="14">
        <f t="shared" si="128"/>
        <v>1</v>
      </c>
      <c r="AS71" s="11">
        <v>2</v>
      </c>
      <c r="AT71" s="11"/>
      <c r="AU71" s="11">
        <f t="shared" si="114"/>
        <v>33</v>
      </c>
    </row>
    <row r="72" spans="1:66" s="2" customFormat="1" x14ac:dyDescent="0.25">
      <c r="A72" s="223"/>
      <c r="B72" s="10" t="s">
        <v>51</v>
      </c>
      <c r="C72" s="11">
        <v>1</v>
      </c>
      <c r="D72" s="11">
        <f>+'Real vs Q10'!G72</f>
        <v>26</v>
      </c>
      <c r="E72" s="11"/>
      <c r="F72" s="11">
        <f>+'Real vs Q10'!H72</f>
        <v>6</v>
      </c>
      <c r="G72" s="11">
        <f t="shared" si="129"/>
        <v>32</v>
      </c>
      <c r="H72" s="11">
        <f>+'Real vs Q10'!K72</f>
        <v>32</v>
      </c>
      <c r="I72" s="11">
        <f t="shared" si="103"/>
        <v>1</v>
      </c>
      <c r="J72" s="11">
        <v>0</v>
      </c>
      <c r="K72" s="12">
        <v>4</v>
      </c>
      <c r="L72" s="11">
        <f t="shared" si="2"/>
        <v>4</v>
      </c>
      <c r="M72" s="13">
        <v>4</v>
      </c>
      <c r="N72" s="13"/>
      <c r="O72" s="13">
        <f t="shared" si="130"/>
        <v>4</v>
      </c>
      <c r="P72" s="13">
        <f t="shared" si="122"/>
        <v>3</v>
      </c>
      <c r="Q72" s="13">
        <v>35</v>
      </c>
      <c r="R72" s="14">
        <f>+'Real vs Q10'!L72</f>
        <v>32</v>
      </c>
      <c r="S72" s="14">
        <v>26</v>
      </c>
      <c r="T72" s="13"/>
      <c r="U72" s="13">
        <f t="shared" si="131"/>
        <v>26</v>
      </c>
      <c r="V72" s="14">
        <f t="shared" si="123"/>
        <v>1</v>
      </c>
      <c r="W72" s="13">
        <f t="shared" si="124"/>
        <v>1</v>
      </c>
      <c r="X72" s="13">
        <f t="shared" si="125"/>
        <v>9</v>
      </c>
      <c r="Y72" s="15">
        <v>1</v>
      </c>
      <c r="Z72" s="15">
        <f>+'Real vs Q10'!R72</f>
        <v>8</v>
      </c>
      <c r="AA72" s="15"/>
      <c r="AB72" s="15">
        <f>+'Real vs Q10'!S72</f>
        <v>20</v>
      </c>
      <c r="AC72" s="15">
        <f t="shared" si="132"/>
        <v>28</v>
      </c>
      <c r="AD72" s="15">
        <f>+'Real vs Q10'!V72</f>
        <v>17</v>
      </c>
      <c r="AE72" s="14">
        <f t="shared" si="133"/>
        <v>1</v>
      </c>
      <c r="AF72" s="11">
        <v>0</v>
      </c>
      <c r="AG72" s="11">
        <v>7</v>
      </c>
      <c r="AH72" s="11">
        <f t="shared" si="7"/>
        <v>7</v>
      </c>
      <c r="AI72" s="11">
        <v>3</v>
      </c>
      <c r="AJ72" s="11"/>
      <c r="AK72" s="11">
        <f t="shared" si="126"/>
        <v>3</v>
      </c>
      <c r="AL72" s="11">
        <f t="shared" si="127"/>
        <v>-9</v>
      </c>
      <c r="AM72" s="11">
        <v>19</v>
      </c>
      <c r="AN72" s="16">
        <f>+'Real vs Q10'!W72</f>
        <v>7</v>
      </c>
      <c r="AO72" s="16">
        <v>14</v>
      </c>
      <c r="AP72" s="11"/>
      <c r="AQ72" s="13">
        <f t="shared" si="134"/>
        <v>14</v>
      </c>
      <c r="AR72" s="14">
        <f t="shared" si="128"/>
        <v>1</v>
      </c>
      <c r="AS72" s="11">
        <v>1</v>
      </c>
      <c r="AT72" s="11"/>
      <c r="AU72" s="11">
        <f t="shared" si="114"/>
        <v>5</v>
      </c>
    </row>
    <row r="73" spans="1:66" s="2" customFormat="1" x14ac:dyDescent="0.25">
      <c r="A73" s="223"/>
      <c r="B73" s="10" t="s">
        <v>52</v>
      </c>
      <c r="C73" s="11">
        <v>1</v>
      </c>
      <c r="D73" s="11">
        <f>+'Real vs Q10'!G65</f>
        <v>24</v>
      </c>
      <c r="E73" s="11"/>
      <c r="F73" s="11">
        <f>+'Real vs Q10'!H65</f>
        <v>7</v>
      </c>
      <c r="G73" s="11">
        <f t="shared" si="129"/>
        <v>31</v>
      </c>
      <c r="H73" s="11">
        <f>+'Real vs Q10'!K65</f>
        <v>32</v>
      </c>
      <c r="I73" s="11">
        <f t="shared" si="103"/>
        <v>1</v>
      </c>
      <c r="J73" s="11">
        <v>0</v>
      </c>
      <c r="K73" s="12">
        <v>3</v>
      </c>
      <c r="L73" s="11">
        <f t="shared" si="2"/>
        <v>3</v>
      </c>
      <c r="M73" s="13">
        <v>4</v>
      </c>
      <c r="N73" s="13"/>
      <c r="O73" s="13">
        <f t="shared" si="130"/>
        <v>4</v>
      </c>
      <c r="P73" s="13">
        <f t="shared" si="122"/>
        <v>-1</v>
      </c>
      <c r="Q73" s="13">
        <v>30</v>
      </c>
      <c r="R73" s="14">
        <f>+'Real vs Q10'!L65</f>
        <v>27</v>
      </c>
      <c r="S73" s="14">
        <v>28</v>
      </c>
      <c r="T73" s="13"/>
      <c r="U73" s="13">
        <f t="shared" si="131"/>
        <v>28</v>
      </c>
      <c r="V73" s="14">
        <f t="shared" si="123"/>
        <v>1</v>
      </c>
      <c r="W73" s="13">
        <f t="shared" si="124"/>
        <v>1</v>
      </c>
      <c r="X73" s="13">
        <f t="shared" si="125"/>
        <v>2</v>
      </c>
      <c r="Y73" s="15">
        <v>1</v>
      </c>
      <c r="Z73" s="15">
        <f>+'Real vs Q10'!R65</f>
        <v>8</v>
      </c>
      <c r="AA73" s="15"/>
      <c r="AB73" s="15">
        <f>+'Real vs Q10'!S65</f>
        <v>13</v>
      </c>
      <c r="AC73" s="15">
        <f t="shared" si="132"/>
        <v>21</v>
      </c>
      <c r="AD73" s="15">
        <f>+'Real vs Q10'!V65</f>
        <v>16</v>
      </c>
      <c r="AE73" s="14">
        <f t="shared" si="133"/>
        <v>1</v>
      </c>
      <c r="AF73" s="11">
        <v>0</v>
      </c>
      <c r="AG73" s="11">
        <v>3</v>
      </c>
      <c r="AH73" s="11">
        <f t="shared" si="7"/>
        <v>3</v>
      </c>
      <c r="AI73" s="11">
        <v>1</v>
      </c>
      <c r="AJ73" s="11"/>
      <c r="AK73" s="11">
        <f t="shared" si="126"/>
        <v>1</v>
      </c>
      <c r="AL73" s="11">
        <f t="shared" si="127"/>
        <v>-1</v>
      </c>
      <c r="AM73" s="11">
        <v>20</v>
      </c>
      <c r="AN73" s="16">
        <f>+'Real vs Q10'!W65</f>
        <v>4</v>
      </c>
      <c r="AO73" s="16">
        <v>16</v>
      </c>
      <c r="AP73" s="11"/>
      <c r="AQ73" s="13">
        <f t="shared" si="134"/>
        <v>16</v>
      </c>
      <c r="AR73" s="14">
        <f t="shared" si="128"/>
        <v>1</v>
      </c>
      <c r="AS73" s="11">
        <v>1</v>
      </c>
      <c r="AT73" s="11"/>
      <c r="AU73" s="11">
        <f t="shared" si="114"/>
        <v>4</v>
      </c>
    </row>
    <row r="74" spans="1:66" s="2" customFormat="1" x14ac:dyDescent="0.25">
      <c r="A74" s="223"/>
      <c r="B74" s="10" t="s">
        <v>53</v>
      </c>
      <c r="C74" s="11">
        <v>1</v>
      </c>
      <c r="D74" s="11">
        <f>+'Real vs Q10'!G68</f>
        <v>19</v>
      </c>
      <c r="E74" s="11"/>
      <c r="F74" s="11">
        <f>+'Real vs Q10'!H68</f>
        <v>3</v>
      </c>
      <c r="G74" s="11">
        <f t="shared" si="129"/>
        <v>22</v>
      </c>
      <c r="H74" s="11">
        <f>+'Real vs Q10'!K68</f>
        <v>22</v>
      </c>
      <c r="I74" s="11">
        <f t="shared" si="103"/>
        <v>1</v>
      </c>
      <c r="J74" s="11">
        <v>0</v>
      </c>
      <c r="K74" s="12">
        <v>6</v>
      </c>
      <c r="L74" s="11">
        <v>5</v>
      </c>
      <c r="M74" s="13">
        <v>2</v>
      </c>
      <c r="N74" s="13"/>
      <c r="O74" s="13">
        <f t="shared" si="130"/>
        <v>2</v>
      </c>
      <c r="P74" s="13">
        <f t="shared" si="122"/>
        <v>-1</v>
      </c>
      <c r="Q74" s="13">
        <v>21</v>
      </c>
      <c r="R74" s="14">
        <f>+'Real vs Q10'!L68</f>
        <v>22</v>
      </c>
      <c r="S74" s="14">
        <v>21</v>
      </c>
      <c r="T74" s="13"/>
      <c r="U74" s="13">
        <f t="shared" si="131"/>
        <v>21</v>
      </c>
      <c r="V74" s="14">
        <f t="shared" si="123"/>
        <v>1</v>
      </c>
      <c r="W74" s="160">
        <f t="shared" si="124"/>
        <v>1</v>
      </c>
      <c r="X74" s="160">
        <f t="shared" si="125"/>
        <v>0</v>
      </c>
      <c r="Y74" s="15">
        <v>1</v>
      </c>
      <c r="Z74" s="15">
        <f>+'Real vs Q10'!R68</f>
        <v>1</v>
      </c>
      <c r="AA74" s="15"/>
      <c r="AB74" s="15">
        <f>+'Real vs Q10'!S68</f>
        <v>29</v>
      </c>
      <c r="AC74" s="15">
        <f t="shared" si="132"/>
        <v>30</v>
      </c>
      <c r="AD74" s="15">
        <f>+'Real vs Q10'!V68</f>
        <v>19</v>
      </c>
      <c r="AE74" s="14">
        <f t="shared" si="133"/>
        <v>1</v>
      </c>
      <c r="AF74" s="11">
        <v>0</v>
      </c>
      <c r="AG74" s="11">
        <v>0</v>
      </c>
      <c r="AH74" s="11">
        <f t="shared" si="7"/>
        <v>0</v>
      </c>
      <c r="AI74" s="11"/>
      <c r="AJ74" s="11"/>
      <c r="AK74" s="11">
        <f t="shared" si="126"/>
        <v>0</v>
      </c>
      <c r="AL74" s="11">
        <f t="shared" si="127"/>
        <v>4</v>
      </c>
      <c r="AM74" s="11">
        <v>34</v>
      </c>
      <c r="AN74" s="16">
        <f>+'Real vs Q10'!W68</f>
        <v>3</v>
      </c>
      <c r="AO74" s="16">
        <v>15</v>
      </c>
      <c r="AP74" s="11"/>
      <c r="AQ74" s="13">
        <f t="shared" si="134"/>
        <v>15</v>
      </c>
      <c r="AR74" s="14">
        <f t="shared" si="128"/>
        <v>1</v>
      </c>
      <c r="AS74" s="11">
        <v>0.5</v>
      </c>
      <c r="AT74" s="11"/>
      <c r="AU74" s="11">
        <f t="shared" si="114"/>
        <v>19</v>
      </c>
    </row>
    <row r="75" spans="1:66" s="2" customFormat="1" x14ac:dyDescent="0.25">
      <c r="A75" s="223"/>
      <c r="B75" s="10" t="s">
        <v>54</v>
      </c>
      <c r="C75" s="11">
        <v>1</v>
      </c>
      <c r="D75" s="11">
        <f>+'Real vs Q10'!G71</f>
        <v>12</v>
      </c>
      <c r="E75" s="11"/>
      <c r="F75" s="11">
        <f>+'Real vs Q10'!H71</f>
        <v>22</v>
      </c>
      <c r="G75" s="11">
        <f t="shared" si="129"/>
        <v>34</v>
      </c>
      <c r="H75" s="11">
        <f>+'Real vs Q10'!K71</f>
        <v>30</v>
      </c>
      <c r="I75" s="11">
        <f t="shared" si="103"/>
        <v>1</v>
      </c>
      <c r="J75" s="11">
        <v>0</v>
      </c>
      <c r="K75" s="12">
        <v>3</v>
      </c>
      <c r="L75" s="11">
        <f t="shared" si="2"/>
        <v>3</v>
      </c>
      <c r="M75" s="13">
        <v>3</v>
      </c>
      <c r="N75" s="13"/>
      <c r="O75" s="13">
        <f t="shared" si="130"/>
        <v>3</v>
      </c>
      <c r="P75" s="13">
        <f t="shared" si="122"/>
        <v>-2</v>
      </c>
      <c r="Q75" s="13">
        <v>32</v>
      </c>
      <c r="R75" s="14">
        <f>+'Real vs Q10'!L71</f>
        <v>22</v>
      </c>
      <c r="S75" s="14">
        <v>29</v>
      </c>
      <c r="T75" s="13"/>
      <c r="U75" s="13">
        <f t="shared" si="131"/>
        <v>29</v>
      </c>
      <c r="V75" s="14">
        <f t="shared" si="123"/>
        <v>1</v>
      </c>
      <c r="W75" s="13">
        <f t="shared" si="124"/>
        <v>1</v>
      </c>
      <c r="X75" s="13">
        <f t="shared" si="125"/>
        <v>3</v>
      </c>
      <c r="Y75" s="15">
        <v>0</v>
      </c>
      <c r="Z75" s="15">
        <f>+'Real vs Q10'!R71</f>
        <v>0</v>
      </c>
      <c r="AA75" s="15"/>
      <c r="AB75" s="15">
        <f>+'Real vs Q10'!S71</f>
        <v>0</v>
      </c>
      <c r="AC75" s="15">
        <f t="shared" si="132"/>
        <v>0</v>
      </c>
      <c r="AD75" s="15">
        <f>+'Real vs Q10'!V71</f>
        <v>0</v>
      </c>
      <c r="AE75" s="14">
        <f t="shared" si="133"/>
        <v>0</v>
      </c>
      <c r="AF75" s="11">
        <v>0</v>
      </c>
      <c r="AG75" s="11">
        <v>0</v>
      </c>
      <c r="AH75" s="11">
        <f t="shared" si="7"/>
        <v>0</v>
      </c>
      <c r="AI75" s="11"/>
      <c r="AJ75" s="11"/>
      <c r="AK75" s="11">
        <f t="shared" si="126"/>
        <v>0</v>
      </c>
      <c r="AL75" s="11">
        <f t="shared" si="127"/>
        <v>0</v>
      </c>
      <c r="AM75" s="11">
        <v>0</v>
      </c>
      <c r="AN75" s="16">
        <f>+'Real vs Q10'!W71</f>
        <v>1</v>
      </c>
      <c r="AO75" s="16">
        <v>0</v>
      </c>
      <c r="AP75" s="11"/>
      <c r="AQ75" s="13">
        <f t="shared" si="134"/>
        <v>0</v>
      </c>
      <c r="AR75" s="14">
        <f t="shared" si="128"/>
        <v>0</v>
      </c>
      <c r="AS75" s="11">
        <v>0</v>
      </c>
      <c r="AT75" s="11"/>
      <c r="AU75" s="11">
        <f t="shared" si="114"/>
        <v>0</v>
      </c>
    </row>
    <row r="76" spans="1:66" s="2" customFormat="1" x14ac:dyDescent="0.25">
      <c r="A76" s="223"/>
      <c r="B76" s="10" t="s">
        <v>55</v>
      </c>
      <c r="C76" s="11">
        <v>1</v>
      </c>
      <c r="D76" s="11">
        <f>+'Real vs Q10'!G70</f>
        <v>0</v>
      </c>
      <c r="E76" s="11"/>
      <c r="F76" s="11">
        <f>+'Real vs Q10'!H70</f>
        <v>29</v>
      </c>
      <c r="G76" s="11">
        <f t="shared" si="129"/>
        <v>29</v>
      </c>
      <c r="H76" s="11">
        <f>+'Real vs Q10'!K70</f>
        <v>20</v>
      </c>
      <c r="I76" s="11">
        <f t="shared" si="103"/>
        <v>1</v>
      </c>
      <c r="J76" s="11">
        <v>0</v>
      </c>
      <c r="K76" s="12">
        <v>0</v>
      </c>
      <c r="L76" s="11">
        <f t="shared" si="2"/>
        <v>0</v>
      </c>
      <c r="M76" s="13"/>
      <c r="N76" s="13"/>
      <c r="O76" s="13">
        <f t="shared" si="130"/>
        <v>0</v>
      </c>
      <c r="P76" s="13">
        <f t="shared" si="122"/>
        <v>5</v>
      </c>
      <c r="Q76" s="13">
        <v>34</v>
      </c>
      <c r="R76" s="14">
        <f>+'Real vs Q10'!L70</f>
        <v>5</v>
      </c>
      <c r="S76" s="14">
        <v>20</v>
      </c>
      <c r="T76" s="13"/>
      <c r="U76" s="13">
        <f t="shared" si="131"/>
        <v>20</v>
      </c>
      <c r="V76" s="14">
        <f t="shared" si="123"/>
        <v>1</v>
      </c>
      <c r="W76" s="13">
        <v>0.5</v>
      </c>
      <c r="X76" s="13">
        <f t="shared" si="125"/>
        <v>14</v>
      </c>
      <c r="Y76" s="15">
        <v>0</v>
      </c>
      <c r="Z76" s="15">
        <f>+'Real vs Q10'!R70</f>
        <v>0</v>
      </c>
      <c r="AA76" s="15"/>
      <c r="AB76" s="15">
        <f>+'Real vs Q10'!S70</f>
        <v>0</v>
      </c>
      <c r="AC76" s="15">
        <f t="shared" si="132"/>
        <v>0</v>
      </c>
      <c r="AD76" s="15">
        <f>+'Real vs Q10'!V70</f>
        <v>0</v>
      </c>
      <c r="AE76" s="14">
        <f t="shared" si="133"/>
        <v>0</v>
      </c>
      <c r="AF76" s="11">
        <v>0</v>
      </c>
      <c r="AG76" s="11">
        <v>0</v>
      </c>
      <c r="AH76" s="11">
        <f t="shared" si="7"/>
        <v>0</v>
      </c>
      <c r="AI76" s="11"/>
      <c r="AJ76" s="11"/>
      <c r="AK76" s="11">
        <f t="shared" si="126"/>
        <v>0</v>
      </c>
      <c r="AL76" s="11">
        <f t="shared" si="127"/>
        <v>0</v>
      </c>
      <c r="AM76" s="11">
        <v>0</v>
      </c>
      <c r="AN76" s="16">
        <f>+'Real vs Q10'!W70</f>
        <v>2</v>
      </c>
      <c r="AO76" s="16">
        <v>0</v>
      </c>
      <c r="AP76" s="11"/>
      <c r="AQ76" s="13">
        <f t="shared" si="134"/>
        <v>0</v>
      </c>
      <c r="AR76" s="14">
        <f t="shared" si="128"/>
        <v>0</v>
      </c>
      <c r="AS76" s="11">
        <v>0</v>
      </c>
      <c r="AT76" s="11"/>
      <c r="AU76" s="11">
        <f t="shared" si="114"/>
        <v>0</v>
      </c>
    </row>
    <row r="77" spans="1:66" s="2" customFormat="1" x14ac:dyDescent="0.25">
      <c r="A77" s="223"/>
      <c r="B77" s="10" t="s">
        <v>57</v>
      </c>
      <c r="C77" s="11">
        <v>1</v>
      </c>
      <c r="D77" s="11">
        <f>+'Real vs Q10'!G66</f>
        <v>0</v>
      </c>
      <c r="E77" s="11"/>
      <c r="F77" s="11">
        <f>+'Real vs Q10'!H66</f>
        <v>31</v>
      </c>
      <c r="G77" s="11">
        <f t="shared" si="129"/>
        <v>31</v>
      </c>
      <c r="H77" s="11">
        <f>+'Real vs Q10'!K66</f>
        <v>20</v>
      </c>
      <c r="I77" s="11">
        <f>+IF(H77=0,0,IF(H77&lt;=34,1,ROUNDUP(H77/34,0)))</f>
        <v>1</v>
      </c>
      <c r="J77" s="11">
        <v>1</v>
      </c>
      <c r="K77" s="12">
        <v>0</v>
      </c>
      <c r="L77" s="11">
        <f t="shared" si="2"/>
        <v>1</v>
      </c>
      <c r="M77" s="13"/>
      <c r="N77" s="13">
        <v>1</v>
      </c>
      <c r="O77" s="13">
        <f t="shared" si="130"/>
        <v>1</v>
      </c>
      <c r="P77" s="13">
        <f t="shared" si="122"/>
        <v>3</v>
      </c>
      <c r="Q77" s="13">
        <v>34</v>
      </c>
      <c r="R77" s="14">
        <f>+'Real vs Q10'!L66</f>
        <v>7</v>
      </c>
      <c r="S77" s="14">
        <v>15</v>
      </c>
      <c r="T77" s="13"/>
      <c r="U77" s="13">
        <f t="shared" si="131"/>
        <v>15</v>
      </c>
      <c r="V77" s="14">
        <f t="shared" si="123"/>
        <v>1</v>
      </c>
      <c r="W77" s="13">
        <v>0.5</v>
      </c>
      <c r="X77" s="13">
        <f t="shared" si="125"/>
        <v>19</v>
      </c>
      <c r="Y77" s="23">
        <v>0</v>
      </c>
      <c r="Z77" s="15">
        <f>+'Real vs Q10'!R66</f>
        <v>0</v>
      </c>
      <c r="AA77" s="15"/>
      <c r="AB77" s="15">
        <f>+'Real vs Q10'!S66</f>
        <v>0</v>
      </c>
      <c r="AC77" s="15">
        <f t="shared" si="132"/>
        <v>0</v>
      </c>
      <c r="AD77" s="15">
        <f>+'Real vs Q10'!V66</f>
        <v>0</v>
      </c>
      <c r="AE77" s="14">
        <f t="shared" si="133"/>
        <v>0</v>
      </c>
      <c r="AF77" s="11">
        <v>0</v>
      </c>
      <c r="AG77" s="11">
        <v>0</v>
      </c>
      <c r="AH77" s="11">
        <f t="shared" si="7"/>
        <v>0</v>
      </c>
      <c r="AI77" s="11"/>
      <c r="AJ77" s="11"/>
      <c r="AK77" s="11">
        <f t="shared" si="126"/>
        <v>0</v>
      </c>
      <c r="AL77" s="11">
        <f t="shared" si="127"/>
        <v>0</v>
      </c>
      <c r="AM77" s="11">
        <v>0</v>
      </c>
      <c r="AN77" s="16">
        <f>+'Real vs Q10'!W66</f>
        <v>0</v>
      </c>
      <c r="AO77" s="16">
        <v>0</v>
      </c>
      <c r="AP77" s="11"/>
      <c r="AQ77" s="13">
        <f t="shared" si="134"/>
        <v>0</v>
      </c>
      <c r="AR77" s="14">
        <f t="shared" si="128"/>
        <v>0</v>
      </c>
      <c r="AS77" s="11">
        <v>0</v>
      </c>
      <c r="AT77" s="11"/>
      <c r="AU77" s="11">
        <f t="shared" si="114"/>
        <v>0</v>
      </c>
    </row>
    <row r="78" spans="1:66" s="21" customFormat="1" x14ac:dyDescent="0.25">
      <c r="A78" s="6"/>
      <c r="B78" s="18"/>
      <c r="C78" s="19">
        <f>SUM(C69:C77)</f>
        <v>11</v>
      </c>
      <c r="D78" s="19">
        <f t="shared" ref="D78:F78" si="135">SUM(D69:D77)</f>
        <v>154</v>
      </c>
      <c r="E78" s="19"/>
      <c r="F78" s="19">
        <f t="shared" si="135"/>
        <v>187</v>
      </c>
      <c r="G78" s="19">
        <f t="shared" ref="G78:H78" si="136">SUM(G69:G77)</f>
        <v>341</v>
      </c>
      <c r="H78" s="19">
        <f t="shared" si="136"/>
        <v>291</v>
      </c>
      <c r="I78" s="19">
        <f>SUM(I69:I77)</f>
        <v>11</v>
      </c>
      <c r="J78" s="19">
        <f t="shared" ref="J78:AS78" si="137">SUM(J69:J77)</f>
        <v>1</v>
      </c>
      <c r="K78" s="19">
        <f t="shared" si="137"/>
        <v>19</v>
      </c>
      <c r="L78" s="19">
        <f t="shared" si="137"/>
        <v>19</v>
      </c>
      <c r="M78" s="19">
        <f t="shared" si="137"/>
        <v>18</v>
      </c>
      <c r="N78" s="19">
        <f t="shared" si="137"/>
        <v>1</v>
      </c>
      <c r="O78" s="19">
        <f t="shared" si="137"/>
        <v>19</v>
      </c>
      <c r="P78" s="20">
        <f t="shared" si="122"/>
        <v>-21</v>
      </c>
      <c r="Q78" s="19">
        <f t="shared" si="137"/>
        <v>320</v>
      </c>
      <c r="R78" s="19">
        <f>SUM(R69:R77)</f>
        <v>180</v>
      </c>
      <c r="S78" s="19">
        <f>SUM(S69:S77)</f>
        <v>257</v>
      </c>
      <c r="T78" s="19">
        <f t="shared" ref="T78" si="138">SUM(T69:T77)</f>
        <v>0</v>
      </c>
      <c r="U78" s="13">
        <f t="shared" si="131"/>
        <v>257</v>
      </c>
      <c r="V78" s="19">
        <f t="shared" ref="V78" si="139">SUM(V69:V77)</f>
        <v>11</v>
      </c>
      <c r="W78" s="19">
        <f t="shared" si="137"/>
        <v>10</v>
      </c>
      <c r="X78" s="19">
        <f>SUM(X69:X77)</f>
        <v>63</v>
      </c>
      <c r="Y78" s="19">
        <f t="shared" ref="Y78:AB78" si="140">SUM(Y69:Y77)</f>
        <v>9</v>
      </c>
      <c r="Z78" s="19">
        <f t="shared" si="140"/>
        <v>60</v>
      </c>
      <c r="AA78" s="19"/>
      <c r="AB78" s="19">
        <f t="shared" si="140"/>
        <v>174</v>
      </c>
      <c r="AC78" s="19">
        <f>SUM(AC69:AC77)</f>
        <v>234</v>
      </c>
      <c r="AD78" s="19">
        <f t="shared" ref="AD78" si="141">SUM(AD69:AD77)</f>
        <v>166</v>
      </c>
      <c r="AE78" s="19">
        <f>SUM(AE69:AE77)</f>
        <v>9</v>
      </c>
      <c r="AF78" s="19">
        <f t="shared" si="137"/>
        <v>1</v>
      </c>
      <c r="AG78" s="19">
        <f t="shared" si="137"/>
        <v>16</v>
      </c>
      <c r="AH78" s="19">
        <f t="shared" si="137"/>
        <v>17</v>
      </c>
      <c r="AI78" s="19">
        <f>SUM(AI69:AI77)</f>
        <v>8</v>
      </c>
      <c r="AJ78" s="19">
        <f>SUM(AJ69:AJ77)</f>
        <v>1</v>
      </c>
      <c r="AK78" s="19">
        <f>SUM(AK69:AK77)</f>
        <v>9</v>
      </c>
      <c r="AL78" s="19">
        <f t="shared" si="127"/>
        <v>35</v>
      </c>
      <c r="AM78" s="19">
        <f>SUM(AM69:AM77)</f>
        <v>269</v>
      </c>
      <c r="AN78" s="19">
        <f t="shared" ref="AN78:AR78" si="142">SUM(AN69:AN77)</f>
        <v>31</v>
      </c>
      <c r="AO78" s="19">
        <f>SUM(AO69:AO77)</f>
        <v>142</v>
      </c>
      <c r="AP78" s="19">
        <f>SUM(AP69:AP77)</f>
        <v>0</v>
      </c>
      <c r="AQ78" s="13">
        <f t="shared" si="134"/>
        <v>142</v>
      </c>
      <c r="AR78" s="19">
        <f t="shared" si="142"/>
        <v>6</v>
      </c>
      <c r="AS78" s="19">
        <f t="shared" si="137"/>
        <v>8.5</v>
      </c>
      <c r="AT78" s="19"/>
      <c r="AU78" s="19">
        <f>SUM(AU69:AU77)</f>
        <v>127</v>
      </c>
      <c r="AV78" s="2"/>
      <c r="AW78" s="2"/>
      <c r="AX78" s="2"/>
      <c r="AY78" s="2"/>
      <c r="AZ78" s="2"/>
      <c r="BA78" s="2"/>
      <c r="BB78" s="2"/>
      <c r="BC78" s="2"/>
      <c r="BD78" s="2"/>
      <c r="BE78" s="2"/>
      <c r="BF78" s="2"/>
      <c r="BG78" s="2"/>
      <c r="BH78" s="2"/>
      <c r="BI78" s="2"/>
      <c r="BJ78" s="2"/>
      <c r="BK78" s="2"/>
      <c r="BL78" s="2"/>
      <c r="BM78" s="2"/>
      <c r="BN78" s="2"/>
    </row>
    <row r="79" spans="1:66" s="2" customFormat="1" x14ac:dyDescent="0.25">
      <c r="A79" s="224" t="s">
        <v>71</v>
      </c>
      <c r="B79" s="10" t="s">
        <v>45</v>
      </c>
      <c r="C79" s="11">
        <v>2</v>
      </c>
      <c r="D79" s="11">
        <f>+'Real vs Q10'!G82</f>
        <v>19</v>
      </c>
      <c r="E79" s="11"/>
      <c r="F79" s="11">
        <f>+'Real vs Q10'!H82</f>
        <v>34</v>
      </c>
      <c r="G79" s="11">
        <f>+D79+F79</f>
        <v>53</v>
      </c>
      <c r="H79" s="11">
        <f>+'Real vs Q10'!K82</f>
        <v>50</v>
      </c>
      <c r="I79" s="11">
        <f>+IF(H79=0,0,IF(H79&lt;=34,1,ROUNDUP(H79/34,0)))</f>
        <v>2</v>
      </c>
      <c r="J79" s="11">
        <v>0</v>
      </c>
      <c r="K79" s="12">
        <v>5</v>
      </c>
      <c r="L79" s="11">
        <f t="shared" si="2"/>
        <v>5</v>
      </c>
      <c r="M79" s="13">
        <v>3</v>
      </c>
      <c r="N79" s="13"/>
      <c r="O79" s="13">
        <f t="shared" si="130"/>
        <v>3</v>
      </c>
      <c r="P79" s="13">
        <f t="shared" si="122"/>
        <v>4</v>
      </c>
      <c r="Q79" s="13">
        <v>57</v>
      </c>
      <c r="R79" s="14">
        <f>+'Real vs Q10'!L82</f>
        <v>63</v>
      </c>
      <c r="S79" s="14">
        <v>56</v>
      </c>
      <c r="T79" s="13"/>
      <c r="U79" s="13">
        <f t="shared" si="131"/>
        <v>56</v>
      </c>
      <c r="V79" s="14">
        <f t="shared" ref="V79:V87" si="143">+IF(S79=0,0,IF(S79&lt;=34,1,ROUNDUP(S79/34,0)))</f>
        <v>2</v>
      </c>
      <c r="W79" s="13">
        <v>1</v>
      </c>
      <c r="X79" s="13">
        <f t="shared" ref="X79:X87" si="144">+Q79-S79</f>
        <v>1</v>
      </c>
      <c r="Y79" s="15">
        <v>2</v>
      </c>
      <c r="Z79" s="15">
        <f>+'Real vs Q10'!R82</f>
        <v>18</v>
      </c>
      <c r="AA79" s="15"/>
      <c r="AB79" s="15">
        <f>+'Real vs Q10'!S82</f>
        <v>45</v>
      </c>
      <c r="AC79" s="15">
        <f>+Z79+AB79</f>
        <v>63</v>
      </c>
      <c r="AD79" s="15">
        <f>+'Real vs Q10'!V82</f>
        <v>44</v>
      </c>
      <c r="AE79" s="14">
        <f t="shared" si="133"/>
        <v>2</v>
      </c>
      <c r="AF79" s="11">
        <v>0</v>
      </c>
      <c r="AG79" s="11">
        <v>3</v>
      </c>
      <c r="AH79" s="11">
        <f t="shared" si="7"/>
        <v>3</v>
      </c>
      <c r="AI79" s="11"/>
      <c r="AJ79" s="11"/>
      <c r="AK79" s="11">
        <f t="shared" ref="AK79:AK87" si="145">+AI79+AJ79</f>
        <v>0</v>
      </c>
      <c r="AL79" s="11">
        <f t="shared" si="127"/>
        <v>1</v>
      </c>
      <c r="AM79" s="11">
        <v>64</v>
      </c>
      <c r="AN79" s="16">
        <f>+'Real vs Q10'!W82</f>
        <v>19</v>
      </c>
      <c r="AO79" s="16">
        <v>28</v>
      </c>
      <c r="AP79" s="11"/>
      <c r="AQ79" s="13">
        <f t="shared" si="134"/>
        <v>28</v>
      </c>
      <c r="AR79" s="14">
        <f t="shared" ref="AR79:AR87" si="146">+IF(AO79=0,0,IF(AO79&lt;=34,1,ROUNDUP(AO79/34,0)))</f>
        <v>1</v>
      </c>
      <c r="AS79" s="11">
        <v>2</v>
      </c>
      <c r="AT79" s="11"/>
      <c r="AU79" s="11">
        <f t="shared" ref="AU79:AU87" si="147">+AM79-AO79</f>
        <v>36</v>
      </c>
    </row>
    <row r="80" spans="1:66" s="2" customFormat="1" x14ac:dyDescent="0.25">
      <c r="A80" s="224"/>
      <c r="B80" s="10" t="s">
        <v>46</v>
      </c>
      <c r="C80" s="11">
        <v>3</v>
      </c>
      <c r="D80" s="11">
        <f>+'Real vs Q10'!G76</f>
        <v>25</v>
      </c>
      <c r="E80" s="11"/>
      <c r="F80" s="11">
        <f>+'Real vs Q10'!H76</f>
        <v>58</v>
      </c>
      <c r="G80" s="11">
        <f t="shared" ref="G80:G87" si="148">+D80+F80</f>
        <v>83</v>
      </c>
      <c r="H80" s="11">
        <f>+'Real vs Q10'!K76</f>
        <v>64</v>
      </c>
      <c r="I80" s="11">
        <f t="shared" ref="I80:I91" si="149">+IF(H80=0,0,IF(H80&lt;=34,1,ROUNDUP(H80/34,0)))</f>
        <v>2</v>
      </c>
      <c r="J80" s="11">
        <v>0</v>
      </c>
      <c r="K80" s="12">
        <v>6</v>
      </c>
      <c r="L80" s="11">
        <f t="shared" si="2"/>
        <v>6</v>
      </c>
      <c r="M80" s="13">
        <v>4</v>
      </c>
      <c r="N80" s="13"/>
      <c r="O80" s="13">
        <f t="shared" si="130"/>
        <v>4</v>
      </c>
      <c r="P80" s="13">
        <f t="shared" si="122"/>
        <v>5</v>
      </c>
      <c r="Q80" s="13">
        <v>88</v>
      </c>
      <c r="R80" s="14">
        <f>+'Real vs Q10'!L76</f>
        <v>26</v>
      </c>
      <c r="S80" s="14">
        <v>66</v>
      </c>
      <c r="T80" s="13"/>
      <c r="U80" s="13">
        <f t="shared" si="131"/>
        <v>66</v>
      </c>
      <c r="V80" s="14">
        <f t="shared" si="143"/>
        <v>2</v>
      </c>
      <c r="W80" s="13">
        <v>4</v>
      </c>
      <c r="X80" s="13">
        <f t="shared" si="144"/>
        <v>22</v>
      </c>
      <c r="Y80" s="15">
        <v>2</v>
      </c>
      <c r="Z80" s="15">
        <f>+'Real vs Q10'!R76</f>
        <v>19</v>
      </c>
      <c r="AA80" s="15"/>
      <c r="AB80" s="15">
        <f>+'Real vs Q10'!S76</f>
        <v>36</v>
      </c>
      <c r="AC80" s="15">
        <f t="shared" ref="AC80:AC87" si="150">+Z80+AB80</f>
        <v>55</v>
      </c>
      <c r="AD80" s="15">
        <f>+'Real vs Q10'!V76</f>
        <v>43</v>
      </c>
      <c r="AE80" s="14">
        <f t="shared" si="133"/>
        <v>2</v>
      </c>
      <c r="AF80" s="11">
        <v>0</v>
      </c>
      <c r="AG80" s="11">
        <v>4</v>
      </c>
      <c r="AH80" s="11">
        <f t="shared" si="7"/>
        <v>4</v>
      </c>
      <c r="AI80" s="11">
        <v>4</v>
      </c>
      <c r="AJ80" s="11"/>
      <c r="AK80" s="11">
        <f t="shared" si="145"/>
        <v>4</v>
      </c>
      <c r="AL80" s="11">
        <f t="shared" si="127"/>
        <v>9</v>
      </c>
      <c r="AM80" s="11">
        <v>64</v>
      </c>
      <c r="AN80" s="16">
        <f>+'Real vs Q10'!W76</f>
        <v>8</v>
      </c>
      <c r="AO80" s="16">
        <v>38</v>
      </c>
      <c r="AP80" s="11"/>
      <c r="AQ80" s="13">
        <f t="shared" si="134"/>
        <v>38</v>
      </c>
      <c r="AR80" s="14">
        <f t="shared" si="146"/>
        <v>2</v>
      </c>
      <c r="AS80" s="11">
        <v>2</v>
      </c>
      <c r="AT80" s="11"/>
      <c r="AU80" s="11">
        <f t="shared" si="147"/>
        <v>26</v>
      </c>
    </row>
    <row r="81" spans="1:66" x14ac:dyDescent="0.25">
      <c r="A81" s="224"/>
      <c r="B81" s="10" t="s">
        <v>47</v>
      </c>
      <c r="C81" s="11">
        <v>2</v>
      </c>
      <c r="D81" s="11">
        <f>+'Real vs Q10'!G78</f>
        <v>29</v>
      </c>
      <c r="E81" s="11"/>
      <c r="F81" s="11">
        <f>+'Real vs Q10'!H78</f>
        <v>32</v>
      </c>
      <c r="G81" s="11">
        <f t="shared" si="148"/>
        <v>61</v>
      </c>
      <c r="H81" s="11">
        <f>+'Real vs Q10'!K78</f>
        <v>47</v>
      </c>
      <c r="I81" s="11">
        <f t="shared" si="149"/>
        <v>2</v>
      </c>
      <c r="J81" s="11">
        <v>1</v>
      </c>
      <c r="K81" s="12">
        <v>10</v>
      </c>
      <c r="L81" s="11">
        <f t="shared" ref="L81:L92" si="151">J81+K81</f>
        <v>11</v>
      </c>
      <c r="M81" s="13">
        <v>5</v>
      </c>
      <c r="N81" s="13"/>
      <c r="O81" s="13">
        <f t="shared" si="130"/>
        <v>5</v>
      </c>
      <c r="P81" s="13">
        <f t="shared" si="122"/>
        <v>0</v>
      </c>
      <c r="Q81" s="13">
        <v>61</v>
      </c>
      <c r="R81" s="14">
        <f>+'Real vs Q10'!L78</f>
        <v>19</v>
      </c>
      <c r="S81" s="14">
        <v>40</v>
      </c>
      <c r="T81" s="13"/>
      <c r="U81" s="13">
        <f t="shared" si="131"/>
        <v>40</v>
      </c>
      <c r="V81" s="14">
        <f t="shared" si="143"/>
        <v>2</v>
      </c>
      <c r="W81" s="13">
        <v>1</v>
      </c>
      <c r="X81" s="13">
        <f t="shared" si="144"/>
        <v>21</v>
      </c>
      <c r="Y81" s="15">
        <v>1</v>
      </c>
      <c r="Z81" s="15">
        <f>+'Real vs Q10'!R78</f>
        <v>22</v>
      </c>
      <c r="AA81" s="15"/>
      <c r="AB81" s="15">
        <f>+'Real vs Q10'!S78</f>
        <v>8</v>
      </c>
      <c r="AC81" s="15">
        <f t="shared" si="150"/>
        <v>30</v>
      </c>
      <c r="AD81" s="15">
        <f>+'Real vs Q10'!V78</f>
        <v>28</v>
      </c>
      <c r="AE81" s="14">
        <f t="shared" si="133"/>
        <v>1</v>
      </c>
      <c r="AF81" s="11">
        <v>0</v>
      </c>
      <c r="AG81" s="11">
        <v>5</v>
      </c>
      <c r="AH81" s="11">
        <f t="shared" ref="AH81:AH92" si="152">AF81+AG81</f>
        <v>5</v>
      </c>
      <c r="AI81" s="11">
        <v>2</v>
      </c>
      <c r="AJ81" s="11"/>
      <c r="AK81" s="11">
        <f t="shared" si="145"/>
        <v>2</v>
      </c>
      <c r="AL81" s="11">
        <f t="shared" si="127"/>
        <v>-3</v>
      </c>
      <c r="AM81" s="11">
        <v>27</v>
      </c>
      <c r="AN81" s="16">
        <f>+'Real vs Q10'!W78</f>
        <v>16</v>
      </c>
      <c r="AO81" s="16">
        <v>26</v>
      </c>
      <c r="AP81" s="11"/>
      <c r="AQ81" s="13">
        <f t="shared" si="134"/>
        <v>26</v>
      </c>
      <c r="AR81" s="14">
        <f t="shared" si="146"/>
        <v>1</v>
      </c>
      <c r="AS81" s="11">
        <v>1</v>
      </c>
      <c r="AT81" s="11"/>
      <c r="AU81" s="11">
        <f t="shared" si="147"/>
        <v>1</v>
      </c>
    </row>
    <row r="82" spans="1:66" x14ac:dyDescent="0.25">
      <c r="A82" s="224"/>
      <c r="B82" s="10" t="s">
        <v>51</v>
      </c>
      <c r="C82" s="11">
        <v>1</v>
      </c>
      <c r="D82" s="11">
        <f>+'Real vs Q10'!G81</f>
        <v>24</v>
      </c>
      <c r="E82" s="11"/>
      <c r="F82" s="11">
        <f>+'Real vs Q10'!H81</f>
        <v>5</v>
      </c>
      <c r="G82" s="11">
        <f t="shared" si="148"/>
        <v>29</v>
      </c>
      <c r="H82" s="11">
        <f>+'Real vs Q10'!K81</f>
        <v>28</v>
      </c>
      <c r="I82" s="11">
        <f t="shared" si="149"/>
        <v>1</v>
      </c>
      <c r="J82" s="11">
        <v>0</v>
      </c>
      <c r="K82" s="12">
        <v>3</v>
      </c>
      <c r="L82" s="11">
        <f t="shared" si="151"/>
        <v>3</v>
      </c>
      <c r="M82" s="13">
        <v>3</v>
      </c>
      <c r="N82" s="13"/>
      <c r="O82" s="13">
        <f t="shared" si="130"/>
        <v>3</v>
      </c>
      <c r="P82" s="13">
        <f t="shared" si="122"/>
        <v>7</v>
      </c>
      <c r="Q82" s="13">
        <v>36</v>
      </c>
      <c r="R82" s="14">
        <f>+'Real vs Q10'!L81</f>
        <v>42</v>
      </c>
      <c r="S82" s="14">
        <v>29</v>
      </c>
      <c r="T82" s="13"/>
      <c r="U82" s="13">
        <f t="shared" si="131"/>
        <v>29</v>
      </c>
      <c r="V82" s="14">
        <f t="shared" si="143"/>
        <v>1</v>
      </c>
      <c r="W82" s="13">
        <v>1</v>
      </c>
      <c r="X82" s="13">
        <f t="shared" si="144"/>
        <v>7</v>
      </c>
      <c r="Y82" s="15">
        <v>1</v>
      </c>
      <c r="Z82" s="15">
        <f>+'Real vs Q10'!R81</f>
        <v>10</v>
      </c>
      <c r="AA82" s="15"/>
      <c r="AB82" s="15">
        <f>+'Real vs Q10'!S81</f>
        <v>17</v>
      </c>
      <c r="AC82" s="15">
        <f t="shared" si="150"/>
        <v>27</v>
      </c>
      <c r="AD82" s="15">
        <f>+'Real vs Q10'!V81</f>
        <v>20</v>
      </c>
      <c r="AE82" s="14">
        <f t="shared" si="133"/>
        <v>1</v>
      </c>
      <c r="AF82" s="11">
        <v>0</v>
      </c>
      <c r="AG82" s="11">
        <v>3</v>
      </c>
      <c r="AH82" s="11">
        <f t="shared" si="152"/>
        <v>3</v>
      </c>
      <c r="AI82" s="11">
        <v>1</v>
      </c>
      <c r="AJ82" s="11"/>
      <c r="AK82" s="11">
        <f t="shared" si="145"/>
        <v>1</v>
      </c>
      <c r="AL82" s="11">
        <f t="shared" si="127"/>
        <v>3</v>
      </c>
      <c r="AM82" s="11">
        <v>30</v>
      </c>
      <c r="AN82" s="16">
        <f>+'Real vs Q10'!W81</f>
        <v>2</v>
      </c>
      <c r="AO82" s="16">
        <v>19</v>
      </c>
      <c r="AP82" s="11"/>
      <c r="AQ82" s="13">
        <f t="shared" si="134"/>
        <v>19</v>
      </c>
      <c r="AR82" s="14">
        <f t="shared" si="146"/>
        <v>1</v>
      </c>
      <c r="AS82" s="11">
        <v>1</v>
      </c>
      <c r="AT82" s="11"/>
      <c r="AU82" s="11">
        <f t="shared" si="147"/>
        <v>11</v>
      </c>
    </row>
    <row r="83" spans="1:66" x14ac:dyDescent="0.25">
      <c r="A83" s="224"/>
      <c r="B83" s="10" t="s">
        <v>52</v>
      </c>
      <c r="C83" s="11">
        <v>1</v>
      </c>
      <c r="D83" s="11">
        <f>+'Real vs Q10'!G74</f>
        <v>19</v>
      </c>
      <c r="E83" s="11"/>
      <c r="F83" s="11">
        <f>+'Real vs Q10'!H74</f>
        <v>6</v>
      </c>
      <c r="G83" s="11">
        <f t="shared" si="148"/>
        <v>25</v>
      </c>
      <c r="H83" s="11">
        <f>+'Real vs Q10'!K74</f>
        <v>22</v>
      </c>
      <c r="I83" s="11">
        <f t="shared" si="149"/>
        <v>1</v>
      </c>
      <c r="J83" s="11">
        <v>0</v>
      </c>
      <c r="K83" s="12">
        <v>1</v>
      </c>
      <c r="L83" s="11">
        <f t="shared" si="151"/>
        <v>1</v>
      </c>
      <c r="M83" s="13">
        <v>3</v>
      </c>
      <c r="N83" s="13"/>
      <c r="O83" s="13">
        <f t="shared" si="130"/>
        <v>3</v>
      </c>
      <c r="P83" s="13">
        <f t="shared" si="122"/>
        <v>9</v>
      </c>
      <c r="Q83" s="13">
        <v>34</v>
      </c>
      <c r="R83" s="14">
        <f>+'Real vs Q10'!L74</f>
        <v>23</v>
      </c>
      <c r="S83" s="14">
        <v>19</v>
      </c>
      <c r="T83" s="13"/>
      <c r="U83" s="13">
        <f t="shared" si="131"/>
        <v>19</v>
      </c>
      <c r="V83" s="14">
        <f t="shared" si="143"/>
        <v>1</v>
      </c>
      <c r="W83" s="13">
        <v>0.5</v>
      </c>
      <c r="X83" s="13">
        <f t="shared" si="144"/>
        <v>15</v>
      </c>
      <c r="Y83" s="15">
        <v>1</v>
      </c>
      <c r="Z83" s="15">
        <f>+'Real vs Q10'!R74</f>
        <v>14</v>
      </c>
      <c r="AA83" s="15"/>
      <c r="AB83" s="15">
        <f>+'Real vs Q10'!S74</f>
        <v>8</v>
      </c>
      <c r="AC83" s="15">
        <f t="shared" si="150"/>
        <v>22</v>
      </c>
      <c r="AD83" s="15">
        <f>+'Real vs Q10'!V74</f>
        <v>18</v>
      </c>
      <c r="AE83" s="14">
        <f t="shared" si="133"/>
        <v>1</v>
      </c>
      <c r="AF83" s="11">
        <v>0</v>
      </c>
      <c r="AG83" s="11">
        <v>4</v>
      </c>
      <c r="AH83" s="11">
        <f t="shared" si="152"/>
        <v>4</v>
      </c>
      <c r="AI83" s="11">
        <v>2</v>
      </c>
      <c r="AJ83" s="11"/>
      <c r="AK83" s="11">
        <f t="shared" si="145"/>
        <v>2</v>
      </c>
      <c r="AL83" s="11">
        <f t="shared" si="127"/>
        <v>8</v>
      </c>
      <c r="AM83" s="11">
        <v>30</v>
      </c>
      <c r="AN83" s="16">
        <f>+'Real vs Q10'!W74</f>
        <v>7</v>
      </c>
      <c r="AO83" s="16">
        <v>14</v>
      </c>
      <c r="AP83" s="11"/>
      <c r="AQ83" s="13">
        <f t="shared" si="134"/>
        <v>14</v>
      </c>
      <c r="AR83" s="14">
        <f t="shared" si="146"/>
        <v>1</v>
      </c>
      <c r="AS83" s="11">
        <v>1</v>
      </c>
      <c r="AT83" s="11"/>
      <c r="AU83" s="11">
        <f t="shared" si="147"/>
        <v>16</v>
      </c>
    </row>
    <row r="84" spans="1:66" x14ac:dyDescent="0.25">
      <c r="A84" s="224"/>
      <c r="B84" s="10" t="s">
        <v>53</v>
      </c>
      <c r="C84" s="11">
        <v>1</v>
      </c>
      <c r="D84" s="11">
        <f>+'Real vs Q10'!G77</f>
        <v>13</v>
      </c>
      <c r="E84" s="11"/>
      <c r="F84" s="11">
        <f>+'Real vs Q10'!H77</f>
        <v>18</v>
      </c>
      <c r="G84" s="11">
        <f t="shared" si="148"/>
        <v>31</v>
      </c>
      <c r="H84" s="11">
        <f>+'Real vs Q10'!K77</f>
        <v>24</v>
      </c>
      <c r="I84" s="11">
        <f t="shared" si="149"/>
        <v>1</v>
      </c>
      <c r="J84" s="11">
        <v>0</v>
      </c>
      <c r="K84" s="12">
        <v>3</v>
      </c>
      <c r="L84" s="11">
        <f t="shared" si="151"/>
        <v>3</v>
      </c>
      <c r="M84" s="13">
        <v>3</v>
      </c>
      <c r="N84" s="13"/>
      <c r="O84" s="13">
        <f t="shared" si="130"/>
        <v>3</v>
      </c>
      <c r="P84" s="13">
        <f t="shared" si="122"/>
        <v>-1</v>
      </c>
      <c r="Q84" s="13">
        <v>30</v>
      </c>
      <c r="R84" s="14">
        <f>+'Real vs Q10'!L77</f>
        <v>28</v>
      </c>
      <c r="S84" s="14">
        <v>22</v>
      </c>
      <c r="T84" s="13"/>
      <c r="U84" s="13">
        <f t="shared" si="131"/>
        <v>22</v>
      </c>
      <c r="V84" s="14">
        <f t="shared" si="143"/>
        <v>1</v>
      </c>
      <c r="W84" s="13">
        <v>1</v>
      </c>
      <c r="X84" s="13">
        <f t="shared" si="144"/>
        <v>8</v>
      </c>
      <c r="Y84" s="15">
        <v>0</v>
      </c>
      <c r="Z84" s="15">
        <f>+'Real vs Q10'!R77</f>
        <v>0</v>
      </c>
      <c r="AA84" s="15"/>
      <c r="AB84" s="15">
        <f>+'Real vs Q10'!S77</f>
        <v>0</v>
      </c>
      <c r="AC84" s="15">
        <f t="shared" si="150"/>
        <v>0</v>
      </c>
      <c r="AD84" s="15">
        <f>+'Real vs Q10'!V77</f>
        <v>0</v>
      </c>
      <c r="AE84" s="14">
        <f t="shared" si="133"/>
        <v>0</v>
      </c>
      <c r="AF84" s="11">
        <v>0</v>
      </c>
      <c r="AG84" s="11">
        <v>0</v>
      </c>
      <c r="AH84" s="11">
        <f t="shared" si="152"/>
        <v>0</v>
      </c>
      <c r="AI84" s="11"/>
      <c r="AJ84" s="11"/>
      <c r="AK84" s="11">
        <f t="shared" si="145"/>
        <v>0</v>
      </c>
      <c r="AL84" s="11">
        <f t="shared" si="127"/>
        <v>0</v>
      </c>
      <c r="AM84" s="11">
        <v>0</v>
      </c>
      <c r="AN84" s="16">
        <f>+'Real vs Q10'!W77</f>
        <v>5</v>
      </c>
      <c r="AO84" s="16">
        <v>0</v>
      </c>
      <c r="AP84" s="11"/>
      <c r="AQ84" s="13">
        <f t="shared" si="134"/>
        <v>0</v>
      </c>
      <c r="AR84" s="14">
        <f t="shared" si="146"/>
        <v>0</v>
      </c>
      <c r="AS84" s="11">
        <v>0</v>
      </c>
      <c r="AT84" s="11"/>
      <c r="AU84" s="11">
        <f t="shared" si="147"/>
        <v>0</v>
      </c>
    </row>
    <row r="85" spans="1:66" s="2" customFormat="1" x14ac:dyDescent="0.25">
      <c r="A85" s="224"/>
      <c r="B85" s="10" t="s">
        <v>54</v>
      </c>
      <c r="C85" s="11">
        <v>1</v>
      </c>
      <c r="D85" s="11">
        <f>+'Real vs Q10'!G80</f>
        <v>18</v>
      </c>
      <c r="E85" s="11"/>
      <c r="F85" s="11">
        <f>+'Real vs Q10'!H80</f>
        <v>6</v>
      </c>
      <c r="G85" s="11">
        <f t="shared" si="148"/>
        <v>24</v>
      </c>
      <c r="H85" s="11">
        <f>+'Real vs Q10'!K80</f>
        <v>21</v>
      </c>
      <c r="I85" s="11">
        <f t="shared" si="149"/>
        <v>1</v>
      </c>
      <c r="J85" s="11">
        <v>0</v>
      </c>
      <c r="K85" s="12">
        <v>4</v>
      </c>
      <c r="L85" s="11">
        <f t="shared" si="151"/>
        <v>4</v>
      </c>
      <c r="M85" s="13">
        <v>2</v>
      </c>
      <c r="N85" s="13"/>
      <c r="O85" s="13">
        <f t="shared" si="130"/>
        <v>2</v>
      </c>
      <c r="P85" s="13">
        <f t="shared" si="122"/>
        <v>0</v>
      </c>
      <c r="Q85" s="13">
        <v>24</v>
      </c>
      <c r="R85" s="14">
        <f>+'Real vs Q10'!L80</f>
        <v>19</v>
      </c>
      <c r="S85" s="14">
        <v>21</v>
      </c>
      <c r="T85" s="13"/>
      <c r="U85" s="13">
        <f t="shared" si="131"/>
        <v>21</v>
      </c>
      <c r="V85" s="14">
        <f t="shared" si="143"/>
        <v>1</v>
      </c>
      <c r="W85" s="13">
        <v>1</v>
      </c>
      <c r="X85" s="13">
        <f t="shared" si="144"/>
        <v>3</v>
      </c>
      <c r="Y85" s="15">
        <v>1</v>
      </c>
      <c r="Z85" s="15">
        <f>+'Real vs Q10'!R80</f>
        <v>0</v>
      </c>
      <c r="AA85" s="15"/>
      <c r="AB85" s="15">
        <f>+'Real vs Q10'!S80</f>
        <v>8</v>
      </c>
      <c r="AC85" s="15">
        <f t="shared" si="150"/>
        <v>8</v>
      </c>
      <c r="AD85" s="15">
        <f>+'Real vs Q10'!V80</f>
        <v>7</v>
      </c>
      <c r="AE85" s="14">
        <f t="shared" si="133"/>
        <v>1</v>
      </c>
      <c r="AF85" s="11">
        <v>1</v>
      </c>
      <c r="AG85" s="11">
        <v>0</v>
      </c>
      <c r="AH85" s="11">
        <f t="shared" si="152"/>
        <v>1</v>
      </c>
      <c r="AI85" s="11"/>
      <c r="AJ85" s="11">
        <v>1</v>
      </c>
      <c r="AK85" s="11">
        <f t="shared" si="145"/>
        <v>1</v>
      </c>
      <c r="AL85" s="11">
        <f t="shared" si="127"/>
        <v>26</v>
      </c>
      <c r="AM85" s="11">
        <v>34</v>
      </c>
      <c r="AN85" s="16">
        <f>+'Real vs Q10'!W80</f>
        <v>1</v>
      </c>
      <c r="AO85" s="218">
        <v>0</v>
      </c>
      <c r="AP85" s="41"/>
      <c r="AQ85" s="67">
        <v>0</v>
      </c>
      <c r="AR85" s="14">
        <f>+IF(AO85=0,0,IF(AO85&lt;=34,1,ROUNDUP(AO85/34,0)))</f>
        <v>0</v>
      </c>
      <c r="AS85" s="11">
        <v>0</v>
      </c>
      <c r="AT85" s="11"/>
      <c r="AU85" s="11">
        <f t="shared" si="147"/>
        <v>34</v>
      </c>
    </row>
    <row r="86" spans="1:66" s="2" customFormat="1" x14ac:dyDescent="0.25">
      <c r="A86" s="224"/>
      <c r="B86" s="10" t="s">
        <v>55</v>
      </c>
      <c r="C86" s="11">
        <v>1</v>
      </c>
      <c r="D86" s="11">
        <f>+'Real vs Q10'!G79</f>
        <v>0</v>
      </c>
      <c r="E86" s="11"/>
      <c r="F86" s="11">
        <f>+'Real vs Q10'!H79</f>
        <v>32</v>
      </c>
      <c r="G86" s="11">
        <f t="shared" si="148"/>
        <v>32</v>
      </c>
      <c r="H86" s="11">
        <f>+'Real vs Q10'!K79</f>
        <v>19</v>
      </c>
      <c r="I86" s="11">
        <f>+IF(H86=0,0,IF(H86&lt;=34,1,ROUNDUP(H86/34,0)))</f>
        <v>1</v>
      </c>
      <c r="J86" s="11">
        <v>0</v>
      </c>
      <c r="K86" s="12">
        <v>0</v>
      </c>
      <c r="L86" s="11">
        <f t="shared" si="151"/>
        <v>0</v>
      </c>
      <c r="M86" s="13"/>
      <c r="N86" s="13"/>
      <c r="O86" s="13">
        <f t="shared" si="130"/>
        <v>0</v>
      </c>
      <c r="P86" s="13">
        <f t="shared" si="122"/>
        <v>2</v>
      </c>
      <c r="Q86" s="13">
        <v>34</v>
      </c>
      <c r="R86" s="14">
        <f>+'Real vs Q10'!L79</f>
        <v>8</v>
      </c>
      <c r="S86" s="14">
        <v>19</v>
      </c>
      <c r="T86" s="13"/>
      <c r="U86" s="13">
        <f t="shared" si="131"/>
        <v>19</v>
      </c>
      <c r="V86" s="14">
        <f t="shared" si="143"/>
        <v>1</v>
      </c>
      <c r="W86" s="13">
        <v>0.5</v>
      </c>
      <c r="X86" s="13">
        <f t="shared" si="144"/>
        <v>15</v>
      </c>
      <c r="Y86" s="15">
        <v>0</v>
      </c>
      <c r="Z86" s="15">
        <f>+'Real vs Q10'!R79</f>
        <v>0</v>
      </c>
      <c r="AA86" s="15"/>
      <c r="AB86" s="15">
        <f>+'Real vs Q10'!S79</f>
        <v>0</v>
      </c>
      <c r="AC86" s="15">
        <f t="shared" si="150"/>
        <v>0</v>
      </c>
      <c r="AD86" s="15">
        <f>+'Real vs Q10'!V79</f>
        <v>0</v>
      </c>
      <c r="AE86" s="14">
        <f t="shared" si="133"/>
        <v>0</v>
      </c>
      <c r="AF86" s="11">
        <v>0</v>
      </c>
      <c r="AG86" s="11">
        <v>0</v>
      </c>
      <c r="AH86" s="11">
        <f t="shared" si="152"/>
        <v>0</v>
      </c>
      <c r="AI86" s="11"/>
      <c r="AJ86" s="11"/>
      <c r="AK86" s="11">
        <f t="shared" si="145"/>
        <v>0</v>
      </c>
      <c r="AL86" s="11">
        <f t="shared" si="127"/>
        <v>0</v>
      </c>
      <c r="AM86" s="11">
        <v>0</v>
      </c>
      <c r="AN86" s="16">
        <f>+'Real vs Q10'!W79</f>
        <v>0</v>
      </c>
      <c r="AO86" s="16">
        <v>0</v>
      </c>
      <c r="AP86" s="11"/>
      <c r="AQ86" s="13">
        <f t="shared" si="134"/>
        <v>0</v>
      </c>
      <c r="AR86" s="14">
        <f t="shared" si="146"/>
        <v>0</v>
      </c>
      <c r="AS86" s="11">
        <v>0</v>
      </c>
      <c r="AT86" s="11"/>
      <c r="AU86" s="11">
        <f t="shared" si="147"/>
        <v>0</v>
      </c>
    </row>
    <row r="87" spans="1:66" s="2" customFormat="1" x14ac:dyDescent="0.25">
      <c r="A87" s="224"/>
      <c r="B87" s="24" t="s">
        <v>57</v>
      </c>
      <c r="C87" s="25">
        <v>1</v>
      </c>
      <c r="D87" s="11">
        <f>+'Real vs Q10'!G75</f>
        <v>0</v>
      </c>
      <c r="E87" s="11"/>
      <c r="F87" s="11">
        <f>+'Real vs Q10'!H75</f>
        <v>19</v>
      </c>
      <c r="G87" s="11">
        <f t="shared" si="148"/>
        <v>19</v>
      </c>
      <c r="H87" s="25">
        <f>+'Real vs Q10'!K75</f>
        <v>12</v>
      </c>
      <c r="I87" s="11">
        <f t="shared" si="149"/>
        <v>1</v>
      </c>
      <c r="J87" s="25">
        <v>0</v>
      </c>
      <c r="K87" s="26">
        <v>0</v>
      </c>
      <c r="L87" s="25">
        <f t="shared" si="151"/>
        <v>0</v>
      </c>
      <c r="M87" s="27"/>
      <c r="N87" s="27"/>
      <c r="O87" s="13">
        <f t="shared" si="130"/>
        <v>0</v>
      </c>
      <c r="P87" s="13">
        <f t="shared" si="122"/>
        <v>15</v>
      </c>
      <c r="Q87" s="27">
        <v>34</v>
      </c>
      <c r="R87" s="14">
        <f>+'Real vs Q10'!L75</f>
        <v>6</v>
      </c>
      <c r="S87" s="201">
        <v>9</v>
      </c>
      <c r="T87" s="27"/>
      <c r="U87" s="13">
        <f t="shared" si="131"/>
        <v>9</v>
      </c>
      <c r="V87" s="14">
        <f t="shared" si="143"/>
        <v>1</v>
      </c>
      <c r="W87" s="27">
        <v>0.5</v>
      </c>
      <c r="X87" s="27">
        <f t="shared" si="144"/>
        <v>25</v>
      </c>
      <c r="Y87" s="15">
        <v>0</v>
      </c>
      <c r="Z87" s="15">
        <f>+'Real vs Q10'!R75</f>
        <v>0</v>
      </c>
      <c r="AA87" s="15"/>
      <c r="AB87" s="15">
        <f>+'Real vs Q10'!S75</f>
        <v>0</v>
      </c>
      <c r="AC87" s="15">
        <f t="shared" si="150"/>
        <v>0</v>
      </c>
      <c r="AD87" s="28">
        <f>+'Real vs Q10'!V75</f>
        <v>0</v>
      </c>
      <c r="AE87" s="14">
        <f>+IF(AD87=0,0,IF(AD87&lt;=34,1,ROUNDUP(AD87/34,0)))</f>
        <v>0</v>
      </c>
      <c r="AF87" s="25">
        <v>0</v>
      </c>
      <c r="AG87" s="25">
        <v>0</v>
      </c>
      <c r="AH87" s="25">
        <f t="shared" si="152"/>
        <v>0</v>
      </c>
      <c r="AI87" s="25"/>
      <c r="AJ87" s="25"/>
      <c r="AK87" s="11">
        <f t="shared" si="145"/>
        <v>0</v>
      </c>
      <c r="AL87" s="11">
        <f t="shared" si="127"/>
        <v>0</v>
      </c>
      <c r="AM87" s="25">
        <v>0</v>
      </c>
      <c r="AN87" s="16">
        <f>+'Real vs Q10'!W75</f>
        <v>0</v>
      </c>
      <c r="AO87" s="202">
        <v>0</v>
      </c>
      <c r="AP87" s="25"/>
      <c r="AQ87" s="13">
        <f t="shared" si="134"/>
        <v>0</v>
      </c>
      <c r="AR87" s="14">
        <f t="shared" si="146"/>
        <v>0</v>
      </c>
      <c r="AS87" s="25">
        <v>0</v>
      </c>
      <c r="AT87" s="25"/>
      <c r="AU87" s="25">
        <f t="shared" si="147"/>
        <v>0</v>
      </c>
    </row>
    <row r="88" spans="1:66" s="21" customFormat="1" x14ac:dyDescent="0.25">
      <c r="A88" s="17"/>
      <c r="B88" s="29"/>
      <c r="C88" s="30">
        <f>SUM(C79:C87)</f>
        <v>13</v>
      </c>
      <c r="D88" s="30">
        <f t="shared" ref="D88:F88" si="153">SUM(D79:D87)</f>
        <v>147</v>
      </c>
      <c r="E88" s="30"/>
      <c r="F88" s="30">
        <f t="shared" si="153"/>
        <v>210</v>
      </c>
      <c r="G88" s="30">
        <f t="shared" ref="G88:H88" si="154">SUM(G79:G87)</f>
        <v>357</v>
      </c>
      <c r="H88" s="30">
        <f t="shared" si="154"/>
        <v>287</v>
      </c>
      <c r="I88" s="30">
        <f>SUM(I79:I87)</f>
        <v>12</v>
      </c>
      <c r="J88" s="30">
        <f t="shared" ref="J88:AS88" si="155">SUM(J79:J87)</f>
        <v>1</v>
      </c>
      <c r="K88" s="30">
        <f t="shared" si="155"/>
        <v>32</v>
      </c>
      <c r="L88" s="30">
        <f t="shared" si="155"/>
        <v>33</v>
      </c>
      <c r="M88" s="30">
        <f t="shared" si="155"/>
        <v>23</v>
      </c>
      <c r="N88" s="30">
        <f t="shared" si="155"/>
        <v>0</v>
      </c>
      <c r="O88" s="30">
        <f t="shared" si="155"/>
        <v>23</v>
      </c>
      <c r="P88" s="20">
        <f t="shared" si="122"/>
        <v>41</v>
      </c>
      <c r="Q88" s="30">
        <f t="shared" si="155"/>
        <v>398</v>
      </c>
      <c r="R88" s="30">
        <f t="shared" ref="R88:V88" si="156">SUM(R79:R87)</f>
        <v>234</v>
      </c>
      <c r="S88" s="30">
        <f>SUM(S79:S87)</f>
        <v>281</v>
      </c>
      <c r="T88" s="30">
        <f t="shared" ref="T88" si="157">SUM(T79:T87)</f>
        <v>0</v>
      </c>
      <c r="U88" s="13">
        <f t="shared" si="131"/>
        <v>281</v>
      </c>
      <c r="V88" s="30">
        <f t="shared" si="156"/>
        <v>12</v>
      </c>
      <c r="W88" s="30">
        <f t="shared" si="155"/>
        <v>10.5</v>
      </c>
      <c r="X88" s="30">
        <f>SUM(X79:X87)</f>
        <v>117</v>
      </c>
      <c r="Y88" s="30">
        <f t="shared" ref="Y88:AB88" si="158">SUM(Y79:Y87)</f>
        <v>8</v>
      </c>
      <c r="Z88" s="30">
        <f t="shared" si="158"/>
        <v>83</v>
      </c>
      <c r="AA88" s="30"/>
      <c r="AB88" s="30">
        <f t="shared" si="158"/>
        <v>122</v>
      </c>
      <c r="AC88" s="30">
        <f t="shared" ref="AC88:AD88" si="159">SUM(AC79:AC87)</f>
        <v>205</v>
      </c>
      <c r="AD88" s="30">
        <f t="shared" si="159"/>
        <v>160</v>
      </c>
      <c r="AE88" s="30">
        <f>SUM(AE79:AE87)</f>
        <v>8</v>
      </c>
      <c r="AF88" s="30">
        <f t="shared" si="155"/>
        <v>1</v>
      </c>
      <c r="AG88" s="30">
        <f t="shared" si="155"/>
        <v>19</v>
      </c>
      <c r="AH88" s="30">
        <f t="shared" si="155"/>
        <v>20</v>
      </c>
      <c r="AI88" s="30">
        <f>SUM(AI79:AI87)</f>
        <v>9</v>
      </c>
      <c r="AJ88" s="30">
        <f>SUM(AJ79:AJ87)</f>
        <v>1</v>
      </c>
      <c r="AK88" s="30">
        <f>SUM(AK79:AK87)</f>
        <v>10</v>
      </c>
      <c r="AL88" s="19">
        <f t="shared" si="127"/>
        <v>44</v>
      </c>
      <c r="AM88" s="30">
        <f>SUM(AM79:AM87)</f>
        <v>249</v>
      </c>
      <c r="AN88" s="30">
        <f t="shared" ref="AN88:AR88" si="160">SUM(AN79:AN87)</f>
        <v>58</v>
      </c>
      <c r="AO88" s="30">
        <f>SUM(AO79:AO87)</f>
        <v>125</v>
      </c>
      <c r="AP88" s="30">
        <f>SUM(AP79:AP87)</f>
        <v>0</v>
      </c>
      <c r="AQ88" s="13">
        <f t="shared" si="134"/>
        <v>125</v>
      </c>
      <c r="AR88" s="30">
        <f t="shared" si="160"/>
        <v>6</v>
      </c>
      <c r="AS88" s="30">
        <f t="shared" si="155"/>
        <v>7</v>
      </c>
      <c r="AT88" s="30"/>
      <c r="AU88" s="30">
        <f>SUM(AU79:AU87)</f>
        <v>124</v>
      </c>
      <c r="AV88" s="2"/>
      <c r="AW88" s="2"/>
      <c r="AX88" s="2"/>
      <c r="AY88" s="2"/>
      <c r="AZ88" s="2"/>
      <c r="BA88" s="2"/>
      <c r="BB88" s="2"/>
      <c r="BC88" s="2"/>
      <c r="BD88" s="2"/>
      <c r="BE88" s="2"/>
      <c r="BF88" s="2"/>
      <c r="BG88" s="2"/>
      <c r="BH88" s="2"/>
      <c r="BI88" s="2"/>
      <c r="BJ88" s="2"/>
      <c r="BK88" s="2"/>
      <c r="BL88" s="2"/>
      <c r="BM88" s="2"/>
      <c r="BN88" s="2"/>
    </row>
    <row r="89" spans="1:66" s="2" customFormat="1" x14ac:dyDescent="0.25">
      <c r="A89" s="224" t="s">
        <v>72</v>
      </c>
      <c r="B89" s="10" t="s">
        <v>46</v>
      </c>
      <c r="C89" s="11">
        <v>0</v>
      </c>
      <c r="D89" s="11">
        <f>+'Real vs Q10'!G84</f>
        <v>0</v>
      </c>
      <c r="E89" s="11"/>
      <c r="F89" s="11">
        <f>+'Real vs Q10'!H84</f>
        <v>0</v>
      </c>
      <c r="G89" s="11">
        <f>+D89+F89</f>
        <v>0</v>
      </c>
      <c r="H89" s="11">
        <f>+'Real vs Q10'!K84</f>
        <v>0</v>
      </c>
      <c r="I89" s="11">
        <f t="shared" si="149"/>
        <v>0</v>
      </c>
      <c r="J89" s="11">
        <v>0</v>
      </c>
      <c r="K89" s="11">
        <v>0</v>
      </c>
      <c r="L89" s="11">
        <f t="shared" si="151"/>
        <v>0</v>
      </c>
      <c r="M89" s="13"/>
      <c r="N89" s="13"/>
      <c r="O89" s="13">
        <f t="shared" si="130"/>
        <v>0</v>
      </c>
      <c r="P89" s="13">
        <f t="shared" si="122"/>
        <v>68</v>
      </c>
      <c r="Q89" s="13">
        <v>68</v>
      </c>
      <c r="R89" s="16">
        <f>+'Real vs Q10'!L84</f>
        <v>0</v>
      </c>
      <c r="S89" s="16">
        <v>0</v>
      </c>
      <c r="T89" s="13"/>
      <c r="U89" s="13">
        <f t="shared" si="131"/>
        <v>0</v>
      </c>
      <c r="V89" s="14">
        <f>+IF(S89=0,0,IF(S89&lt;=34,1,ROUNDUP(S89/34,0)))</f>
        <v>0</v>
      </c>
      <c r="W89" s="11">
        <v>0</v>
      </c>
      <c r="X89" s="11">
        <f>+Q89-S89</f>
        <v>68</v>
      </c>
      <c r="Y89" s="42">
        <v>2</v>
      </c>
      <c r="Z89" s="42">
        <f>+'Real vs Q10'!R84</f>
        <v>1</v>
      </c>
      <c r="AA89" s="42"/>
      <c r="AB89" s="42">
        <f>+'Real vs Q10'!S84</f>
        <v>43</v>
      </c>
      <c r="AC89" s="15">
        <f>+Z89+AB89</f>
        <v>44</v>
      </c>
      <c r="AD89" s="15">
        <f>+'Real vs Q10'!V84</f>
        <v>38</v>
      </c>
      <c r="AE89" s="14">
        <f>+IF(AD89=0,0,IF(AD89&lt;=34,1,ROUNDUP(AD89/34,0)))</f>
        <v>2</v>
      </c>
      <c r="AF89" s="11">
        <v>2</v>
      </c>
      <c r="AG89" s="11">
        <v>0</v>
      </c>
      <c r="AH89" s="11">
        <f t="shared" si="152"/>
        <v>2</v>
      </c>
      <c r="AI89" s="11"/>
      <c r="AJ89" s="11">
        <v>2</v>
      </c>
      <c r="AK89" s="11">
        <f>+AI89+AJ89</f>
        <v>2</v>
      </c>
      <c r="AL89" s="11">
        <f t="shared" si="127"/>
        <v>20</v>
      </c>
      <c r="AM89" s="11">
        <v>64</v>
      </c>
      <c r="AN89" s="16">
        <f>+'Real vs Q10'!W84</f>
        <v>8</v>
      </c>
      <c r="AO89" s="16">
        <v>31</v>
      </c>
      <c r="AP89" s="11"/>
      <c r="AQ89" s="13">
        <f t="shared" si="134"/>
        <v>31</v>
      </c>
      <c r="AR89" s="14">
        <f>+IF(AO89=0,0,IF(AO89&lt;=34,1,ROUNDUP(AO89/34,0)))</f>
        <v>1</v>
      </c>
      <c r="AS89" s="11">
        <v>2</v>
      </c>
      <c r="AT89" s="11"/>
      <c r="AU89" s="11">
        <f>+AM89-AO89</f>
        <v>33</v>
      </c>
    </row>
    <row r="90" spans="1:66" s="2" customFormat="1" x14ac:dyDescent="0.25">
      <c r="A90" s="224"/>
      <c r="B90" s="10" t="s">
        <v>47</v>
      </c>
      <c r="C90" s="11">
        <v>2</v>
      </c>
      <c r="D90" s="11">
        <f>+'Real vs Q10'!G85</f>
        <v>29</v>
      </c>
      <c r="E90" s="11"/>
      <c r="F90" s="11">
        <f>+'Real vs Q10'!H85</f>
        <v>15</v>
      </c>
      <c r="G90" s="11">
        <f t="shared" ref="G90:G92" si="161">+D90+F90</f>
        <v>44</v>
      </c>
      <c r="H90" s="11">
        <f>+'Real vs Q10'!K85</f>
        <v>42</v>
      </c>
      <c r="I90" s="11">
        <f t="shared" si="149"/>
        <v>2</v>
      </c>
      <c r="J90" s="11">
        <v>0</v>
      </c>
      <c r="K90" s="11">
        <v>9</v>
      </c>
      <c r="L90" s="11">
        <f t="shared" si="151"/>
        <v>9</v>
      </c>
      <c r="M90" s="13">
        <v>5</v>
      </c>
      <c r="N90" s="13"/>
      <c r="O90" s="13">
        <f t="shared" si="130"/>
        <v>5</v>
      </c>
      <c r="P90" s="13">
        <f t="shared" si="122"/>
        <v>6</v>
      </c>
      <c r="Q90" s="11">
        <v>50</v>
      </c>
      <c r="R90" s="16">
        <f>+'Real vs Q10'!L85</f>
        <v>1</v>
      </c>
      <c r="S90" s="16">
        <v>33</v>
      </c>
      <c r="T90" s="13"/>
      <c r="U90" s="13">
        <f t="shared" si="131"/>
        <v>33</v>
      </c>
      <c r="V90" s="14">
        <f>+IF(S90=0,0,IF(S90&lt;=34,1,ROUNDUP(S90/34,0)))+1</f>
        <v>2</v>
      </c>
      <c r="W90" s="211">
        <v>2</v>
      </c>
      <c r="X90" s="222">
        <f>+Q90-S90</f>
        <v>17</v>
      </c>
      <c r="Y90" s="28">
        <v>1</v>
      </c>
      <c r="Z90" s="42">
        <f>+'Real vs Q10'!R85</f>
        <v>14</v>
      </c>
      <c r="AA90" s="42"/>
      <c r="AB90" s="42">
        <f>+'Real vs Q10'!S85</f>
        <v>1</v>
      </c>
      <c r="AC90" s="15">
        <f t="shared" ref="AC90:AC92" si="162">+Z90+AB90</f>
        <v>15</v>
      </c>
      <c r="AD90" s="15">
        <f>+'Real vs Q10'!V85</f>
        <v>14</v>
      </c>
      <c r="AE90" s="14">
        <f t="shared" ref="AE90:AE92" si="163">+IF(AD90=0,0,IF(AD90&lt;=34,1,ROUNDUP(AD90/34,0)))</f>
        <v>1</v>
      </c>
      <c r="AF90" s="11">
        <v>0</v>
      </c>
      <c r="AG90" s="11">
        <v>3</v>
      </c>
      <c r="AH90" s="11">
        <f t="shared" si="152"/>
        <v>3</v>
      </c>
      <c r="AI90" s="11">
        <v>2</v>
      </c>
      <c r="AJ90" s="11"/>
      <c r="AK90" s="11">
        <f>+AI90+AJ90</f>
        <v>2</v>
      </c>
      <c r="AL90" s="11">
        <f t="shared" si="127"/>
        <v>17</v>
      </c>
      <c r="AM90" s="11">
        <v>32</v>
      </c>
      <c r="AN90" s="16">
        <f>+'Real vs Q10'!W85</f>
        <v>2</v>
      </c>
      <c r="AO90" s="16">
        <v>15</v>
      </c>
      <c r="AP90" s="11"/>
      <c r="AQ90" s="13">
        <f t="shared" si="134"/>
        <v>15</v>
      </c>
      <c r="AR90" s="14">
        <f>+IF(AO90=0,0,IF(AO90&lt;=34,1,ROUNDUP(AO90/34,0)))</f>
        <v>1</v>
      </c>
      <c r="AS90" s="11">
        <v>1</v>
      </c>
      <c r="AT90" s="11"/>
      <c r="AU90" s="11">
        <f>+AM90-AO90</f>
        <v>17</v>
      </c>
    </row>
    <row r="91" spans="1:66" s="2" customFormat="1" x14ac:dyDescent="0.25">
      <c r="A91" s="224"/>
      <c r="B91" s="10" t="s">
        <v>51</v>
      </c>
      <c r="C91" s="11">
        <v>1</v>
      </c>
      <c r="D91" s="11">
        <f>+'Real vs Q10'!G86</f>
        <v>17</v>
      </c>
      <c r="E91" s="11"/>
      <c r="F91" s="11">
        <f>+'Real vs Q10'!H86</f>
        <v>7</v>
      </c>
      <c r="G91" s="11">
        <f>+D91+F91</f>
        <v>24</v>
      </c>
      <c r="H91" s="11">
        <f>+'Real vs Q10'!K86</f>
        <v>23</v>
      </c>
      <c r="I91" s="11">
        <f t="shared" si="149"/>
        <v>1</v>
      </c>
      <c r="J91" s="11">
        <v>0</v>
      </c>
      <c r="K91" s="11">
        <v>5</v>
      </c>
      <c r="L91" s="11">
        <f t="shared" si="151"/>
        <v>5</v>
      </c>
      <c r="M91" s="13">
        <v>3</v>
      </c>
      <c r="N91" s="13"/>
      <c r="O91" s="13">
        <f t="shared" si="130"/>
        <v>3</v>
      </c>
      <c r="P91" s="13">
        <f t="shared" si="122"/>
        <v>0</v>
      </c>
      <c r="Q91" s="11">
        <v>24</v>
      </c>
      <c r="R91" s="16">
        <f>+'Real vs Q10'!L86</f>
        <v>2</v>
      </c>
      <c r="S91" s="16">
        <v>17</v>
      </c>
      <c r="T91" s="13"/>
      <c r="U91" s="13">
        <f t="shared" si="131"/>
        <v>17</v>
      </c>
      <c r="V91" s="14">
        <f>+IF(S91=0,0,IF(S91&lt;=34,1,ROUNDUP(S91/34,0)))</f>
        <v>1</v>
      </c>
      <c r="W91" s="211">
        <v>1</v>
      </c>
      <c r="X91" s="211">
        <f>+Q91-S91</f>
        <v>7</v>
      </c>
      <c r="Y91" s="15">
        <v>0</v>
      </c>
      <c r="Z91" s="42">
        <f>+'Real vs Q10'!R86</f>
        <v>0</v>
      </c>
      <c r="AA91" s="42"/>
      <c r="AB91" s="42">
        <f>+'Real vs Q10'!S86</f>
        <v>0</v>
      </c>
      <c r="AC91" s="15">
        <f t="shared" si="162"/>
        <v>0</v>
      </c>
      <c r="AD91" s="15">
        <f>+'Real vs Q10'!V86</f>
        <v>0</v>
      </c>
      <c r="AE91" s="14">
        <f t="shared" si="163"/>
        <v>0</v>
      </c>
      <c r="AF91" s="11">
        <v>0</v>
      </c>
      <c r="AG91" s="11">
        <v>0</v>
      </c>
      <c r="AH91" s="11">
        <f t="shared" si="152"/>
        <v>0</v>
      </c>
      <c r="AI91" s="11"/>
      <c r="AJ91" s="11"/>
      <c r="AK91" s="11">
        <f>+AI91+AJ91</f>
        <v>0</v>
      </c>
      <c r="AL91" s="11">
        <f t="shared" si="127"/>
        <v>0</v>
      </c>
      <c r="AM91" s="11">
        <v>0</v>
      </c>
      <c r="AN91" s="16">
        <f>+'Real vs Q10'!W86</f>
        <v>0</v>
      </c>
      <c r="AO91" s="16">
        <v>0</v>
      </c>
      <c r="AP91" s="11"/>
      <c r="AQ91" s="13">
        <f t="shared" si="134"/>
        <v>0</v>
      </c>
      <c r="AR91" s="14">
        <f>+IF(AO91=0,0,IF(AO91&lt;=34,1,ROUNDUP(AO91/34,0)))</f>
        <v>0</v>
      </c>
      <c r="AS91" s="11">
        <v>0</v>
      </c>
      <c r="AT91" s="11"/>
      <c r="AU91" s="11">
        <f>+AM91-AO91</f>
        <v>0</v>
      </c>
    </row>
    <row r="92" spans="1:66" s="2" customFormat="1" x14ac:dyDescent="0.25">
      <c r="A92" s="224"/>
      <c r="B92" s="10" t="s">
        <v>52</v>
      </c>
      <c r="C92" s="11">
        <v>1</v>
      </c>
      <c r="D92" s="11">
        <f>+'Real vs Q10'!G83</f>
        <v>13</v>
      </c>
      <c r="E92" s="11"/>
      <c r="F92" s="11">
        <f>+'Real vs Q10'!H83</f>
        <v>7</v>
      </c>
      <c r="G92" s="11">
        <f t="shared" si="161"/>
        <v>20</v>
      </c>
      <c r="H92" s="11">
        <f>+'Real vs Q10'!K83</f>
        <v>20</v>
      </c>
      <c r="I92" s="11">
        <f>+IF(H92=0,0,IF(H92&lt;=34,1,ROUNDUP(H92/34,0)))</f>
        <v>1</v>
      </c>
      <c r="J92" s="11">
        <v>0</v>
      </c>
      <c r="K92" s="11">
        <v>3</v>
      </c>
      <c r="L92" s="11">
        <f t="shared" si="151"/>
        <v>3</v>
      </c>
      <c r="M92" s="13">
        <v>1</v>
      </c>
      <c r="N92" s="13"/>
      <c r="O92" s="13">
        <f>+M92+N92</f>
        <v>1</v>
      </c>
      <c r="P92" s="13">
        <f t="shared" si="122"/>
        <v>5</v>
      </c>
      <c r="Q92" s="11">
        <v>25</v>
      </c>
      <c r="R92" s="16">
        <f>+'Real vs Q10'!L83</f>
        <v>1</v>
      </c>
      <c r="S92" s="16">
        <v>16</v>
      </c>
      <c r="T92" s="13"/>
      <c r="U92" s="13">
        <f t="shared" si="131"/>
        <v>16</v>
      </c>
      <c r="V92" s="14">
        <f>+IF(S92=0,0,IF(S92&lt;=34,1,ROUNDUP(S92/34,0)))</f>
        <v>1</v>
      </c>
      <c r="W92" s="211">
        <v>1</v>
      </c>
      <c r="X92" s="211">
        <f>+Q92-S92</f>
        <v>9</v>
      </c>
      <c r="Y92" s="15">
        <v>0</v>
      </c>
      <c r="Z92" s="42">
        <f>+'Real vs Q10'!R83</f>
        <v>0</v>
      </c>
      <c r="AA92" s="42"/>
      <c r="AB92" s="42">
        <f>+'Real vs Q10'!S83</f>
        <v>0</v>
      </c>
      <c r="AC92" s="15">
        <f t="shared" si="162"/>
        <v>0</v>
      </c>
      <c r="AD92" s="15">
        <f>+'Real vs Q10'!V83</f>
        <v>0</v>
      </c>
      <c r="AE92" s="14">
        <f t="shared" si="163"/>
        <v>0</v>
      </c>
      <c r="AF92" s="11">
        <v>0</v>
      </c>
      <c r="AG92" s="11">
        <v>0</v>
      </c>
      <c r="AH92" s="11">
        <f t="shared" si="152"/>
        <v>0</v>
      </c>
      <c r="AI92" s="11"/>
      <c r="AJ92" s="11"/>
      <c r="AK92" s="11">
        <f>+AI92+AJ92</f>
        <v>0</v>
      </c>
      <c r="AL92" s="11">
        <f t="shared" si="127"/>
        <v>0</v>
      </c>
      <c r="AM92" s="11">
        <v>0</v>
      </c>
      <c r="AN92" s="16">
        <f>+'Real vs Q10'!W83</f>
        <v>0</v>
      </c>
      <c r="AO92" s="16">
        <v>0</v>
      </c>
      <c r="AP92" s="11"/>
      <c r="AQ92" s="13">
        <f t="shared" si="134"/>
        <v>0</v>
      </c>
      <c r="AR92" s="14">
        <f>+IF(AO92=0,0,IF(AO92&lt;=34,1,ROUNDUP(AO92/34,0)))</f>
        <v>0</v>
      </c>
      <c r="AS92" s="11">
        <v>0</v>
      </c>
      <c r="AT92" s="11"/>
      <c r="AU92" s="11">
        <f>+AM92-AO92</f>
        <v>0</v>
      </c>
    </row>
    <row r="93" spans="1:66" s="21" customFormat="1" x14ac:dyDescent="0.25">
      <c r="A93" s="6"/>
      <c r="B93" s="18"/>
      <c r="C93" s="19">
        <f>SUM(C89:C92)</f>
        <v>4</v>
      </c>
      <c r="D93" s="19">
        <f t="shared" ref="D93:F93" si="164">SUM(D89:D92)</f>
        <v>59</v>
      </c>
      <c r="E93" s="19"/>
      <c r="F93" s="19">
        <f t="shared" si="164"/>
        <v>29</v>
      </c>
      <c r="G93" s="19">
        <f t="shared" ref="G93:O93" si="165">SUM(G89:G92)</f>
        <v>88</v>
      </c>
      <c r="H93" s="19">
        <f t="shared" si="165"/>
        <v>85</v>
      </c>
      <c r="I93" s="19">
        <f t="shared" si="165"/>
        <v>4</v>
      </c>
      <c r="J93" s="19">
        <f t="shared" si="165"/>
        <v>0</v>
      </c>
      <c r="K93" s="19">
        <f t="shared" si="165"/>
        <v>17</v>
      </c>
      <c r="L93" s="19">
        <f t="shared" si="165"/>
        <v>17</v>
      </c>
      <c r="M93" s="19">
        <f t="shared" si="165"/>
        <v>9</v>
      </c>
      <c r="N93" s="19">
        <f t="shared" si="165"/>
        <v>0</v>
      </c>
      <c r="O93" s="19">
        <f t="shared" si="165"/>
        <v>9</v>
      </c>
      <c r="P93" s="20">
        <f t="shared" si="122"/>
        <v>79</v>
      </c>
      <c r="Q93" s="19">
        <f>SUM(Q89:Q92)</f>
        <v>167</v>
      </c>
      <c r="R93" s="19">
        <f>SUM(R89:R92)</f>
        <v>4</v>
      </c>
      <c r="S93" s="19">
        <f>SUM(S89:S92)</f>
        <v>66</v>
      </c>
      <c r="T93" s="19">
        <f>SUM(T89:T92)</f>
        <v>0</v>
      </c>
      <c r="U93" s="13">
        <f t="shared" si="131"/>
        <v>66</v>
      </c>
      <c r="V93" s="19">
        <f t="shared" ref="V93" si="166">SUM(V89:V92)</f>
        <v>4</v>
      </c>
      <c r="W93" s="19">
        <f>SUM(W89:W92)</f>
        <v>4</v>
      </c>
      <c r="X93" s="19">
        <f>SUM(X89:X92)</f>
        <v>101</v>
      </c>
      <c r="Y93" s="19">
        <f>SUM(Y89:Y92)</f>
        <v>3</v>
      </c>
      <c r="Z93" s="19">
        <f t="shared" ref="Z93:AB93" si="167">SUM(Z89:Z92)</f>
        <v>15</v>
      </c>
      <c r="AA93" s="19"/>
      <c r="AB93" s="19">
        <f t="shared" si="167"/>
        <v>44</v>
      </c>
      <c r="AC93" s="19">
        <f t="shared" ref="AC93:AH93" si="168">SUM(AC89:AC92)</f>
        <v>59</v>
      </c>
      <c r="AD93" s="19">
        <f t="shared" si="168"/>
        <v>52</v>
      </c>
      <c r="AE93" s="19">
        <f t="shared" si="168"/>
        <v>3</v>
      </c>
      <c r="AF93" s="19">
        <f t="shared" si="168"/>
        <v>2</v>
      </c>
      <c r="AG93" s="19">
        <f t="shared" si="168"/>
        <v>3</v>
      </c>
      <c r="AH93" s="19">
        <f t="shared" si="168"/>
        <v>5</v>
      </c>
      <c r="AI93" s="19">
        <f>SUM(AI89:AI92)</f>
        <v>2</v>
      </c>
      <c r="AJ93" s="19">
        <f>SUM(AJ89:AJ92)</f>
        <v>2</v>
      </c>
      <c r="AK93" s="19">
        <f>SUM(AK89:AK92)</f>
        <v>4</v>
      </c>
      <c r="AL93" s="19">
        <f t="shared" si="127"/>
        <v>37</v>
      </c>
      <c r="AM93" s="19">
        <f>SUM(AM89:AM92)</f>
        <v>96</v>
      </c>
      <c r="AN93" s="19">
        <f>SUM(AN89:AN92)</f>
        <v>10</v>
      </c>
      <c r="AO93" s="19">
        <f>SUM(AO89:AO92)</f>
        <v>46</v>
      </c>
      <c r="AP93" s="19">
        <f>SUM(AP89:AP92)</f>
        <v>0</v>
      </c>
      <c r="AQ93" s="13">
        <f t="shared" si="134"/>
        <v>46</v>
      </c>
      <c r="AR93" s="19">
        <f t="shared" ref="AR93" si="169">SUM(AR89:AR92)</f>
        <v>2</v>
      </c>
      <c r="AS93" s="19">
        <f>SUM(AS89:AS92)</f>
        <v>3</v>
      </c>
      <c r="AT93" s="19"/>
      <c r="AU93" s="19">
        <f>SUM(AU89:AU92)</f>
        <v>50</v>
      </c>
      <c r="AV93" s="2"/>
      <c r="AW93" s="2"/>
      <c r="AX93" s="2"/>
      <c r="AY93" s="2"/>
      <c r="AZ93" s="2"/>
      <c r="BA93" s="2"/>
      <c r="BB93" s="2"/>
      <c r="BC93" s="2"/>
      <c r="BD93" s="2"/>
      <c r="BE93" s="2"/>
      <c r="BF93" s="2"/>
      <c r="BG93" s="2"/>
      <c r="BH93" s="2"/>
      <c r="BI93" s="2"/>
      <c r="BJ93" s="2"/>
      <c r="BK93" s="2"/>
      <c r="BL93" s="2"/>
      <c r="BM93" s="2"/>
      <c r="BN93" s="2"/>
    </row>
    <row r="94" spans="1:66" s="2" customFormat="1" x14ac:dyDescent="0.25">
      <c r="A94" s="31" t="s">
        <v>73</v>
      </c>
      <c r="B94" s="32"/>
      <c r="C94" s="11">
        <f>C10+C16+C20+C30+C40+C50+C65+C78+C88+C93+C68</f>
        <v>91</v>
      </c>
      <c r="D94" s="11">
        <f>D10+D16+D20+D30+D40+D50+D65+D78+D88+D93+D68</f>
        <v>956</v>
      </c>
      <c r="E94" s="11"/>
      <c r="F94" s="11">
        <f>F10+F16+F20+F30+F40+F50+F65+F78+F88+F93+F68</f>
        <v>1548</v>
      </c>
      <c r="G94" s="11">
        <f>G10+G16+G20+G30+G40+G50+G65+G78+G88+G93+G68</f>
        <v>2504</v>
      </c>
      <c r="H94" s="11">
        <f>H10+H16+H20+H30+H40+H50+H65+H78+H88+H93+H68</f>
        <v>2103</v>
      </c>
      <c r="I94" s="11">
        <f>SUM(I10+I16+I20+I30+I40+I50+I65+I68+I78+I88+I93)</f>
        <v>88</v>
      </c>
      <c r="J94" s="11">
        <f t="shared" ref="J94:W94" si="170">J10+J16+J20+J30+J40+J50+J65+J78+J88+J93</f>
        <v>22</v>
      </c>
      <c r="K94" s="11">
        <f t="shared" si="170"/>
        <v>132</v>
      </c>
      <c r="L94" s="11">
        <f t="shared" si="170"/>
        <v>153</v>
      </c>
      <c r="M94" s="11">
        <f t="shared" si="170"/>
        <v>106</v>
      </c>
      <c r="N94" s="11">
        <f>N10+N16+N20+N30+N40+N50+N65+N78+N88+N93</f>
        <v>19</v>
      </c>
      <c r="O94" s="11">
        <f t="shared" si="170"/>
        <v>130</v>
      </c>
      <c r="P94" s="11">
        <f t="shared" si="170"/>
        <v>239</v>
      </c>
      <c r="Q94" s="11">
        <f t="shared" si="170"/>
        <v>2717</v>
      </c>
      <c r="R94" s="11">
        <f>R10+R16+R20+R30+R40+R50+R65+R78+R88+R93+R68</f>
        <v>1436</v>
      </c>
      <c r="S94" s="11">
        <f>S10+S16+S20+S30+S40+S50+S65+S78+S88+S93+S68</f>
        <v>1953</v>
      </c>
      <c r="T94" s="11">
        <f>T10+T16+T20+T30+T40+T50+T65+T68+T78+T88+T93</f>
        <v>0</v>
      </c>
      <c r="U94" s="13">
        <f t="shared" si="131"/>
        <v>1953</v>
      </c>
      <c r="V94" s="11">
        <f t="shared" ref="V94" si="171">V10+V16+V20+V30+V40+V50+V65+V78+V88+V93+V68</f>
        <v>87</v>
      </c>
      <c r="W94" s="11">
        <f t="shared" si="170"/>
        <v>76.5</v>
      </c>
      <c r="X94" s="11">
        <f>+Q94-S94</f>
        <v>764</v>
      </c>
      <c r="Y94" s="11">
        <f>Y10+Y16+Y20+Y30+Y40+Y50+Y65+Y78+Y88+Y93+Y68</f>
        <v>72</v>
      </c>
      <c r="Z94" s="11">
        <f>Z10+Z16+Z20+Z30+Z40+Z50+Z65+Z78+Z88+Z93+Z68</f>
        <v>370</v>
      </c>
      <c r="AA94" s="11"/>
      <c r="AB94" s="11">
        <f>AB10+AB16+AB20+AB30+AB40+AB50+AB65+AB78+AB88+AB93+AB68</f>
        <v>1264</v>
      </c>
      <c r="AC94" s="11">
        <f t="shared" ref="AC94:AS94" si="172">AC10+AC16+AC20+AC30+AC40+AC50+AC65+AC78+AC88+AC93</f>
        <v>1634</v>
      </c>
      <c r="AD94" s="11">
        <f>AD10+AD16+AD20+AD30+AD40+AD50+AD65+AD78+AD88+AD93+AD68</f>
        <v>1226</v>
      </c>
      <c r="AE94" s="11">
        <f>AE10+AE16+AE20+AE30+AE40+AE50+AE65+AE68+AE78+AE88+AE93</f>
        <v>67</v>
      </c>
      <c r="AF94" s="11">
        <f t="shared" si="172"/>
        <v>14</v>
      </c>
      <c r="AG94" s="11">
        <f t="shared" si="172"/>
        <v>76</v>
      </c>
      <c r="AH94" s="11">
        <f t="shared" si="172"/>
        <v>89</v>
      </c>
      <c r="AI94" s="11">
        <f>AI10+AI16+AI20+AI30+AI40+AI50+AI65+AI78+AI88+AI93</f>
        <v>41</v>
      </c>
      <c r="AJ94" s="11">
        <f>AJ10+AJ16+AJ20+AJ30+AJ40+AJ50+AJ65+AJ78+AJ88+AJ93</f>
        <v>13</v>
      </c>
      <c r="AK94" s="11">
        <f>AK10+AK16+AK20+AK30+AK40+AK50+AK65+AK78+AK88+AK93</f>
        <v>60</v>
      </c>
      <c r="AL94" s="11">
        <f t="shared" si="172"/>
        <v>456</v>
      </c>
      <c r="AM94" s="11">
        <f t="shared" si="172"/>
        <v>2090</v>
      </c>
      <c r="AN94" s="11">
        <f>AN10+AN16+AN20+AN30+AN40+AN50+AN65+AN78+AN88+AN93+AN68</f>
        <v>251</v>
      </c>
      <c r="AO94" s="204">
        <f t="shared" ref="AO94:AR94" si="173">AO10+AO16+AO20+AO30+AO40+AO50+AO65+AO78+AO88+AO93+AO68</f>
        <v>1126</v>
      </c>
      <c r="AP94" s="11">
        <f>AP10+AP16+AP20+AP30+AP40+AP50+AP65+AP68+AP78+AP88+AP93</f>
        <v>0</v>
      </c>
      <c r="AQ94" s="13">
        <f t="shared" si="134"/>
        <v>1126</v>
      </c>
      <c r="AR94" s="11">
        <f t="shared" si="173"/>
        <v>53</v>
      </c>
      <c r="AS94" s="11">
        <f t="shared" si="172"/>
        <v>57</v>
      </c>
      <c r="AT94" s="11"/>
      <c r="AU94" s="11">
        <f>+AM94-AO94</f>
        <v>964</v>
      </c>
    </row>
    <row r="95" spans="1:66" s="2" customFormat="1" x14ac:dyDescent="0.25">
      <c r="A95" s="1"/>
      <c r="J95" s="3">
        <f>+SUM(J94:K94)</f>
        <v>154</v>
      </c>
      <c r="K95" s="3">
        <f>+J95+90</f>
        <v>244</v>
      </c>
      <c r="L95" s="3"/>
      <c r="M95" s="3"/>
      <c r="N95" s="3"/>
      <c r="O95" s="3"/>
      <c r="U95" s="2">
        <f>+U94+AQ94</f>
        <v>3079</v>
      </c>
      <c r="V95" s="214">
        <f>V10+V16+V20+V30+V40+V50+V65+V68+V78+V88+V93</f>
        <v>87</v>
      </c>
      <c r="Y95" s="3"/>
      <c r="Z95" s="3"/>
      <c r="AA95" s="3"/>
      <c r="AB95" s="3"/>
      <c r="AC95" s="3"/>
      <c r="AD95" s="3"/>
      <c r="AE95" s="3"/>
      <c r="AF95" s="3"/>
      <c r="AG95" s="3"/>
      <c r="AH95" s="3">
        <f>+AH94+J94</f>
        <v>111</v>
      </c>
      <c r="AI95" s="3"/>
      <c r="AJ95" s="3"/>
      <c r="AK95" s="3"/>
      <c r="AL95" s="3"/>
      <c r="AM95" s="3"/>
      <c r="AN95" s="3"/>
      <c r="AO95" s="3"/>
      <c r="AP95" s="3"/>
      <c r="AQ95" s="3"/>
      <c r="AR95" s="215">
        <f>AR10+AR16+AR20+AR30+AR40+AR50+AR65+AR78+AR88+AR93</f>
        <v>53</v>
      </c>
    </row>
    <row r="96" spans="1:66" s="2" customFormat="1" x14ac:dyDescent="0.25">
      <c r="A96" s="1"/>
      <c r="J96" s="3"/>
      <c r="K96" s="203">
        <f>+Detallado!K95/'Seguimiento total'!K15</f>
        <v>7.3207320732073214E-2</v>
      </c>
      <c r="L96" s="3">
        <f>+C94+Y94</f>
        <v>163</v>
      </c>
      <c r="M96" s="3"/>
      <c r="N96" s="3"/>
      <c r="O96" s="3"/>
      <c r="Y96" s="3"/>
      <c r="Z96" s="3"/>
      <c r="AA96" s="3"/>
      <c r="AB96" s="3"/>
      <c r="AC96" s="3"/>
      <c r="AD96" s="3"/>
      <c r="AE96" s="3"/>
      <c r="AF96" s="3"/>
      <c r="AG96" s="3"/>
      <c r="AH96" s="3"/>
      <c r="AI96" s="3"/>
      <c r="AJ96" s="3"/>
      <c r="AK96" s="3"/>
      <c r="AL96" s="3"/>
      <c r="AM96" s="3"/>
      <c r="AN96" s="3"/>
      <c r="AO96" s="3"/>
      <c r="AP96" s="3"/>
      <c r="AQ96" s="3"/>
      <c r="AR96" s="3">
        <f>AR95+V95</f>
        <v>140</v>
      </c>
    </row>
    <row r="97" spans="1:44" s="2" customFormat="1" x14ac:dyDescent="0.25">
      <c r="A97" s="33"/>
      <c r="B97" s="39" t="s">
        <v>74</v>
      </c>
      <c r="C97" s="39" t="s">
        <v>75</v>
      </c>
      <c r="D97" s="39"/>
      <c r="E97" s="39"/>
      <c r="F97" s="39"/>
      <c r="G97" s="39" t="s">
        <v>76</v>
      </c>
      <c r="H97" s="43"/>
      <c r="I97" s="43"/>
      <c r="J97" s="3"/>
      <c r="K97" s="3"/>
      <c r="L97" s="3"/>
      <c r="M97" s="3"/>
      <c r="N97" s="3"/>
      <c r="O97" s="3"/>
      <c r="Y97" s="3"/>
      <c r="Z97" s="3"/>
      <c r="AA97" s="3"/>
      <c r="AB97" s="3"/>
      <c r="AC97" s="3"/>
      <c r="AD97" s="3"/>
      <c r="AE97" s="3"/>
      <c r="AF97" s="3"/>
      <c r="AG97" s="3"/>
      <c r="AH97" s="3"/>
      <c r="AI97" s="3"/>
      <c r="AJ97" s="3"/>
      <c r="AK97" s="3"/>
      <c r="AL97" s="3"/>
      <c r="AM97" s="3"/>
      <c r="AN97" s="3"/>
      <c r="AO97" s="3"/>
      <c r="AP97" s="3"/>
      <c r="AQ97" s="3"/>
      <c r="AR97" s="3">
        <f>AR96-2</f>
        <v>138</v>
      </c>
    </row>
    <row r="98" spans="1:44" s="2" customFormat="1" ht="30" x14ac:dyDescent="0.25">
      <c r="A98" s="33" t="s">
        <v>77</v>
      </c>
      <c r="B98" s="11">
        <f>G94</f>
        <v>2504</v>
      </c>
      <c r="C98" s="11">
        <f>AC94</f>
        <v>1634</v>
      </c>
      <c r="D98" s="11"/>
      <c r="E98" s="11"/>
      <c r="F98" s="11"/>
      <c r="G98" s="34">
        <f>+B98+C98</f>
        <v>4138</v>
      </c>
      <c r="J98" s="3"/>
      <c r="K98" s="203">
        <f>2/32</f>
        <v>6.25E-2</v>
      </c>
      <c r="L98" s="3"/>
      <c r="M98" s="3"/>
      <c r="N98" s="3"/>
      <c r="O98" s="3"/>
      <c r="Y98" s="3"/>
      <c r="Z98" s="3"/>
      <c r="AA98" s="3"/>
      <c r="AB98" s="3"/>
      <c r="AC98" s="3"/>
      <c r="AD98" s="3"/>
      <c r="AE98" s="3"/>
      <c r="AF98" s="3"/>
      <c r="AG98" s="3"/>
      <c r="AH98" s="205"/>
      <c r="AI98" s="205"/>
      <c r="AJ98" s="205"/>
      <c r="AK98" s="205"/>
      <c r="AL98" s="3"/>
      <c r="AM98" s="3"/>
      <c r="AN98" s="3"/>
      <c r="AO98" s="3"/>
      <c r="AP98" s="3"/>
      <c r="AQ98" s="3"/>
      <c r="AR98" s="3"/>
    </row>
    <row r="99" spans="1:44" s="2" customFormat="1" ht="30" x14ac:dyDescent="0.25">
      <c r="A99" s="33" t="s">
        <v>18</v>
      </c>
      <c r="B99" s="11">
        <f>R94</f>
        <v>1436</v>
      </c>
      <c r="C99" s="11">
        <f>AN94</f>
        <v>251</v>
      </c>
      <c r="D99" s="11"/>
      <c r="E99" s="11"/>
      <c r="F99" s="11"/>
      <c r="G99" s="34">
        <f t="shared" ref="G99:G100" si="174">+B99+C99</f>
        <v>1687</v>
      </c>
      <c r="J99" s="3"/>
      <c r="K99" s="3"/>
      <c r="L99" s="3"/>
      <c r="M99" s="3"/>
      <c r="N99" s="3"/>
      <c r="O99" s="3"/>
      <c r="Y99" s="3"/>
      <c r="Z99" s="3"/>
      <c r="AA99" s="3"/>
      <c r="AB99" s="3"/>
      <c r="AC99" s="3"/>
      <c r="AD99" s="3"/>
      <c r="AE99" s="3"/>
      <c r="AF99" s="3"/>
      <c r="AG99" s="3"/>
      <c r="AH99" s="3"/>
      <c r="AI99" s="3"/>
      <c r="AJ99" s="3"/>
      <c r="AK99" s="3"/>
      <c r="AL99" s="3"/>
      <c r="AM99" s="3"/>
      <c r="AN99" s="3"/>
      <c r="AO99" s="3"/>
      <c r="AP99" s="3"/>
      <c r="AQ99" s="3"/>
      <c r="AR99" s="3"/>
    </row>
    <row r="100" spans="1:44" s="2" customFormat="1" ht="30" x14ac:dyDescent="0.25">
      <c r="A100" s="33" t="s">
        <v>16</v>
      </c>
      <c r="B100" s="11">
        <f>P94</f>
        <v>239</v>
      </c>
      <c r="C100" s="11">
        <f>AL94</f>
        <v>456</v>
      </c>
      <c r="D100" s="11"/>
      <c r="E100" s="11"/>
      <c r="F100" s="11"/>
      <c r="G100" s="34">
        <f t="shared" si="174"/>
        <v>695</v>
      </c>
      <c r="J100" s="3"/>
      <c r="K100" s="3"/>
      <c r="L100" s="3"/>
      <c r="M100" s="3"/>
      <c r="N100" s="3"/>
      <c r="O100" s="3"/>
      <c r="Y100" s="3"/>
      <c r="Z100" s="3"/>
      <c r="AA100" s="3"/>
      <c r="AB100" s="3"/>
      <c r="AC100" s="3"/>
      <c r="AD100" s="3"/>
      <c r="AE100" s="3"/>
      <c r="AF100" s="3"/>
      <c r="AG100" s="3"/>
      <c r="AH100" s="3"/>
      <c r="AI100" s="3"/>
      <c r="AJ100" s="3"/>
      <c r="AK100" s="3"/>
      <c r="AL100" s="3"/>
      <c r="AM100" s="3"/>
      <c r="AN100" s="3"/>
      <c r="AO100" s="3"/>
      <c r="AP100" s="3"/>
      <c r="AQ100" s="3"/>
      <c r="AR100" s="3"/>
    </row>
    <row r="101" spans="1:44" s="2" customFormat="1" ht="30" x14ac:dyDescent="0.25">
      <c r="A101" s="33" t="s">
        <v>78</v>
      </c>
      <c r="B101" s="34"/>
      <c r="C101" s="34"/>
      <c r="D101" s="34"/>
      <c r="E101" s="34"/>
      <c r="F101" s="34"/>
      <c r="G101" s="34">
        <v>1365</v>
      </c>
      <c r="J101" s="3"/>
      <c r="K101" s="3"/>
      <c r="L101" s="3"/>
      <c r="M101" s="3"/>
      <c r="N101" s="3"/>
      <c r="O101" s="3"/>
      <c r="Y101" s="3"/>
      <c r="Z101" s="3"/>
      <c r="AA101" s="3"/>
      <c r="AB101" s="3"/>
      <c r="AC101" s="3"/>
      <c r="AD101" s="3"/>
      <c r="AE101" s="3"/>
      <c r="AF101" s="3"/>
      <c r="AG101" s="3"/>
      <c r="AH101" s="3"/>
      <c r="AI101" s="3"/>
      <c r="AJ101" s="3"/>
      <c r="AK101" s="3"/>
      <c r="AL101" s="3"/>
      <c r="AM101" s="3"/>
      <c r="AN101" s="3"/>
      <c r="AO101" s="3"/>
      <c r="AP101" s="3"/>
      <c r="AQ101" s="3"/>
      <c r="AR101" s="3"/>
    </row>
    <row r="102" spans="1:44" s="2" customFormat="1" x14ac:dyDescent="0.25">
      <c r="J102" s="3"/>
      <c r="K102" s="3"/>
      <c r="L102" s="3"/>
      <c r="M102" s="3"/>
      <c r="N102" s="3"/>
      <c r="O102" s="3"/>
      <c r="Y102" s="3"/>
      <c r="Z102" s="3"/>
      <c r="AA102" s="3"/>
      <c r="AB102" s="3"/>
      <c r="AC102" s="3"/>
      <c r="AD102" s="3"/>
      <c r="AE102" s="3"/>
      <c r="AF102" s="3"/>
      <c r="AG102" s="3"/>
      <c r="AH102" s="3"/>
      <c r="AI102" s="3"/>
      <c r="AJ102" s="3"/>
      <c r="AK102" s="3"/>
      <c r="AL102" s="3"/>
      <c r="AM102" s="3"/>
      <c r="AN102" s="3"/>
      <c r="AO102" s="3"/>
      <c r="AP102" s="3"/>
      <c r="AQ102" s="3"/>
      <c r="AR102" s="3"/>
    </row>
    <row r="103" spans="1:44" s="2" customFormat="1" x14ac:dyDescent="0.25">
      <c r="J103" s="3"/>
      <c r="K103" s="3"/>
      <c r="L103" s="3"/>
      <c r="M103" s="3"/>
      <c r="N103" s="3"/>
      <c r="O103" s="3"/>
      <c r="Y103" s="3"/>
      <c r="Z103" s="3"/>
      <c r="AA103" s="3"/>
      <c r="AB103" s="3"/>
      <c r="AC103" s="3"/>
      <c r="AD103" s="3"/>
      <c r="AE103" s="3"/>
      <c r="AF103" s="3"/>
      <c r="AG103" s="3"/>
      <c r="AH103" s="3"/>
      <c r="AI103" s="3"/>
      <c r="AJ103" s="3"/>
      <c r="AK103" s="3"/>
      <c r="AL103" s="3"/>
      <c r="AM103" s="3"/>
      <c r="AN103" s="3"/>
      <c r="AO103" s="3"/>
      <c r="AP103" s="3"/>
      <c r="AQ103" s="3"/>
      <c r="AR103" s="3"/>
    </row>
    <row r="104" spans="1:44" s="2" customFormat="1" ht="45" x14ac:dyDescent="0.25">
      <c r="A104" s="38" t="s">
        <v>79</v>
      </c>
      <c r="B104" s="39" t="s">
        <v>80</v>
      </c>
      <c r="C104" s="39" t="s">
        <v>81</v>
      </c>
      <c r="D104" s="43"/>
      <c r="E104" s="43"/>
      <c r="F104" s="43"/>
      <c r="J104" s="3"/>
      <c r="K104" s="3"/>
      <c r="L104" s="3"/>
      <c r="M104" s="3"/>
      <c r="N104" s="3"/>
      <c r="O104" s="3"/>
      <c r="Y104" s="3"/>
      <c r="Z104" s="3"/>
      <c r="AA104" s="3"/>
      <c r="AB104" s="3"/>
      <c r="AC104" s="3"/>
      <c r="AD104" s="3"/>
      <c r="AE104" s="3"/>
      <c r="AF104" s="3"/>
      <c r="AG104" s="3"/>
      <c r="AH104" s="3"/>
      <c r="AI104" s="3"/>
      <c r="AJ104" s="3"/>
      <c r="AK104" s="3"/>
      <c r="AL104" s="3"/>
      <c r="AM104" s="3"/>
      <c r="AN104" s="3"/>
      <c r="AO104" s="3"/>
      <c r="AP104" s="3"/>
      <c r="AQ104" s="3"/>
      <c r="AR104" s="3"/>
    </row>
    <row r="105" spans="1:44" s="2" customFormat="1" ht="27" customHeight="1" x14ac:dyDescent="0.25">
      <c r="A105" s="33" t="s">
        <v>82</v>
      </c>
      <c r="B105" s="34" t="s">
        <v>83</v>
      </c>
      <c r="C105" s="34" t="s">
        <v>84</v>
      </c>
      <c r="J105" s="3"/>
      <c r="K105" s="3"/>
      <c r="L105" s="3"/>
      <c r="M105" s="3"/>
      <c r="N105" s="3"/>
      <c r="O105" s="3"/>
      <c r="Y105" s="3"/>
      <c r="Z105" s="3"/>
      <c r="AA105" s="3"/>
      <c r="AB105" s="3"/>
      <c r="AC105" s="3"/>
      <c r="AD105" s="3"/>
      <c r="AE105" s="3"/>
      <c r="AF105" s="3"/>
      <c r="AG105" s="3"/>
      <c r="AH105" s="3"/>
      <c r="AI105" s="3"/>
      <c r="AJ105" s="3"/>
      <c r="AK105" s="3"/>
      <c r="AL105" s="3"/>
      <c r="AM105" s="3"/>
      <c r="AN105" s="3"/>
      <c r="AO105" s="3"/>
      <c r="AP105" s="3"/>
      <c r="AQ105" s="3"/>
      <c r="AR105" s="3"/>
    </row>
    <row r="106" spans="1:44" s="2" customFormat="1" x14ac:dyDescent="0.25">
      <c r="A106" s="33" t="s">
        <v>85</v>
      </c>
      <c r="B106" s="34" t="s">
        <v>86</v>
      </c>
      <c r="C106" s="34" t="s">
        <v>87</v>
      </c>
      <c r="J106" s="3"/>
      <c r="K106" s="3"/>
      <c r="L106" s="3"/>
      <c r="M106" s="3"/>
      <c r="N106" s="3"/>
      <c r="O106" s="3"/>
      <c r="Y106" s="3"/>
      <c r="Z106" s="3"/>
      <c r="AA106" s="3"/>
      <c r="AB106" s="3"/>
      <c r="AC106" s="3"/>
      <c r="AD106" s="3"/>
      <c r="AE106" s="3"/>
      <c r="AF106" s="3"/>
      <c r="AG106" s="3"/>
      <c r="AH106" s="3"/>
      <c r="AI106" s="3"/>
      <c r="AJ106" s="3"/>
      <c r="AK106" s="3"/>
      <c r="AL106" s="3"/>
      <c r="AM106" s="3"/>
      <c r="AN106" s="3"/>
      <c r="AO106" s="3"/>
      <c r="AP106" s="3"/>
      <c r="AQ106" s="3"/>
      <c r="AR106" s="3"/>
    </row>
    <row r="107" spans="1:44" s="2" customFormat="1" ht="30" x14ac:dyDescent="0.25">
      <c r="A107" s="33" t="s">
        <v>88</v>
      </c>
      <c r="B107" s="34" t="s">
        <v>89</v>
      </c>
      <c r="C107" s="34" t="s">
        <v>90</v>
      </c>
      <c r="J107" s="3"/>
      <c r="K107" s="3"/>
      <c r="L107" s="3"/>
      <c r="M107" s="3"/>
      <c r="N107" s="3"/>
      <c r="O107" s="3"/>
      <c r="Y107" s="3"/>
      <c r="Z107" s="3"/>
      <c r="AA107" s="3"/>
      <c r="AB107" s="3"/>
      <c r="AC107" s="3"/>
      <c r="AD107" s="3"/>
      <c r="AE107" s="3"/>
      <c r="AF107" s="3"/>
      <c r="AG107" s="3"/>
      <c r="AH107" s="3"/>
      <c r="AI107" s="3"/>
      <c r="AJ107" s="3"/>
      <c r="AK107" s="3"/>
      <c r="AL107" s="3"/>
      <c r="AM107" s="3"/>
      <c r="AN107" s="3"/>
      <c r="AO107" s="3"/>
      <c r="AP107" s="3"/>
      <c r="AQ107" s="3"/>
      <c r="AR107" s="3"/>
    </row>
    <row r="108" spans="1:44" s="2" customFormat="1" x14ac:dyDescent="0.25">
      <c r="A108" s="33" t="s">
        <v>91</v>
      </c>
      <c r="B108" s="34" t="s">
        <v>92</v>
      </c>
      <c r="C108" s="34"/>
      <c r="J108" s="3"/>
      <c r="K108" s="3"/>
      <c r="L108" s="3"/>
      <c r="M108" s="3"/>
      <c r="N108" s="3"/>
      <c r="O108" s="3"/>
      <c r="Y108" s="3"/>
      <c r="Z108" s="3"/>
      <c r="AA108" s="3"/>
      <c r="AB108" s="3"/>
      <c r="AC108" s="3"/>
      <c r="AD108" s="3"/>
      <c r="AE108" s="3"/>
      <c r="AF108" s="3"/>
      <c r="AG108" s="3"/>
      <c r="AH108" s="3"/>
      <c r="AI108" s="3"/>
      <c r="AJ108" s="3"/>
      <c r="AK108" s="3"/>
      <c r="AL108" s="3"/>
      <c r="AM108" s="3"/>
      <c r="AN108" s="3"/>
      <c r="AO108" s="3"/>
      <c r="AP108" s="3"/>
      <c r="AQ108" s="3"/>
      <c r="AR108" s="3"/>
    </row>
    <row r="109" spans="1:44" s="2" customFormat="1" x14ac:dyDescent="0.25">
      <c r="A109" s="33" t="s">
        <v>93</v>
      </c>
      <c r="B109" s="34" t="s">
        <v>94</v>
      </c>
      <c r="C109" s="34"/>
      <c r="J109" s="3"/>
      <c r="K109" s="3"/>
      <c r="L109" s="3"/>
      <c r="M109" s="3"/>
      <c r="N109" s="3"/>
      <c r="O109" s="3"/>
      <c r="Y109" s="3"/>
      <c r="Z109" s="3"/>
      <c r="AA109" s="3"/>
      <c r="AB109" s="3"/>
      <c r="AC109" s="3"/>
      <c r="AD109" s="3"/>
      <c r="AE109" s="3"/>
      <c r="AF109" s="3"/>
      <c r="AG109" s="3"/>
      <c r="AH109" s="3"/>
      <c r="AI109" s="3"/>
      <c r="AJ109" s="3"/>
      <c r="AK109" s="3"/>
      <c r="AL109" s="3"/>
      <c r="AM109" s="3"/>
      <c r="AN109" s="3"/>
      <c r="AO109" s="3"/>
      <c r="AP109" s="3"/>
      <c r="AQ109" s="3"/>
      <c r="AR109" s="3"/>
    </row>
    <row r="110" spans="1:44" s="2" customFormat="1" x14ac:dyDescent="0.25">
      <c r="A110" s="33" t="s">
        <v>95</v>
      </c>
      <c r="B110" s="34" t="s">
        <v>89</v>
      </c>
      <c r="C110" s="34"/>
      <c r="J110" s="3"/>
      <c r="K110" s="3"/>
      <c r="L110" s="3"/>
      <c r="M110" s="3"/>
      <c r="N110" s="3"/>
      <c r="O110" s="3"/>
      <c r="Y110" s="3"/>
      <c r="Z110" s="3"/>
      <c r="AA110" s="3"/>
      <c r="AB110" s="3"/>
      <c r="AC110" s="3"/>
      <c r="AD110" s="3"/>
      <c r="AE110" s="3"/>
      <c r="AF110" s="3"/>
      <c r="AG110" s="3"/>
      <c r="AH110" s="3"/>
      <c r="AI110" s="3"/>
      <c r="AJ110" s="3"/>
      <c r="AK110" s="3"/>
      <c r="AL110" s="3"/>
      <c r="AM110" s="3"/>
      <c r="AN110" s="3"/>
      <c r="AO110" s="3"/>
      <c r="AP110" s="3"/>
      <c r="AQ110" s="3"/>
      <c r="AR110" s="3"/>
    </row>
    <row r="111" spans="1:44" s="2" customFormat="1" x14ac:dyDescent="0.25">
      <c r="A111" s="33" t="s">
        <v>96</v>
      </c>
      <c r="B111" s="34"/>
      <c r="C111" s="34" t="s">
        <v>84</v>
      </c>
      <c r="J111" s="3"/>
      <c r="K111" s="3"/>
      <c r="L111" s="3"/>
      <c r="M111" s="3"/>
      <c r="N111" s="3"/>
      <c r="O111" s="3"/>
      <c r="Y111" s="3"/>
      <c r="Z111" s="3"/>
      <c r="AA111" s="3"/>
      <c r="AB111" s="3"/>
      <c r="AC111" s="3"/>
      <c r="AD111" s="3"/>
      <c r="AE111" s="3"/>
      <c r="AF111" s="3"/>
      <c r="AG111" s="3"/>
      <c r="AH111" s="3"/>
      <c r="AI111" s="3"/>
      <c r="AJ111" s="3"/>
      <c r="AK111" s="3"/>
      <c r="AL111" s="3"/>
      <c r="AM111" s="3"/>
      <c r="AN111" s="3"/>
      <c r="AO111" s="3"/>
      <c r="AP111" s="3"/>
      <c r="AQ111" s="3"/>
      <c r="AR111" s="3"/>
    </row>
    <row r="112" spans="1:44" s="2" customFormat="1" x14ac:dyDescent="0.25">
      <c r="A112" s="33" t="s">
        <v>97</v>
      </c>
      <c r="B112" s="34"/>
      <c r="C112" s="34" t="s">
        <v>98</v>
      </c>
      <c r="J112" s="3"/>
      <c r="K112" s="3"/>
      <c r="L112" s="3"/>
      <c r="M112" s="3"/>
      <c r="N112" s="3"/>
      <c r="O112" s="3"/>
      <c r="Y112" s="3"/>
      <c r="Z112" s="3"/>
      <c r="AA112" s="3"/>
      <c r="AB112" s="3"/>
      <c r="AC112" s="3"/>
      <c r="AD112" s="3"/>
      <c r="AE112" s="3"/>
      <c r="AF112" s="3"/>
      <c r="AG112" s="3"/>
      <c r="AH112" s="3"/>
      <c r="AI112" s="3"/>
      <c r="AJ112" s="3"/>
      <c r="AK112" s="3"/>
      <c r="AL112" s="3"/>
      <c r="AM112" s="3"/>
      <c r="AN112" s="3"/>
      <c r="AO112" s="3"/>
      <c r="AP112" s="3"/>
      <c r="AQ112" s="3"/>
      <c r="AR112" s="3"/>
    </row>
    <row r="113" spans="1:44" s="2" customFormat="1" x14ac:dyDescent="0.25">
      <c r="J113" s="3"/>
      <c r="K113" s="3"/>
      <c r="L113" s="3"/>
      <c r="M113" s="3"/>
      <c r="N113" s="3"/>
      <c r="O113" s="3"/>
      <c r="Y113" s="3"/>
      <c r="Z113" s="3"/>
      <c r="AA113" s="3"/>
      <c r="AB113" s="3"/>
      <c r="AC113" s="3"/>
      <c r="AD113" s="3"/>
      <c r="AE113" s="3"/>
      <c r="AF113" s="3"/>
      <c r="AG113" s="3"/>
      <c r="AH113" s="3"/>
      <c r="AI113" s="3"/>
      <c r="AJ113" s="3"/>
      <c r="AK113" s="3"/>
      <c r="AL113" s="3"/>
      <c r="AM113" s="3"/>
      <c r="AN113" s="3"/>
      <c r="AO113" s="3"/>
      <c r="AP113" s="3"/>
      <c r="AQ113" s="3"/>
      <c r="AR113" s="3"/>
    </row>
    <row r="114" spans="1:44" s="2" customFormat="1" x14ac:dyDescent="0.25">
      <c r="J114" s="3"/>
      <c r="K114" s="3"/>
      <c r="L114" s="3"/>
      <c r="M114" s="3"/>
      <c r="N114" s="3"/>
      <c r="O114" s="3"/>
      <c r="Y114" s="3"/>
      <c r="Z114" s="3"/>
      <c r="AA114" s="3"/>
      <c r="AB114" s="3"/>
      <c r="AC114" s="3"/>
      <c r="AD114" s="3"/>
      <c r="AE114" s="3"/>
      <c r="AF114" s="3"/>
      <c r="AG114" s="3"/>
      <c r="AH114" s="3"/>
      <c r="AI114" s="3"/>
      <c r="AJ114" s="3"/>
      <c r="AK114" s="3"/>
      <c r="AL114" s="3"/>
      <c r="AM114" s="3"/>
      <c r="AN114" s="3"/>
      <c r="AO114" s="3"/>
      <c r="AP114" s="3"/>
      <c r="AQ114" s="3"/>
      <c r="AR114" s="3"/>
    </row>
    <row r="115" spans="1:44" s="2" customFormat="1" x14ac:dyDescent="0.25">
      <c r="J115" s="3"/>
      <c r="K115" s="3"/>
      <c r="L115" s="3"/>
      <c r="M115" s="3"/>
      <c r="N115" s="3"/>
      <c r="O115" s="3"/>
      <c r="Y115" s="3"/>
      <c r="Z115" s="3"/>
      <c r="AA115" s="3"/>
      <c r="AB115" s="3"/>
      <c r="AC115" s="3"/>
      <c r="AD115" s="3"/>
      <c r="AE115" s="3"/>
      <c r="AF115" s="3"/>
      <c r="AG115" s="3"/>
      <c r="AH115" s="3"/>
      <c r="AI115" s="3"/>
      <c r="AJ115" s="3"/>
      <c r="AK115" s="3"/>
      <c r="AL115" s="3"/>
      <c r="AM115" s="3"/>
      <c r="AN115" s="3"/>
      <c r="AO115" s="3"/>
      <c r="AP115" s="3"/>
      <c r="AQ115" s="3"/>
      <c r="AR115" s="3"/>
    </row>
    <row r="116" spans="1:44" s="2" customFormat="1" x14ac:dyDescent="0.25">
      <c r="J116" s="3"/>
      <c r="K116" s="3"/>
      <c r="L116" s="3"/>
      <c r="M116" s="3"/>
      <c r="N116" s="3"/>
      <c r="O116" s="3"/>
      <c r="Y116" s="3"/>
      <c r="Z116" s="3"/>
      <c r="AA116" s="3"/>
      <c r="AB116" s="3"/>
      <c r="AC116" s="3"/>
      <c r="AD116" s="3"/>
      <c r="AE116" s="3"/>
      <c r="AF116" s="3"/>
      <c r="AG116" s="3"/>
      <c r="AH116" s="3"/>
      <c r="AI116" s="3"/>
      <c r="AJ116" s="3"/>
      <c r="AK116" s="3"/>
      <c r="AL116" s="3"/>
      <c r="AM116" s="3"/>
      <c r="AN116" s="3"/>
      <c r="AO116" s="3"/>
      <c r="AP116" s="3"/>
      <c r="AQ116" s="3"/>
      <c r="AR116" s="3"/>
    </row>
    <row r="117" spans="1:44" s="2" customFormat="1" x14ac:dyDescent="0.25">
      <c r="J117" s="3"/>
      <c r="K117" s="3"/>
      <c r="L117" s="3"/>
      <c r="M117" s="3"/>
      <c r="N117" s="3"/>
      <c r="O117" s="3"/>
      <c r="Y117" s="3"/>
      <c r="Z117" s="3"/>
      <c r="AA117" s="3"/>
      <c r="AB117" s="3"/>
      <c r="AC117" s="3"/>
      <c r="AD117" s="3"/>
      <c r="AE117" s="3"/>
      <c r="AF117" s="3"/>
      <c r="AG117" s="3"/>
      <c r="AH117" s="3"/>
      <c r="AI117" s="3"/>
      <c r="AJ117" s="3"/>
      <c r="AK117" s="3"/>
      <c r="AL117" s="3"/>
      <c r="AM117" s="3"/>
      <c r="AN117" s="3"/>
      <c r="AO117" s="3"/>
      <c r="AP117" s="3"/>
      <c r="AQ117" s="3"/>
      <c r="AR117" s="3"/>
    </row>
    <row r="118" spans="1:44" s="2" customFormat="1" x14ac:dyDescent="0.25">
      <c r="A118" s="1"/>
      <c r="J118" s="3"/>
      <c r="K118" s="3"/>
      <c r="L118" s="3"/>
      <c r="M118" s="3"/>
      <c r="N118" s="3"/>
      <c r="O118" s="3"/>
      <c r="Y118" s="3"/>
      <c r="Z118" s="3"/>
      <c r="AA118" s="3"/>
      <c r="AB118" s="3"/>
      <c r="AC118" s="3"/>
      <c r="AD118" s="3"/>
      <c r="AE118" s="3"/>
      <c r="AF118" s="3"/>
      <c r="AG118" s="3"/>
      <c r="AH118" s="3"/>
      <c r="AI118" s="3"/>
      <c r="AJ118" s="3"/>
      <c r="AK118" s="3"/>
      <c r="AL118" s="3"/>
      <c r="AM118" s="3"/>
      <c r="AN118" s="3"/>
      <c r="AO118" s="3"/>
      <c r="AP118" s="3"/>
      <c r="AQ118" s="3"/>
      <c r="AR118" s="3"/>
    </row>
    <row r="119" spans="1:44" s="2" customFormat="1" x14ac:dyDescent="0.25">
      <c r="A119" s="1"/>
      <c r="J119" s="3"/>
      <c r="K119" s="3"/>
      <c r="L119" s="3"/>
      <c r="M119" s="3"/>
      <c r="N119" s="3"/>
      <c r="O119" s="3"/>
      <c r="Y119" s="3"/>
      <c r="Z119" s="3"/>
      <c r="AA119" s="3"/>
      <c r="AB119" s="3"/>
      <c r="AC119" s="3"/>
      <c r="AD119" s="3"/>
      <c r="AE119" s="3"/>
      <c r="AF119" s="3"/>
      <c r="AG119" s="3"/>
      <c r="AH119" s="3"/>
      <c r="AI119" s="3"/>
      <c r="AJ119" s="3"/>
      <c r="AK119" s="3"/>
      <c r="AL119" s="3"/>
      <c r="AM119" s="3"/>
      <c r="AN119" s="3"/>
      <c r="AO119" s="3"/>
      <c r="AP119" s="3"/>
      <c r="AQ119" s="3"/>
      <c r="AR119" s="3"/>
    </row>
    <row r="120" spans="1:44" s="2" customFormat="1" x14ac:dyDescent="0.25">
      <c r="A120" s="1"/>
      <c r="J120" s="3"/>
      <c r="K120" s="3"/>
      <c r="L120" s="3"/>
      <c r="M120" s="3"/>
      <c r="N120" s="3"/>
      <c r="O120" s="3"/>
      <c r="Y120" s="3"/>
      <c r="Z120" s="3"/>
      <c r="AA120" s="3"/>
      <c r="AB120" s="3"/>
      <c r="AC120" s="3"/>
      <c r="AD120" s="3"/>
      <c r="AE120" s="3"/>
      <c r="AF120" s="3"/>
      <c r="AG120" s="3"/>
      <c r="AH120" s="3"/>
      <c r="AI120" s="3"/>
      <c r="AJ120" s="3"/>
      <c r="AK120" s="3"/>
      <c r="AL120" s="3"/>
      <c r="AM120" s="3"/>
      <c r="AN120" s="3"/>
      <c r="AO120" s="3"/>
      <c r="AP120" s="3"/>
      <c r="AQ120" s="3"/>
      <c r="AR120" s="3"/>
    </row>
    <row r="121" spans="1:44" s="2" customFormat="1" x14ac:dyDescent="0.25">
      <c r="A121" s="1"/>
      <c r="J121" s="3"/>
      <c r="K121" s="3"/>
      <c r="L121" s="3"/>
      <c r="M121" s="3"/>
      <c r="N121" s="3"/>
      <c r="O121" s="3"/>
      <c r="Y121" s="3"/>
      <c r="Z121" s="3"/>
      <c r="AA121" s="3"/>
      <c r="AB121" s="3"/>
      <c r="AC121" s="3"/>
      <c r="AD121" s="3"/>
      <c r="AE121" s="3"/>
      <c r="AF121" s="3"/>
      <c r="AG121" s="3"/>
      <c r="AH121" s="3"/>
      <c r="AI121" s="3"/>
      <c r="AJ121" s="3"/>
      <c r="AK121" s="3"/>
      <c r="AL121" s="3"/>
      <c r="AM121" s="3"/>
      <c r="AN121" s="3"/>
      <c r="AO121" s="3"/>
      <c r="AP121" s="3"/>
      <c r="AQ121" s="3"/>
      <c r="AR121" s="3"/>
    </row>
    <row r="122" spans="1:44" s="2" customFormat="1" x14ac:dyDescent="0.25">
      <c r="A122" s="1"/>
      <c r="J122" s="3"/>
      <c r="K122" s="3"/>
      <c r="L122" s="3"/>
      <c r="M122" s="3"/>
      <c r="N122" s="3"/>
      <c r="O122" s="3"/>
      <c r="Y122" s="3"/>
      <c r="Z122" s="3"/>
      <c r="AA122" s="3"/>
      <c r="AB122" s="3"/>
      <c r="AC122" s="3"/>
      <c r="AD122" s="3"/>
      <c r="AE122" s="3"/>
      <c r="AF122" s="3"/>
      <c r="AG122" s="3"/>
      <c r="AH122" s="3"/>
      <c r="AI122" s="3"/>
      <c r="AJ122" s="3"/>
      <c r="AK122" s="3"/>
      <c r="AL122" s="3"/>
      <c r="AM122" s="3"/>
      <c r="AN122" s="3"/>
      <c r="AO122" s="3"/>
      <c r="AP122" s="3"/>
      <c r="AQ122" s="3"/>
      <c r="AR122" s="3"/>
    </row>
    <row r="123" spans="1:44" s="2" customFormat="1" x14ac:dyDescent="0.25">
      <c r="A123" s="1"/>
      <c r="J123" s="3"/>
      <c r="K123" s="3"/>
      <c r="L123" s="3"/>
      <c r="M123" s="3"/>
      <c r="N123" s="3"/>
      <c r="O123" s="3"/>
      <c r="Y123" s="3"/>
      <c r="Z123" s="3"/>
      <c r="AA123" s="3"/>
      <c r="AB123" s="3"/>
      <c r="AC123" s="3"/>
      <c r="AD123" s="3"/>
      <c r="AE123" s="3"/>
      <c r="AF123" s="3"/>
      <c r="AG123" s="3"/>
      <c r="AH123" s="3"/>
      <c r="AI123" s="3"/>
      <c r="AJ123" s="3"/>
      <c r="AK123" s="3"/>
      <c r="AL123" s="3"/>
      <c r="AM123" s="3"/>
      <c r="AN123" s="3"/>
      <c r="AO123" s="3"/>
      <c r="AP123" s="3"/>
      <c r="AQ123" s="3"/>
      <c r="AR123" s="3"/>
    </row>
    <row r="124" spans="1:44" s="2" customFormat="1" x14ac:dyDescent="0.25">
      <c r="A124" s="1"/>
      <c r="J124" s="3"/>
      <c r="K124" s="3"/>
      <c r="L124" s="3"/>
      <c r="M124" s="3"/>
      <c r="N124" s="3"/>
      <c r="O124" s="3"/>
      <c r="Y124" s="3"/>
      <c r="Z124" s="3"/>
      <c r="AA124" s="3"/>
      <c r="AB124" s="3"/>
      <c r="AC124" s="3"/>
      <c r="AD124" s="3"/>
      <c r="AE124" s="3"/>
      <c r="AF124" s="3"/>
      <c r="AG124" s="3"/>
      <c r="AH124" s="3"/>
      <c r="AI124" s="3"/>
      <c r="AJ124" s="3"/>
      <c r="AK124" s="3"/>
      <c r="AL124" s="3"/>
      <c r="AM124" s="3"/>
      <c r="AN124" s="3"/>
      <c r="AO124" s="3"/>
      <c r="AP124" s="3"/>
      <c r="AQ124" s="3"/>
      <c r="AR124" s="3"/>
    </row>
    <row r="125" spans="1:44" s="2" customFormat="1" x14ac:dyDescent="0.25">
      <c r="A125" s="1"/>
      <c r="J125" s="3"/>
      <c r="K125" s="3"/>
      <c r="L125" s="3"/>
      <c r="M125" s="3"/>
      <c r="N125" s="3"/>
      <c r="O125" s="3"/>
      <c r="Y125" s="3"/>
      <c r="Z125" s="3"/>
      <c r="AA125" s="3"/>
      <c r="AB125" s="3"/>
      <c r="AC125" s="3"/>
      <c r="AD125" s="3"/>
      <c r="AE125" s="3"/>
      <c r="AF125" s="3"/>
      <c r="AG125" s="3"/>
      <c r="AH125" s="3"/>
      <c r="AI125" s="3"/>
      <c r="AJ125" s="3"/>
      <c r="AK125" s="3"/>
      <c r="AL125" s="3"/>
      <c r="AM125" s="3"/>
      <c r="AN125" s="3"/>
      <c r="AO125" s="3"/>
      <c r="AP125" s="3"/>
      <c r="AQ125" s="3"/>
      <c r="AR125" s="3"/>
    </row>
    <row r="126" spans="1:44" s="2" customFormat="1" x14ac:dyDescent="0.25">
      <c r="A126" s="1"/>
      <c r="J126" s="3"/>
      <c r="K126" s="3"/>
      <c r="L126" s="3"/>
      <c r="M126" s="3"/>
      <c r="N126" s="3"/>
      <c r="O126" s="3"/>
      <c r="Y126" s="3"/>
      <c r="Z126" s="3"/>
      <c r="AA126" s="3"/>
      <c r="AB126" s="3"/>
      <c r="AC126" s="3"/>
      <c r="AD126" s="3"/>
      <c r="AE126" s="3"/>
      <c r="AF126" s="3"/>
      <c r="AG126" s="3"/>
      <c r="AH126" s="3"/>
      <c r="AI126" s="3"/>
      <c r="AJ126" s="3"/>
      <c r="AK126" s="3"/>
      <c r="AL126" s="3"/>
      <c r="AM126" s="3"/>
      <c r="AN126" s="3"/>
      <c r="AO126" s="3"/>
      <c r="AP126" s="3"/>
      <c r="AQ126" s="3"/>
      <c r="AR126" s="3"/>
    </row>
    <row r="127" spans="1:44" s="2" customFormat="1" x14ac:dyDescent="0.25">
      <c r="A127" s="1"/>
      <c r="J127" s="3"/>
      <c r="K127" s="3"/>
      <c r="L127" s="3"/>
      <c r="M127" s="3"/>
      <c r="N127" s="3"/>
      <c r="O127" s="3"/>
      <c r="Y127" s="3"/>
      <c r="Z127" s="3"/>
      <c r="AA127" s="3"/>
      <c r="AB127" s="3"/>
      <c r="AC127" s="3"/>
      <c r="AD127" s="3"/>
      <c r="AE127" s="3"/>
      <c r="AF127" s="3"/>
      <c r="AG127" s="3"/>
      <c r="AH127" s="3"/>
      <c r="AI127" s="3"/>
      <c r="AJ127" s="3"/>
      <c r="AK127" s="3"/>
      <c r="AL127" s="3"/>
      <c r="AM127" s="3"/>
      <c r="AN127" s="3"/>
      <c r="AO127" s="3"/>
      <c r="AP127" s="3"/>
      <c r="AQ127" s="3"/>
      <c r="AR127" s="3"/>
    </row>
    <row r="128" spans="1:44" s="2" customFormat="1" x14ac:dyDescent="0.25">
      <c r="A128" s="1"/>
      <c r="J128" s="3"/>
      <c r="K128" s="3"/>
      <c r="L128" s="3"/>
      <c r="M128" s="3"/>
      <c r="N128" s="3"/>
      <c r="O128" s="3"/>
      <c r="Y128" s="3"/>
      <c r="Z128" s="3"/>
      <c r="AA128" s="3"/>
      <c r="AB128" s="3"/>
      <c r="AC128" s="3"/>
      <c r="AD128" s="3"/>
      <c r="AE128" s="3"/>
      <c r="AF128" s="3"/>
      <c r="AG128" s="3"/>
      <c r="AH128" s="3"/>
      <c r="AI128" s="3"/>
      <c r="AJ128" s="3"/>
      <c r="AK128" s="3"/>
      <c r="AL128" s="3"/>
      <c r="AM128" s="3"/>
      <c r="AN128" s="3"/>
      <c r="AO128" s="3"/>
      <c r="AP128" s="3"/>
      <c r="AQ128" s="3"/>
      <c r="AR128" s="3"/>
    </row>
    <row r="129" spans="1:44" s="2" customFormat="1" x14ac:dyDescent="0.25">
      <c r="A129" s="1"/>
      <c r="J129" s="3"/>
      <c r="K129" s="3"/>
      <c r="L129" s="3"/>
      <c r="M129" s="3"/>
      <c r="N129" s="3"/>
      <c r="O129" s="3"/>
      <c r="Y129" s="3"/>
      <c r="Z129" s="3"/>
      <c r="AA129" s="3"/>
      <c r="AB129" s="3"/>
      <c r="AC129" s="3"/>
      <c r="AD129" s="3"/>
      <c r="AE129" s="3"/>
      <c r="AF129" s="3"/>
      <c r="AG129" s="3"/>
      <c r="AH129" s="3"/>
      <c r="AI129" s="3"/>
      <c r="AJ129" s="3"/>
      <c r="AK129" s="3"/>
      <c r="AL129" s="3"/>
      <c r="AM129" s="3"/>
      <c r="AN129" s="3"/>
      <c r="AO129" s="3"/>
      <c r="AP129" s="3"/>
      <c r="AQ129" s="3"/>
      <c r="AR129" s="3"/>
    </row>
    <row r="130" spans="1:44" s="2" customFormat="1" x14ac:dyDescent="0.25">
      <c r="A130" s="1"/>
      <c r="J130" s="3"/>
      <c r="K130" s="3"/>
      <c r="L130" s="3"/>
      <c r="M130" s="3"/>
      <c r="N130" s="3"/>
      <c r="O130" s="3"/>
      <c r="Y130" s="3"/>
      <c r="Z130" s="3"/>
      <c r="AA130" s="3"/>
      <c r="AB130" s="3"/>
      <c r="AC130" s="3"/>
      <c r="AD130" s="3"/>
      <c r="AE130" s="3"/>
      <c r="AF130" s="3"/>
      <c r="AG130" s="3"/>
      <c r="AH130" s="3"/>
      <c r="AI130" s="3"/>
      <c r="AJ130" s="3"/>
      <c r="AK130" s="3"/>
      <c r="AL130" s="3"/>
      <c r="AM130" s="3"/>
      <c r="AN130" s="3"/>
      <c r="AO130" s="3"/>
      <c r="AP130" s="3"/>
      <c r="AQ130" s="3"/>
      <c r="AR130" s="3"/>
    </row>
    <row r="131" spans="1:44" s="2" customFormat="1" x14ac:dyDescent="0.25">
      <c r="A131" s="1"/>
      <c r="J131" s="3"/>
      <c r="K131" s="3"/>
      <c r="L131" s="3"/>
      <c r="M131" s="3"/>
      <c r="N131" s="3"/>
      <c r="O131" s="3"/>
      <c r="Y131" s="3"/>
      <c r="Z131" s="3"/>
      <c r="AA131" s="3"/>
      <c r="AB131" s="3"/>
      <c r="AC131" s="3"/>
      <c r="AD131" s="3"/>
      <c r="AE131" s="3"/>
      <c r="AF131" s="3"/>
      <c r="AG131" s="3"/>
      <c r="AH131" s="3"/>
      <c r="AI131" s="3"/>
      <c r="AJ131" s="3"/>
      <c r="AK131" s="3"/>
      <c r="AL131" s="3"/>
      <c r="AM131" s="3"/>
      <c r="AN131" s="3"/>
      <c r="AO131" s="3"/>
      <c r="AP131" s="3"/>
      <c r="AQ131" s="3"/>
      <c r="AR131" s="3"/>
    </row>
    <row r="132" spans="1:44" s="2" customFormat="1" x14ac:dyDescent="0.25">
      <c r="A132" s="1"/>
      <c r="J132" s="3"/>
      <c r="K132" s="3"/>
      <c r="L132" s="3"/>
      <c r="M132" s="3"/>
      <c r="N132" s="3"/>
      <c r="O132" s="3"/>
      <c r="Y132" s="3"/>
      <c r="Z132" s="3"/>
      <c r="AA132" s="3"/>
      <c r="AB132" s="3"/>
      <c r="AC132" s="3"/>
      <c r="AD132" s="3"/>
      <c r="AE132" s="3"/>
      <c r="AF132" s="3"/>
      <c r="AG132" s="3"/>
      <c r="AH132" s="3"/>
      <c r="AI132" s="3"/>
      <c r="AJ132" s="3"/>
      <c r="AK132" s="3"/>
      <c r="AL132" s="3"/>
      <c r="AM132" s="3"/>
      <c r="AN132" s="3"/>
      <c r="AO132" s="3"/>
      <c r="AP132" s="3"/>
      <c r="AQ132" s="3"/>
      <c r="AR132" s="3"/>
    </row>
    <row r="133" spans="1:44" s="2" customFormat="1" x14ac:dyDescent="0.25">
      <c r="A133" s="1"/>
      <c r="J133" s="3"/>
      <c r="K133" s="3"/>
      <c r="L133" s="3"/>
      <c r="M133" s="3"/>
      <c r="N133" s="3"/>
      <c r="O133" s="3"/>
      <c r="Y133" s="3"/>
      <c r="Z133" s="3"/>
      <c r="AA133" s="3"/>
      <c r="AB133" s="3"/>
      <c r="AC133" s="3"/>
      <c r="AD133" s="3"/>
      <c r="AE133" s="3"/>
      <c r="AF133" s="3"/>
      <c r="AG133" s="3"/>
      <c r="AH133" s="3"/>
      <c r="AI133" s="3"/>
      <c r="AJ133" s="3"/>
      <c r="AK133" s="3"/>
      <c r="AL133" s="3"/>
      <c r="AM133" s="3"/>
      <c r="AN133" s="3"/>
      <c r="AO133" s="3"/>
      <c r="AP133" s="3"/>
      <c r="AQ133" s="3"/>
      <c r="AR133" s="3"/>
    </row>
    <row r="134" spans="1:44" s="2" customFormat="1" x14ac:dyDescent="0.25">
      <c r="A134" s="1"/>
      <c r="J134" s="3"/>
      <c r="K134" s="3"/>
      <c r="L134" s="3"/>
      <c r="M134" s="3"/>
      <c r="N134" s="3"/>
      <c r="O134" s="3"/>
      <c r="Y134" s="3"/>
      <c r="Z134" s="3"/>
      <c r="AA134" s="3"/>
      <c r="AB134" s="3"/>
      <c r="AC134" s="3"/>
      <c r="AD134" s="3"/>
      <c r="AE134" s="3"/>
      <c r="AF134" s="3"/>
      <c r="AG134" s="3"/>
      <c r="AH134" s="3"/>
      <c r="AI134" s="3"/>
      <c r="AJ134" s="3"/>
      <c r="AK134" s="3"/>
      <c r="AL134" s="3"/>
      <c r="AM134" s="3"/>
      <c r="AN134" s="3"/>
      <c r="AO134" s="3"/>
      <c r="AP134" s="3"/>
      <c r="AQ134" s="3"/>
      <c r="AR134" s="3"/>
    </row>
    <row r="135" spans="1:44" s="2" customFormat="1" x14ac:dyDescent="0.25">
      <c r="A135" s="1"/>
      <c r="J135" s="3"/>
      <c r="K135" s="3"/>
      <c r="L135" s="3"/>
      <c r="M135" s="3"/>
      <c r="N135" s="3"/>
      <c r="O135" s="3"/>
      <c r="Y135" s="3"/>
      <c r="Z135" s="3"/>
      <c r="AA135" s="3"/>
      <c r="AB135" s="3"/>
      <c r="AC135" s="3"/>
      <c r="AD135" s="3"/>
      <c r="AE135" s="3"/>
      <c r="AF135" s="3"/>
      <c r="AG135" s="3"/>
      <c r="AH135" s="3"/>
      <c r="AI135" s="3"/>
      <c r="AJ135" s="3"/>
      <c r="AK135" s="3"/>
      <c r="AL135" s="3"/>
      <c r="AM135" s="3"/>
      <c r="AN135" s="3"/>
      <c r="AO135" s="3"/>
      <c r="AP135" s="3"/>
      <c r="AQ135" s="3"/>
      <c r="AR135" s="3"/>
    </row>
    <row r="136" spans="1:44" s="2" customFormat="1" x14ac:dyDescent="0.25">
      <c r="A136" s="1"/>
      <c r="J136" s="3"/>
      <c r="K136" s="3"/>
      <c r="L136" s="3"/>
      <c r="M136" s="3"/>
      <c r="N136" s="3"/>
      <c r="O136" s="3"/>
      <c r="Y136" s="3"/>
      <c r="Z136" s="3"/>
      <c r="AA136" s="3"/>
      <c r="AB136" s="3"/>
      <c r="AC136" s="3"/>
      <c r="AD136" s="3"/>
      <c r="AE136" s="3"/>
      <c r="AF136" s="3"/>
      <c r="AG136" s="3"/>
      <c r="AH136" s="3"/>
      <c r="AI136" s="3"/>
      <c r="AJ136" s="3"/>
      <c r="AK136" s="3"/>
      <c r="AL136" s="3"/>
      <c r="AM136" s="3"/>
      <c r="AN136" s="3"/>
      <c r="AO136" s="3"/>
      <c r="AP136" s="3"/>
      <c r="AQ136" s="3"/>
      <c r="AR136" s="3"/>
    </row>
    <row r="137" spans="1:44" s="2" customFormat="1" x14ac:dyDescent="0.25">
      <c r="A137" s="1"/>
      <c r="J137" s="3"/>
      <c r="K137" s="3"/>
      <c r="L137" s="3"/>
      <c r="M137" s="3"/>
      <c r="N137" s="3"/>
      <c r="O137" s="3"/>
      <c r="Y137" s="3"/>
      <c r="Z137" s="3"/>
      <c r="AA137" s="3"/>
      <c r="AB137" s="3"/>
      <c r="AC137" s="3"/>
      <c r="AD137" s="3"/>
      <c r="AE137" s="3"/>
      <c r="AF137" s="3"/>
      <c r="AG137" s="3"/>
      <c r="AH137" s="3"/>
      <c r="AI137" s="3"/>
      <c r="AJ137" s="3"/>
      <c r="AK137" s="3"/>
      <c r="AL137" s="3"/>
      <c r="AM137" s="3"/>
      <c r="AN137" s="3"/>
      <c r="AO137" s="3"/>
      <c r="AP137" s="3"/>
      <c r="AQ137" s="3"/>
      <c r="AR137" s="3"/>
    </row>
    <row r="138" spans="1:44" s="2" customFormat="1" x14ac:dyDescent="0.25">
      <c r="A138" s="1"/>
      <c r="J138" s="3"/>
      <c r="K138" s="3"/>
      <c r="L138" s="3"/>
      <c r="M138" s="3"/>
      <c r="N138" s="3"/>
      <c r="O138" s="3"/>
      <c r="Y138" s="3"/>
      <c r="Z138" s="3"/>
      <c r="AA138" s="3"/>
      <c r="AB138" s="3"/>
      <c r="AC138" s="3"/>
      <c r="AD138" s="3"/>
      <c r="AE138" s="3"/>
      <c r="AF138" s="3"/>
      <c r="AG138" s="3"/>
      <c r="AH138" s="3"/>
      <c r="AI138" s="3"/>
      <c r="AJ138" s="3"/>
      <c r="AK138" s="3"/>
      <c r="AL138" s="3"/>
      <c r="AM138" s="3"/>
      <c r="AN138" s="3"/>
      <c r="AO138" s="3"/>
      <c r="AP138" s="3"/>
      <c r="AQ138" s="3"/>
      <c r="AR138" s="3"/>
    </row>
    <row r="139" spans="1:44" s="2" customFormat="1" x14ac:dyDescent="0.25">
      <c r="A139" s="1"/>
      <c r="J139" s="3"/>
      <c r="K139" s="3"/>
      <c r="L139" s="3"/>
      <c r="M139" s="3"/>
      <c r="N139" s="3"/>
      <c r="O139" s="3"/>
      <c r="Y139" s="3"/>
      <c r="Z139" s="3"/>
      <c r="AA139" s="3"/>
      <c r="AB139" s="3"/>
      <c r="AC139" s="3"/>
      <c r="AD139" s="3"/>
      <c r="AE139" s="3"/>
      <c r="AF139" s="3"/>
      <c r="AG139" s="3"/>
      <c r="AH139" s="3"/>
      <c r="AI139" s="3"/>
      <c r="AJ139" s="3"/>
      <c r="AK139" s="3"/>
      <c r="AL139" s="3"/>
      <c r="AM139" s="3"/>
      <c r="AN139" s="3"/>
      <c r="AO139" s="3"/>
      <c r="AP139" s="3"/>
      <c r="AQ139" s="3"/>
      <c r="AR139" s="3"/>
    </row>
    <row r="140" spans="1:44" s="2" customFormat="1" x14ac:dyDescent="0.25">
      <c r="A140" s="1"/>
      <c r="J140" s="3"/>
      <c r="K140" s="3"/>
      <c r="L140" s="3"/>
      <c r="M140" s="3"/>
      <c r="N140" s="3"/>
      <c r="O140" s="3"/>
      <c r="Y140" s="3"/>
      <c r="Z140" s="3"/>
      <c r="AA140" s="3"/>
      <c r="AB140" s="3"/>
      <c r="AC140" s="3"/>
      <c r="AD140" s="3"/>
      <c r="AE140" s="3"/>
      <c r="AF140" s="3"/>
      <c r="AG140" s="3"/>
      <c r="AH140" s="3"/>
      <c r="AI140" s="3"/>
      <c r="AJ140" s="3"/>
      <c r="AK140" s="3"/>
      <c r="AL140" s="3"/>
      <c r="AM140" s="3"/>
      <c r="AN140" s="3"/>
      <c r="AO140" s="3"/>
      <c r="AP140" s="3"/>
      <c r="AQ140" s="3"/>
      <c r="AR140" s="3"/>
    </row>
    <row r="141" spans="1:44" s="2" customFormat="1" x14ac:dyDescent="0.25">
      <c r="A141" s="1"/>
      <c r="J141" s="3"/>
      <c r="K141" s="3"/>
      <c r="L141" s="3"/>
      <c r="M141" s="3"/>
      <c r="N141" s="3"/>
      <c r="O141" s="3"/>
      <c r="Y141" s="3"/>
      <c r="Z141" s="3"/>
      <c r="AA141" s="3"/>
      <c r="AB141" s="3"/>
      <c r="AC141" s="3"/>
      <c r="AD141" s="3"/>
      <c r="AE141" s="3"/>
      <c r="AF141" s="3"/>
      <c r="AG141" s="3"/>
      <c r="AH141" s="3"/>
      <c r="AI141" s="3"/>
      <c r="AJ141" s="3"/>
      <c r="AK141" s="3"/>
      <c r="AL141" s="3"/>
      <c r="AM141" s="3"/>
      <c r="AN141" s="3"/>
      <c r="AO141" s="3"/>
      <c r="AP141" s="3"/>
      <c r="AQ141" s="3"/>
      <c r="AR141" s="3"/>
    </row>
    <row r="142" spans="1:44" s="2" customFormat="1" x14ac:dyDescent="0.25">
      <c r="A142" s="1"/>
      <c r="J142" s="3"/>
      <c r="K142" s="3"/>
      <c r="L142" s="3"/>
      <c r="M142" s="3"/>
      <c r="N142" s="3"/>
      <c r="O142" s="3"/>
      <c r="Y142" s="3"/>
      <c r="Z142" s="3"/>
      <c r="AA142" s="3"/>
      <c r="AB142" s="3"/>
      <c r="AC142" s="3"/>
      <c r="AD142" s="3"/>
      <c r="AE142" s="3"/>
      <c r="AF142" s="3"/>
      <c r="AG142" s="3"/>
      <c r="AH142" s="3"/>
      <c r="AI142" s="3"/>
      <c r="AJ142" s="3"/>
      <c r="AK142" s="3"/>
      <c r="AL142" s="3"/>
      <c r="AM142" s="3"/>
      <c r="AN142" s="3"/>
      <c r="AO142" s="3"/>
      <c r="AP142" s="3"/>
      <c r="AQ142" s="3"/>
      <c r="AR142" s="3"/>
    </row>
    <row r="143" spans="1:44" s="2" customFormat="1" x14ac:dyDescent="0.25">
      <c r="A143" s="1"/>
      <c r="J143" s="3"/>
      <c r="K143" s="3"/>
      <c r="L143" s="3"/>
      <c r="M143" s="3"/>
      <c r="N143" s="3"/>
      <c r="O143" s="3"/>
      <c r="Y143" s="3"/>
      <c r="Z143" s="3"/>
      <c r="AA143" s="3"/>
      <c r="AB143" s="3"/>
      <c r="AC143" s="3"/>
      <c r="AD143" s="3"/>
      <c r="AE143" s="3"/>
      <c r="AF143" s="3"/>
      <c r="AG143" s="3"/>
      <c r="AH143" s="3"/>
      <c r="AI143" s="3"/>
      <c r="AJ143" s="3"/>
      <c r="AK143" s="3"/>
      <c r="AL143" s="3"/>
      <c r="AM143" s="3"/>
      <c r="AN143" s="3"/>
      <c r="AO143" s="3"/>
      <c r="AP143" s="3"/>
      <c r="AQ143" s="3"/>
      <c r="AR143" s="3"/>
    </row>
    <row r="144" spans="1:44" s="2" customFormat="1" x14ac:dyDescent="0.25">
      <c r="A144" s="1"/>
      <c r="J144" s="3"/>
      <c r="K144" s="3"/>
      <c r="L144" s="3"/>
      <c r="M144" s="3"/>
      <c r="N144" s="3"/>
      <c r="O144" s="3"/>
      <c r="Y144" s="3"/>
      <c r="Z144" s="3"/>
      <c r="AA144" s="3"/>
      <c r="AB144" s="3"/>
      <c r="AC144" s="3"/>
      <c r="AD144" s="3"/>
      <c r="AE144" s="3"/>
      <c r="AF144" s="3"/>
      <c r="AG144" s="3"/>
      <c r="AH144" s="3"/>
      <c r="AI144" s="3"/>
      <c r="AJ144" s="3"/>
      <c r="AK144" s="3"/>
      <c r="AL144" s="3"/>
      <c r="AM144" s="3"/>
      <c r="AN144" s="3"/>
      <c r="AO144" s="3"/>
      <c r="AP144" s="3"/>
      <c r="AQ144" s="3"/>
      <c r="AR144" s="3"/>
    </row>
    <row r="145" spans="1:44" s="2" customFormat="1" x14ac:dyDescent="0.25">
      <c r="A145" s="1"/>
      <c r="J145" s="3"/>
      <c r="K145" s="3"/>
      <c r="L145" s="3"/>
      <c r="M145" s="3"/>
      <c r="N145" s="3"/>
      <c r="O145" s="3"/>
      <c r="Y145" s="3"/>
      <c r="Z145" s="3"/>
      <c r="AA145" s="3"/>
      <c r="AB145" s="3"/>
      <c r="AC145" s="3"/>
      <c r="AD145" s="3"/>
      <c r="AE145" s="3"/>
      <c r="AF145" s="3"/>
      <c r="AG145" s="3"/>
      <c r="AH145" s="3"/>
      <c r="AI145" s="3"/>
      <c r="AJ145" s="3"/>
      <c r="AK145" s="3"/>
      <c r="AL145" s="3"/>
      <c r="AM145" s="3"/>
      <c r="AN145" s="3"/>
      <c r="AO145" s="3"/>
      <c r="AP145" s="3"/>
      <c r="AQ145" s="3"/>
      <c r="AR145" s="3"/>
    </row>
    <row r="146" spans="1:44" s="2" customFormat="1" x14ac:dyDescent="0.25">
      <c r="A146" s="1"/>
      <c r="J146" s="3"/>
      <c r="K146" s="3"/>
      <c r="L146" s="3"/>
      <c r="M146" s="3"/>
      <c r="N146" s="3"/>
      <c r="O146" s="3"/>
      <c r="Y146" s="3"/>
      <c r="Z146" s="3"/>
      <c r="AA146" s="3"/>
      <c r="AB146" s="3"/>
      <c r="AC146" s="3"/>
      <c r="AD146" s="3"/>
      <c r="AE146" s="3"/>
      <c r="AF146" s="3"/>
      <c r="AG146" s="3"/>
      <c r="AH146" s="3"/>
      <c r="AI146" s="3"/>
      <c r="AJ146" s="3"/>
      <c r="AK146" s="3"/>
      <c r="AL146" s="3"/>
      <c r="AM146" s="3"/>
      <c r="AN146" s="3"/>
      <c r="AO146" s="3"/>
      <c r="AP146" s="3"/>
      <c r="AQ146" s="3"/>
      <c r="AR146" s="3"/>
    </row>
    <row r="147" spans="1:44" s="2" customFormat="1" x14ac:dyDescent="0.25">
      <c r="A147" s="1"/>
      <c r="J147" s="3"/>
      <c r="K147" s="3"/>
      <c r="L147" s="3"/>
      <c r="M147" s="3"/>
      <c r="N147" s="3"/>
      <c r="O147" s="3"/>
      <c r="Y147" s="3"/>
      <c r="Z147" s="3"/>
      <c r="AA147" s="3"/>
      <c r="AB147" s="3"/>
      <c r="AC147" s="3"/>
      <c r="AD147" s="3"/>
      <c r="AE147" s="3"/>
      <c r="AF147" s="3"/>
      <c r="AG147" s="3"/>
      <c r="AH147" s="3"/>
      <c r="AI147" s="3"/>
      <c r="AJ147" s="3"/>
      <c r="AK147" s="3"/>
      <c r="AL147" s="3"/>
      <c r="AM147" s="3"/>
      <c r="AN147" s="3"/>
      <c r="AO147" s="3"/>
      <c r="AP147" s="3"/>
      <c r="AQ147" s="3"/>
      <c r="AR147" s="3"/>
    </row>
    <row r="148" spans="1:44" s="2" customFormat="1" x14ac:dyDescent="0.25">
      <c r="A148" s="1"/>
      <c r="J148" s="3"/>
      <c r="K148" s="3"/>
      <c r="L148" s="3"/>
      <c r="M148" s="3"/>
      <c r="N148" s="3"/>
      <c r="O148" s="3"/>
      <c r="Y148" s="3"/>
      <c r="Z148" s="3"/>
      <c r="AA148" s="3"/>
      <c r="AB148" s="3"/>
      <c r="AC148" s="3"/>
      <c r="AD148" s="3"/>
      <c r="AE148" s="3"/>
      <c r="AF148" s="3"/>
      <c r="AG148" s="3"/>
      <c r="AH148" s="3"/>
      <c r="AI148" s="3"/>
      <c r="AJ148" s="3"/>
      <c r="AK148" s="3"/>
      <c r="AL148" s="3"/>
      <c r="AM148" s="3"/>
      <c r="AN148" s="3"/>
      <c r="AO148" s="3"/>
      <c r="AP148" s="3"/>
      <c r="AQ148" s="3"/>
      <c r="AR148" s="3"/>
    </row>
    <row r="149" spans="1:44" s="2" customFormat="1" x14ac:dyDescent="0.25">
      <c r="A149" s="1"/>
      <c r="J149" s="3"/>
      <c r="K149" s="3"/>
      <c r="L149" s="3"/>
      <c r="M149" s="3"/>
      <c r="N149" s="3"/>
      <c r="O149" s="3"/>
      <c r="Y149" s="3"/>
      <c r="Z149" s="3"/>
      <c r="AA149" s="3"/>
      <c r="AB149" s="3"/>
      <c r="AC149" s="3"/>
      <c r="AD149" s="3"/>
      <c r="AE149" s="3"/>
      <c r="AF149" s="3"/>
      <c r="AG149" s="3"/>
      <c r="AH149" s="3"/>
      <c r="AI149" s="3"/>
      <c r="AJ149" s="3"/>
      <c r="AK149" s="3"/>
      <c r="AL149" s="3"/>
      <c r="AM149" s="3"/>
      <c r="AN149" s="3"/>
      <c r="AO149" s="3"/>
      <c r="AP149" s="3"/>
      <c r="AQ149" s="3"/>
      <c r="AR149" s="3"/>
    </row>
    <row r="150" spans="1:44" s="2" customFormat="1" x14ac:dyDescent="0.25">
      <c r="A150" s="1"/>
      <c r="J150" s="3"/>
      <c r="K150" s="3"/>
      <c r="L150" s="3"/>
      <c r="M150" s="3"/>
      <c r="N150" s="3"/>
      <c r="O150" s="3"/>
      <c r="Y150" s="3"/>
      <c r="Z150" s="3"/>
      <c r="AA150" s="3"/>
      <c r="AB150" s="3"/>
      <c r="AC150" s="3"/>
      <c r="AD150" s="3"/>
      <c r="AE150" s="3"/>
      <c r="AF150" s="3"/>
      <c r="AG150" s="3"/>
      <c r="AH150" s="3"/>
      <c r="AI150" s="3"/>
      <c r="AJ150" s="3"/>
      <c r="AK150" s="3"/>
      <c r="AL150" s="3"/>
      <c r="AM150" s="3"/>
      <c r="AN150" s="3"/>
      <c r="AO150" s="3"/>
      <c r="AP150" s="3"/>
      <c r="AQ150" s="3"/>
      <c r="AR150" s="3"/>
    </row>
    <row r="151" spans="1:44" s="2" customFormat="1" x14ac:dyDescent="0.25">
      <c r="A151" s="1"/>
      <c r="J151" s="3"/>
      <c r="K151" s="3"/>
      <c r="L151" s="3"/>
      <c r="M151" s="3"/>
      <c r="N151" s="3"/>
      <c r="O151" s="3"/>
      <c r="Y151" s="3"/>
      <c r="Z151" s="3"/>
      <c r="AA151" s="3"/>
      <c r="AB151" s="3"/>
      <c r="AC151" s="3"/>
      <c r="AD151" s="3"/>
      <c r="AE151" s="3"/>
      <c r="AF151" s="3"/>
      <c r="AG151" s="3"/>
      <c r="AH151" s="3"/>
      <c r="AI151" s="3"/>
      <c r="AJ151" s="3"/>
      <c r="AK151" s="3"/>
      <c r="AL151" s="3"/>
      <c r="AM151" s="3"/>
      <c r="AN151" s="3"/>
      <c r="AO151" s="3"/>
      <c r="AP151" s="3"/>
      <c r="AQ151" s="3"/>
      <c r="AR151" s="3"/>
    </row>
    <row r="152" spans="1:44" s="2" customFormat="1" x14ac:dyDescent="0.25">
      <c r="A152" s="1"/>
      <c r="J152" s="3"/>
      <c r="K152" s="3"/>
      <c r="L152" s="3"/>
      <c r="M152" s="3"/>
      <c r="N152" s="3"/>
      <c r="O152" s="3"/>
      <c r="Y152" s="3"/>
      <c r="Z152" s="3"/>
      <c r="AA152" s="3"/>
      <c r="AB152" s="3"/>
      <c r="AC152" s="3"/>
      <c r="AD152" s="3"/>
      <c r="AE152" s="3"/>
      <c r="AF152" s="3"/>
      <c r="AG152" s="3"/>
      <c r="AH152" s="3"/>
      <c r="AI152" s="3"/>
      <c r="AJ152" s="3"/>
      <c r="AK152" s="3"/>
      <c r="AL152" s="3"/>
      <c r="AM152" s="3"/>
      <c r="AN152" s="3"/>
      <c r="AO152" s="3"/>
      <c r="AP152" s="3"/>
      <c r="AQ152" s="3"/>
      <c r="AR152" s="3"/>
    </row>
    <row r="153" spans="1:44" s="2" customFormat="1" x14ac:dyDescent="0.25">
      <c r="A153" s="1"/>
      <c r="J153" s="3"/>
      <c r="K153" s="3"/>
      <c r="L153" s="3"/>
      <c r="M153" s="3"/>
      <c r="N153" s="3"/>
      <c r="O153" s="3"/>
      <c r="Y153" s="3"/>
      <c r="Z153" s="3"/>
      <c r="AA153" s="3"/>
      <c r="AB153" s="3"/>
      <c r="AC153" s="3"/>
      <c r="AD153" s="3"/>
      <c r="AE153" s="3"/>
      <c r="AF153" s="3"/>
      <c r="AG153" s="3"/>
      <c r="AH153" s="3"/>
      <c r="AI153" s="3"/>
      <c r="AJ153" s="3"/>
      <c r="AK153" s="3"/>
      <c r="AL153" s="3"/>
      <c r="AM153" s="3"/>
      <c r="AN153" s="3"/>
      <c r="AO153" s="3"/>
      <c r="AP153" s="3"/>
      <c r="AQ153" s="3"/>
      <c r="AR153" s="3"/>
    </row>
    <row r="154" spans="1:44" s="2" customFormat="1" x14ac:dyDescent="0.25">
      <c r="A154" s="1"/>
      <c r="J154" s="3"/>
      <c r="K154" s="3"/>
      <c r="L154" s="3"/>
      <c r="M154" s="3"/>
      <c r="N154" s="3"/>
      <c r="O154" s="3"/>
      <c r="Y154" s="3"/>
      <c r="Z154" s="3"/>
      <c r="AA154" s="3"/>
      <c r="AB154" s="3"/>
      <c r="AC154" s="3"/>
      <c r="AD154" s="3"/>
      <c r="AE154" s="3"/>
      <c r="AF154" s="3"/>
      <c r="AG154" s="3"/>
      <c r="AH154" s="3"/>
      <c r="AI154" s="3"/>
      <c r="AJ154" s="3"/>
      <c r="AK154" s="3"/>
      <c r="AL154" s="3"/>
      <c r="AM154" s="3"/>
      <c r="AN154" s="3"/>
      <c r="AO154" s="3"/>
      <c r="AP154" s="3"/>
      <c r="AQ154" s="3"/>
      <c r="AR154" s="3"/>
    </row>
    <row r="155" spans="1:44" s="2" customFormat="1" x14ac:dyDescent="0.25">
      <c r="A155" s="1"/>
      <c r="J155" s="3"/>
      <c r="K155" s="3"/>
      <c r="L155" s="3"/>
      <c r="M155" s="3"/>
      <c r="N155" s="3"/>
      <c r="O155" s="3"/>
      <c r="Y155" s="3"/>
      <c r="Z155" s="3"/>
      <c r="AA155" s="3"/>
      <c r="AB155" s="3"/>
      <c r="AC155" s="3"/>
      <c r="AD155" s="3"/>
      <c r="AE155" s="3"/>
      <c r="AF155" s="3"/>
      <c r="AG155" s="3"/>
      <c r="AH155" s="3"/>
      <c r="AI155" s="3"/>
      <c r="AJ155" s="3"/>
      <c r="AK155" s="3"/>
      <c r="AL155" s="3"/>
      <c r="AM155" s="3"/>
      <c r="AN155" s="3"/>
      <c r="AO155" s="3"/>
      <c r="AP155" s="3"/>
      <c r="AQ155" s="3"/>
      <c r="AR155" s="3"/>
    </row>
    <row r="156" spans="1:44" s="2" customFormat="1" x14ac:dyDescent="0.25">
      <c r="A156" s="1"/>
      <c r="J156" s="3"/>
      <c r="K156" s="3"/>
      <c r="L156" s="3"/>
      <c r="M156" s="3"/>
      <c r="N156" s="3"/>
      <c r="O156" s="3"/>
      <c r="Y156" s="3"/>
      <c r="Z156" s="3"/>
      <c r="AA156" s="3"/>
      <c r="AB156" s="3"/>
      <c r="AC156" s="3"/>
      <c r="AD156" s="3"/>
      <c r="AE156" s="3"/>
      <c r="AF156" s="3"/>
      <c r="AG156" s="3"/>
      <c r="AH156" s="3"/>
      <c r="AI156" s="3"/>
      <c r="AJ156" s="3"/>
      <c r="AK156" s="3"/>
      <c r="AL156" s="3"/>
      <c r="AM156" s="3"/>
      <c r="AN156" s="3"/>
      <c r="AO156" s="3"/>
      <c r="AP156" s="3"/>
      <c r="AQ156" s="3"/>
      <c r="AR156" s="3"/>
    </row>
    <row r="157" spans="1:44" s="2" customFormat="1" x14ac:dyDescent="0.25">
      <c r="A157" s="1"/>
      <c r="J157" s="3"/>
      <c r="K157" s="3"/>
      <c r="L157" s="3"/>
      <c r="M157" s="3"/>
      <c r="N157" s="3"/>
      <c r="O157" s="3"/>
      <c r="Y157" s="3"/>
      <c r="Z157" s="3"/>
      <c r="AA157" s="3"/>
      <c r="AB157" s="3"/>
      <c r="AC157" s="3"/>
      <c r="AD157" s="3"/>
      <c r="AE157" s="3"/>
      <c r="AF157" s="3"/>
      <c r="AG157" s="3"/>
      <c r="AH157" s="3"/>
      <c r="AI157" s="3"/>
      <c r="AJ157" s="3"/>
      <c r="AK157" s="3"/>
      <c r="AL157" s="3"/>
      <c r="AM157" s="3"/>
      <c r="AN157" s="3"/>
      <c r="AO157" s="3"/>
      <c r="AP157" s="3"/>
      <c r="AQ157" s="3"/>
      <c r="AR157" s="3"/>
    </row>
    <row r="158" spans="1:44" s="2" customFormat="1" x14ac:dyDescent="0.25">
      <c r="A158" s="1"/>
      <c r="J158" s="3"/>
      <c r="K158" s="3"/>
      <c r="L158" s="3"/>
      <c r="M158" s="3"/>
      <c r="N158" s="3"/>
      <c r="O158" s="3"/>
      <c r="Y158" s="3"/>
      <c r="Z158" s="3"/>
      <c r="AA158" s="3"/>
      <c r="AB158" s="3"/>
      <c r="AC158" s="3"/>
      <c r="AD158" s="3"/>
      <c r="AE158" s="3"/>
      <c r="AF158" s="3"/>
      <c r="AG158" s="3"/>
      <c r="AH158" s="3"/>
      <c r="AI158" s="3"/>
      <c r="AJ158" s="3"/>
      <c r="AK158" s="3"/>
      <c r="AL158" s="3"/>
      <c r="AM158" s="3"/>
      <c r="AN158" s="3"/>
      <c r="AO158" s="3"/>
      <c r="AP158" s="3"/>
      <c r="AQ158" s="3"/>
      <c r="AR158" s="3"/>
    </row>
    <row r="159" spans="1:44" s="2" customFormat="1" x14ac:dyDescent="0.25">
      <c r="A159" s="1"/>
      <c r="J159" s="3"/>
      <c r="K159" s="3"/>
      <c r="L159" s="3"/>
      <c r="M159" s="3"/>
      <c r="N159" s="3"/>
      <c r="O159" s="3"/>
      <c r="Y159" s="3"/>
      <c r="Z159" s="3"/>
      <c r="AA159" s="3"/>
      <c r="AB159" s="3"/>
      <c r="AC159" s="3"/>
      <c r="AD159" s="3"/>
      <c r="AE159" s="3"/>
      <c r="AF159" s="3"/>
      <c r="AG159" s="3"/>
      <c r="AH159" s="3"/>
      <c r="AI159" s="3"/>
      <c r="AJ159" s="3"/>
      <c r="AK159" s="3"/>
      <c r="AL159" s="3"/>
      <c r="AM159" s="3"/>
      <c r="AN159" s="3"/>
      <c r="AO159" s="3"/>
      <c r="AP159" s="3"/>
      <c r="AQ159" s="3"/>
      <c r="AR159" s="3"/>
    </row>
    <row r="160" spans="1:44" s="2" customFormat="1" x14ac:dyDescent="0.25">
      <c r="A160" s="1"/>
      <c r="J160" s="3"/>
      <c r="K160" s="3"/>
      <c r="L160" s="3"/>
      <c r="M160" s="3"/>
      <c r="N160" s="3"/>
      <c r="O160" s="3"/>
      <c r="Y160" s="3"/>
      <c r="Z160" s="3"/>
      <c r="AA160" s="3"/>
      <c r="AB160" s="3"/>
      <c r="AC160" s="3"/>
      <c r="AD160" s="3"/>
      <c r="AE160" s="3"/>
      <c r="AF160" s="3"/>
      <c r="AG160" s="3"/>
      <c r="AH160" s="3"/>
      <c r="AI160" s="3"/>
      <c r="AJ160" s="3"/>
      <c r="AK160" s="3"/>
      <c r="AL160" s="3"/>
      <c r="AM160" s="3"/>
      <c r="AN160" s="3"/>
      <c r="AO160" s="3"/>
      <c r="AP160" s="3"/>
      <c r="AQ160" s="3"/>
      <c r="AR160" s="3"/>
    </row>
    <row r="161" spans="1:44" s="2" customFormat="1" x14ac:dyDescent="0.25">
      <c r="A161" s="1"/>
      <c r="J161" s="3"/>
      <c r="K161" s="3"/>
      <c r="L161" s="3"/>
      <c r="M161" s="3"/>
      <c r="N161" s="3"/>
      <c r="O161" s="3"/>
      <c r="Y161" s="3"/>
      <c r="Z161" s="3"/>
      <c r="AA161" s="3"/>
      <c r="AB161" s="3"/>
      <c r="AC161" s="3"/>
      <c r="AD161" s="3"/>
      <c r="AE161" s="3"/>
      <c r="AF161" s="3"/>
      <c r="AG161" s="3"/>
      <c r="AH161" s="3"/>
      <c r="AI161" s="3"/>
      <c r="AJ161" s="3"/>
      <c r="AK161" s="3"/>
      <c r="AL161" s="3"/>
      <c r="AM161" s="3"/>
      <c r="AN161" s="3"/>
      <c r="AO161" s="3"/>
      <c r="AP161" s="3"/>
      <c r="AQ161" s="3"/>
      <c r="AR161" s="3"/>
    </row>
    <row r="162" spans="1:44" s="2" customFormat="1" x14ac:dyDescent="0.25">
      <c r="A162" s="1"/>
      <c r="J162" s="3"/>
      <c r="K162" s="3"/>
      <c r="L162" s="3"/>
      <c r="M162" s="3"/>
      <c r="N162" s="3"/>
      <c r="O162" s="3"/>
      <c r="Y162" s="3"/>
      <c r="Z162" s="3"/>
      <c r="AA162" s="3"/>
      <c r="AB162" s="3"/>
      <c r="AC162" s="3"/>
      <c r="AD162" s="3"/>
      <c r="AE162" s="3"/>
      <c r="AF162" s="3"/>
      <c r="AG162" s="3"/>
      <c r="AH162" s="3"/>
      <c r="AI162" s="3"/>
      <c r="AJ162" s="3"/>
      <c r="AK162" s="3"/>
      <c r="AL162" s="3"/>
      <c r="AM162" s="3"/>
      <c r="AN162" s="3"/>
      <c r="AO162" s="3"/>
      <c r="AP162" s="3"/>
      <c r="AQ162" s="3"/>
      <c r="AR162" s="3"/>
    </row>
    <row r="163" spans="1:44" s="2" customFormat="1" x14ac:dyDescent="0.25">
      <c r="A163" s="1"/>
      <c r="J163" s="3"/>
      <c r="K163" s="3"/>
      <c r="L163" s="3"/>
      <c r="M163" s="3"/>
      <c r="N163" s="3"/>
      <c r="O163" s="3"/>
      <c r="Y163" s="3"/>
      <c r="Z163" s="3"/>
      <c r="AA163" s="3"/>
      <c r="AB163" s="3"/>
      <c r="AC163" s="3"/>
      <c r="AD163" s="3"/>
      <c r="AE163" s="3"/>
      <c r="AF163" s="3"/>
      <c r="AG163" s="3"/>
      <c r="AH163" s="3"/>
      <c r="AI163" s="3"/>
      <c r="AJ163" s="3"/>
      <c r="AK163" s="3"/>
      <c r="AL163" s="3"/>
      <c r="AM163" s="3"/>
      <c r="AN163" s="3"/>
      <c r="AO163" s="3"/>
      <c r="AP163" s="3"/>
      <c r="AQ163" s="3"/>
      <c r="AR163" s="3"/>
    </row>
    <row r="164" spans="1:44" s="2" customFormat="1" x14ac:dyDescent="0.25">
      <c r="A164" s="1"/>
      <c r="J164" s="3"/>
      <c r="K164" s="3"/>
      <c r="L164" s="3"/>
      <c r="M164" s="3"/>
      <c r="N164" s="3"/>
      <c r="O164" s="3"/>
      <c r="Y164" s="3"/>
      <c r="Z164" s="3"/>
      <c r="AA164" s="3"/>
      <c r="AB164" s="3"/>
      <c r="AC164" s="3"/>
      <c r="AD164" s="3"/>
      <c r="AE164" s="3"/>
      <c r="AF164" s="3"/>
      <c r="AG164" s="3"/>
      <c r="AH164" s="3"/>
      <c r="AI164" s="3"/>
      <c r="AJ164" s="3"/>
      <c r="AK164" s="3"/>
      <c r="AL164" s="3"/>
      <c r="AM164" s="3"/>
      <c r="AN164" s="3"/>
      <c r="AO164" s="3"/>
      <c r="AP164" s="3"/>
      <c r="AQ164" s="3"/>
      <c r="AR164" s="3"/>
    </row>
    <row r="165" spans="1:44" s="2" customFormat="1" x14ac:dyDescent="0.25">
      <c r="A165" s="1"/>
      <c r="J165" s="3"/>
      <c r="K165" s="3"/>
      <c r="L165" s="3"/>
      <c r="M165" s="3"/>
      <c r="N165" s="3"/>
      <c r="O165" s="3"/>
      <c r="Y165" s="3"/>
      <c r="Z165" s="3"/>
      <c r="AA165" s="3"/>
      <c r="AB165" s="3"/>
      <c r="AC165" s="3"/>
      <c r="AD165" s="3"/>
      <c r="AE165" s="3"/>
      <c r="AF165" s="3"/>
      <c r="AG165" s="3"/>
      <c r="AH165" s="3"/>
      <c r="AI165" s="3"/>
      <c r="AJ165" s="3"/>
      <c r="AK165" s="3"/>
      <c r="AL165" s="3"/>
      <c r="AM165" s="3"/>
      <c r="AN165" s="3"/>
      <c r="AO165" s="3"/>
      <c r="AP165" s="3"/>
      <c r="AQ165" s="3"/>
      <c r="AR165" s="3"/>
    </row>
    <row r="166" spans="1:44" s="2" customFormat="1" x14ac:dyDescent="0.25">
      <c r="A166" s="1"/>
      <c r="J166" s="3"/>
      <c r="K166" s="3"/>
      <c r="L166" s="3"/>
      <c r="M166" s="3"/>
      <c r="N166" s="3"/>
      <c r="O166" s="3"/>
      <c r="Y166" s="3"/>
      <c r="Z166" s="3"/>
      <c r="AA166" s="3"/>
      <c r="AB166" s="3"/>
      <c r="AC166" s="3"/>
      <c r="AD166" s="3"/>
      <c r="AE166" s="3"/>
      <c r="AF166" s="3"/>
      <c r="AG166" s="3"/>
      <c r="AH166" s="3"/>
      <c r="AI166" s="3"/>
      <c r="AJ166" s="3"/>
      <c r="AK166" s="3"/>
      <c r="AL166" s="3"/>
      <c r="AM166" s="3"/>
      <c r="AN166" s="3"/>
      <c r="AO166" s="3"/>
      <c r="AP166" s="3"/>
      <c r="AQ166" s="3"/>
      <c r="AR166" s="3"/>
    </row>
    <row r="167" spans="1:44" s="2" customFormat="1" x14ac:dyDescent="0.25">
      <c r="A167" s="1"/>
      <c r="J167" s="3"/>
      <c r="K167" s="3"/>
      <c r="L167" s="3"/>
      <c r="M167" s="3"/>
      <c r="N167" s="3"/>
      <c r="O167" s="3"/>
      <c r="Y167" s="3"/>
      <c r="Z167" s="3"/>
      <c r="AA167" s="3"/>
      <c r="AB167" s="3"/>
      <c r="AC167" s="3"/>
      <c r="AD167" s="3"/>
      <c r="AE167" s="3"/>
      <c r="AF167" s="3"/>
      <c r="AG167" s="3"/>
      <c r="AH167" s="3"/>
      <c r="AI167" s="3"/>
      <c r="AJ167" s="3"/>
      <c r="AK167" s="3"/>
      <c r="AL167" s="3"/>
      <c r="AM167" s="3"/>
      <c r="AN167" s="3"/>
      <c r="AO167" s="3"/>
      <c r="AP167" s="3"/>
      <c r="AQ167" s="3"/>
      <c r="AR167" s="3"/>
    </row>
    <row r="168" spans="1:44" s="2" customFormat="1" x14ac:dyDescent="0.25">
      <c r="A168" s="1"/>
      <c r="J168" s="3"/>
      <c r="K168" s="3"/>
      <c r="L168" s="3"/>
      <c r="M168" s="3"/>
      <c r="N168" s="3"/>
      <c r="O168" s="3"/>
      <c r="Y168" s="3"/>
      <c r="Z168" s="3"/>
      <c r="AA168" s="3"/>
      <c r="AB168" s="3"/>
      <c r="AC168" s="3"/>
      <c r="AD168" s="3"/>
      <c r="AE168" s="3"/>
      <c r="AF168" s="3"/>
      <c r="AG168" s="3"/>
      <c r="AH168" s="3"/>
      <c r="AI168" s="3"/>
      <c r="AJ168" s="3"/>
      <c r="AK168" s="3"/>
      <c r="AL168" s="3"/>
      <c r="AM168" s="3"/>
      <c r="AN168" s="3"/>
      <c r="AO168" s="3"/>
      <c r="AP168" s="3"/>
      <c r="AQ168" s="3"/>
      <c r="AR168" s="3"/>
    </row>
    <row r="169" spans="1:44" s="2" customFormat="1" x14ac:dyDescent="0.25">
      <c r="A169" s="1"/>
      <c r="J169" s="3"/>
      <c r="K169" s="3"/>
      <c r="L169" s="3"/>
      <c r="M169" s="3"/>
      <c r="N169" s="3"/>
      <c r="O169" s="3"/>
      <c r="Y169" s="3"/>
      <c r="Z169" s="3"/>
      <c r="AA169" s="3"/>
      <c r="AB169" s="3"/>
      <c r="AC169" s="3"/>
      <c r="AD169" s="3"/>
      <c r="AE169" s="3"/>
      <c r="AF169" s="3"/>
      <c r="AG169" s="3"/>
      <c r="AH169" s="3"/>
      <c r="AI169" s="3"/>
      <c r="AJ169" s="3"/>
      <c r="AK169" s="3"/>
      <c r="AL169" s="3"/>
      <c r="AM169" s="3"/>
      <c r="AN169" s="3"/>
      <c r="AO169" s="3"/>
      <c r="AP169" s="3"/>
      <c r="AQ169" s="3"/>
      <c r="AR169" s="3"/>
    </row>
    <row r="170" spans="1:44" s="2" customFormat="1" x14ac:dyDescent="0.25">
      <c r="A170" s="1"/>
      <c r="J170" s="3"/>
      <c r="K170" s="3"/>
      <c r="L170" s="3"/>
      <c r="M170" s="3"/>
      <c r="N170" s="3"/>
      <c r="O170" s="3"/>
      <c r="Y170" s="3"/>
      <c r="Z170" s="3"/>
      <c r="AA170" s="3"/>
      <c r="AB170" s="3"/>
      <c r="AC170" s="3"/>
      <c r="AD170" s="3"/>
      <c r="AE170" s="3"/>
      <c r="AF170" s="3"/>
      <c r="AG170" s="3"/>
      <c r="AH170" s="3"/>
      <c r="AI170" s="3"/>
      <c r="AJ170" s="3"/>
      <c r="AK170" s="3"/>
      <c r="AL170" s="3"/>
      <c r="AM170" s="3"/>
      <c r="AN170" s="3"/>
      <c r="AO170" s="3"/>
      <c r="AP170" s="3"/>
      <c r="AQ170" s="3"/>
      <c r="AR170" s="3"/>
    </row>
    <row r="171" spans="1:44" s="2" customFormat="1" x14ac:dyDescent="0.25">
      <c r="A171" s="1"/>
      <c r="J171" s="3"/>
      <c r="K171" s="3"/>
      <c r="L171" s="3"/>
      <c r="M171" s="3"/>
      <c r="N171" s="3"/>
      <c r="O171" s="3"/>
      <c r="Y171" s="3"/>
      <c r="Z171" s="3"/>
      <c r="AA171" s="3"/>
      <c r="AB171" s="3"/>
      <c r="AC171" s="3"/>
      <c r="AD171" s="3"/>
      <c r="AE171" s="3"/>
      <c r="AF171" s="3"/>
      <c r="AG171" s="3"/>
      <c r="AH171" s="3"/>
      <c r="AI171" s="3"/>
      <c r="AJ171" s="3"/>
      <c r="AK171" s="3"/>
      <c r="AL171" s="3"/>
      <c r="AM171" s="3"/>
      <c r="AN171" s="3"/>
      <c r="AO171" s="3"/>
      <c r="AP171" s="3"/>
      <c r="AQ171" s="3"/>
      <c r="AR171" s="3"/>
    </row>
    <row r="172" spans="1:44" s="2" customFormat="1" x14ac:dyDescent="0.25">
      <c r="A172" s="1"/>
      <c r="J172" s="3"/>
      <c r="K172" s="3"/>
      <c r="L172" s="3"/>
      <c r="M172" s="3"/>
      <c r="N172" s="3"/>
      <c r="O172" s="3"/>
      <c r="Y172" s="3"/>
      <c r="Z172" s="3"/>
      <c r="AA172" s="3"/>
      <c r="AB172" s="3"/>
      <c r="AC172" s="3"/>
      <c r="AD172" s="3"/>
      <c r="AE172" s="3"/>
      <c r="AF172" s="3"/>
      <c r="AG172" s="3"/>
      <c r="AH172" s="3"/>
      <c r="AI172" s="3"/>
      <c r="AJ172" s="3"/>
      <c r="AK172" s="3"/>
      <c r="AL172" s="3"/>
      <c r="AM172" s="3"/>
      <c r="AN172" s="3"/>
      <c r="AO172" s="3"/>
      <c r="AP172" s="3"/>
      <c r="AQ172" s="3"/>
      <c r="AR172" s="3"/>
    </row>
    <row r="173" spans="1:44" s="2" customFormat="1" x14ac:dyDescent="0.25">
      <c r="A173" s="1"/>
      <c r="J173" s="3"/>
      <c r="K173" s="3"/>
      <c r="L173" s="3"/>
      <c r="M173" s="3"/>
      <c r="N173" s="3"/>
      <c r="O173" s="3"/>
      <c r="Y173" s="3"/>
      <c r="Z173" s="3"/>
      <c r="AA173" s="3"/>
      <c r="AB173" s="3"/>
      <c r="AC173" s="3"/>
      <c r="AD173" s="3"/>
      <c r="AE173" s="3"/>
      <c r="AF173" s="3"/>
      <c r="AG173" s="3"/>
      <c r="AH173" s="3"/>
      <c r="AI173" s="3"/>
      <c r="AJ173" s="3"/>
      <c r="AK173" s="3"/>
      <c r="AL173" s="3"/>
      <c r="AM173" s="3"/>
      <c r="AN173" s="3"/>
      <c r="AO173" s="3"/>
      <c r="AP173" s="3"/>
      <c r="AQ173" s="3"/>
      <c r="AR173" s="3"/>
    </row>
    <row r="174" spans="1:44" x14ac:dyDescent="0.25">
      <c r="L174" s="36"/>
    </row>
  </sheetData>
  <mergeCells count="12">
    <mergeCell ref="A31:A39"/>
    <mergeCell ref="A3:AS3"/>
    <mergeCell ref="A5:A9"/>
    <mergeCell ref="A11:A15"/>
    <mergeCell ref="A17:A19"/>
    <mergeCell ref="A21:A29"/>
    <mergeCell ref="A41:A49"/>
    <mergeCell ref="A69:A77"/>
    <mergeCell ref="A79:A87"/>
    <mergeCell ref="A89:A92"/>
    <mergeCell ref="A66:A67"/>
    <mergeCell ref="A51:A6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DDF3E-9517-427D-81B6-2703BB9E30BB}">
  <dimension ref="A2:AP22"/>
  <sheetViews>
    <sheetView zoomScale="90" zoomScaleNormal="90" workbookViewId="0">
      <pane xSplit="1" topLeftCell="B1" activePane="topRight" state="frozen"/>
      <selection pane="topRight" activeCell="B15" sqref="B15"/>
    </sheetView>
  </sheetViews>
  <sheetFormatPr baseColWidth="10" defaultColWidth="9.140625" defaultRowHeight="15" customHeight="1" x14ac:dyDescent="0.25"/>
  <cols>
    <col min="1" max="1" width="13.85546875" customWidth="1"/>
    <col min="2" max="2" width="13.5703125" customWidth="1"/>
    <col min="3" max="3" width="11.42578125" customWidth="1"/>
    <col min="4" max="4" width="10.85546875" hidden="1" customWidth="1"/>
    <col min="5" max="5" width="10" hidden="1" customWidth="1"/>
    <col min="6" max="7" width="11.42578125" hidden="1" customWidth="1"/>
    <col min="8" max="8" width="10.5703125" hidden="1" customWidth="1"/>
    <col min="9" max="9" width="11.42578125" hidden="1" customWidth="1"/>
    <col min="10" max="11" width="13.42578125" hidden="1" customWidth="1"/>
    <col min="12" max="12" width="11.42578125" hidden="1" customWidth="1"/>
    <col min="13" max="14" width="13.42578125" hidden="1" customWidth="1"/>
    <col min="15" max="15" width="11.42578125" hidden="1" customWidth="1"/>
    <col min="16" max="16" width="9.7109375" hidden="1" customWidth="1"/>
    <col min="17" max="17" width="9.5703125" hidden="1" customWidth="1"/>
    <col min="18" max="18" width="10.140625" hidden="1" customWidth="1"/>
    <col min="19" max="19" width="10.28515625" hidden="1" customWidth="1"/>
    <col min="20" max="27" width="11.42578125" hidden="1" customWidth="1"/>
    <col min="28" max="28" width="11.42578125" customWidth="1"/>
    <col min="29" max="29" width="11.42578125" hidden="1" customWidth="1"/>
    <col min="30" max="31" width="11.42578125" customWidth="1"/>
    <col min="32" max="32" width="9.85546875" customWidth="1"/>
    <col min="33" max="33" width="9.85546875" hidden="1" customWidth="1"/>
    <col min="34" max="34" width="12" customWidth="1"/>
  </cols>
  <sheetData>
    <row r="2" spans="1:42" ht="40.5" customHeight="1" x14ac:dyDescent="0.25">
      <c r="A2" s="57" t="s">
        <v>99</v>
      </c>
      <c r="B2" s="57" t="s">
        <v>100</v>
      </c>
      <c r="C2" s="57" t="s">
        <v>101</v>
      </c>
      <c r="D2" s="57" t="s">
        <v>102</v>
      </c>
      <c r="E2" s="57" t="s">
        <v>7</v>
      </c>
      <c r="F2" s="162" t="s">
        <v>103</v>
      </c>
      <c r="G2" s="57" t="s">
        <v>104</v>
      </c>
      <c r="H2" s="57" t="s">
        <v>105</v>
      </c>
      <c r="I2" s="162" t="s">
        <v>106</v>
      </c>
      <c r="J2" s="162" t="s">
        <v>107</v>
      </c>
      <c r="K2" s="162" t="s">
        <v>8</v>
      </c>
      <c r="L2" s="57" t="s">
        <v>108</v>
      </c>
      <c r="M2" s="162" t="s">
        <v>109</v>
      </c>
      <c r="N2" s="162" t="s">
        <v>110</v>
      </c>
      <c r="O2" s="57" t="s">
        <v>111</v>
      </c>
      <c r="P2" s="57" t="s">
        <v>112</v>
      </c>
      <c r="Q2" s="57" t="s">
        <v>113</v>
      </c>
      <c r="R2" s="57" t="s">
        <v>114</v>
      </c>
      <c r="S2" s="162" t="s">
        <v>115</v>
      </c>
      <c r="T2" s="158" t="s">
        <v>116</v>
      </c>
      <c r="U2" s="158" t="s">
        <v>117</v>
      </c>
      <c r="V2" s="158" t="s">
        <v>118</v>
      </c>
      <c r="W2" s="158" t="s">
        <v>119</v>
      </c>
      <c r="X2" s="158" t="s">
        <v>120</v>
      </c>
      <c r="Y2" s="57" t="s">
        <v>121</v>
      </c>
      <c r="Z2" s="57" t="s">
        <v>122</v>
      </c>
      <c r="AA2" s="57" t="s">
        <v>123</v>
      </c>
      <c r="AB2" s="197" t="s">
        <v>124</v>
      </c>
      <c r="AC2" s="158" t="s">
        <v>125</v>
      </c>
      <c r="AD2" s="158" t="s">
        <v>126</v>
      </c>
      <c r="AE2" s="162" t="s">
        <v>127</v>
      </c>
      <c r="AF2" s="197" t="s">
        <v>128</v>
      </c>
      <c r="AG2" s="197" t="s">
        <v>129</v>
      </c>
      <c r="AH2" s="158" t="s">
        <v>130</v>
      </c>
      <c r="AI2" s="197" t="s">
        <v>131</v>
      </c>
    </row>
    <row r="3" spans="1:42" x14ac:dyDescent="0.25">
      <c r="A3" s="58" t="s">
        <v>132</v>
      </c>
      <c r="B3" s="59">
        <v>194</v>
      </c>
      <c r="C3" s="59">
        <v>169</v>
      </c>
      <c r="D3" s="59">
        <f>+Detallado!D10+Detallado!Z10</f>
        <v>59</v>
      </c>
      <c r="E3" s="59">
        <f>+Detallado!F10+Detallado!AB10</f>
        <v>111</v>
      </c>
      <c r="F3" s="59">
        <f>+D3+E3</f>
        <v>170</v>
      </c>
      <c r="G3" s="60">
        <f>+F3/C3</f>
        <v>1.0059171597633136</v>
      </c>
      <c r="H3" s="59" cm="1">
        <f t="array" ref="H3">SUM('Real vs Q10'!J5:J9+'Real vs Q10'!U5:U9)</f>
        <v>43</v>
      </c>
      <c r="I3" s="59">
        <f>+Detallado!D10+Detallado!Z10</f>
        <v>59</v>
      </c>
      <c r="J3" s="59"/>
      <c r="K3" s="59">
        <f>+I3+H3+25</f>
        <v>127</v>
      </c>
      <c r="L3" s="195">
        <f>+K3/C3</f>
        <v>0.75147928994082835</v>
      </c>
      <c r="M3" s="59">
        <v>0</v>
      </c>
      <c r="N3" s="59">
        <v>1</v>
      </c>
      <c r="O3" s="59">
        <f>Detallado!R10+Detallado!AN10</f>
        <v>78</v>
      </c>
      <c r="P3" s="59">
        <v>36</v>
      </c>
      <c r="Q3" s="59">
        <v>48</v>
      </c>
      <c r="R3" s="59">
        <v>7</v>
      </c>
      <c r="S3" s="59">
        <v>84</v>
      </c>
      <c r="T3" s="59">
        <f>+VLOOKUP(A3,'Capacidad-Salones'!$B$2:$D$12,3,0)</f>
        <v>5</v>
      </c>
      <c r="U3" s="59">
        <f>+VLOOKUP(A3,'Capacidad-Salones'!$B$2:$J$12,9,0)</f>
        <v>5</v>
      </c>
      <c r="V3" s="59">
        <f>+VLOOKUP(A3,'Capacidad-Salones'!$B$2:$K$12,10,0)</f>
        <v>5</v>
      </c>
      <c r="W3" s="59">
        <f>+VLOOKUP(A3,'Capacidad-Salones'!$B$2:$L$12,11,0)</f>
        <v>0</v>
      </c>
      <c r="X3" s="59">
        <f>+VLOOKUP(A3,'Capacidad-Salones'!$B$2:$M$12,12,0)</f>
        <v>0</v>
      </c>
      <c r="Y3" s="59">
        <v>0</v>
      </c>
      <c r="Z3" s="59">
        <v>68</v>
      </c>
      <c r="AA3" s="59">
        <f>47</f>
        <v>47</v>
      </c>
      <c r="AB3" s="59">
        <f>98+36</f>
        <v>134</v>
      </c>
      <c r="AC3" s="59">
        <f>+C3*25%</f>
        <v>42.25</v>
      </c>
      <c r="AD3" s="195">
        <f>+AB3/C3</f>
        <v>0.79289940828402372</v>
      </c>
      <c r="AE3" s="59">
        <v>92</v>
      </c>
      <c r="AF3" s="195">
        <f>+AE3/AB3</f>
        <v>0.68656716417910446</v>
      </c>
      <c r="AG3" s="59">
        <f>+AB3-AE3</f>
        <v>42</v>
      </c>
      <c r="AH3" s="59">
        <v>25</v>
      </c>
      <c r="AI3" s="59">
        <f>+AH3-10</f>
        <v>15</v>
      </c>
    </row>
    <row r="4" spans="1:42" x14ac:dyDescent="0.25">
      <c r="A4" s="61" t="s">
        <v>133</v>
      </c>
      <c r="B4" s="62">
        <v>320</v>
      </c>
      <c r="C4" s="62">
        <v>194</v>
      </c>
      <c r="D4" s="62">
        <f>+Detallado!D16+Detallado!Z16</f>
        <v>32</v>
      </c>
      <c r="E4" s="62">
        <f>+Detallado!F16+Detallado!AB16</f>
        <v>245</v>
      </c>
      <c r="F4" s="62">
        <f t="shared" ref="F4:F14" si="0">+D4+E4</f>
        <v>277</v>
      </c>
      <c r="G4" s="63">
        <f t="shared" ref="G4:G14" si="1">+F4/C4</f>
        <v>1.4278350515463918</v>
      </c>
      <c r="H4" s="62" cm="1">
        <f t="array" ref="H4">+SUM('Real vs Q10'!J10:J14+'Real vs Q10'!U10:U14)</f>
        <v>161</v>
      </c>
      <c r="I4" s="62">
        <f>+Detallado!D16+Detallado!Z16</f>
        <v>32</v>
      </c>
      <c r="J4" s="62"/>
      <c r="K4" s="62">
        <f t="shared" ref="K4:K14" si="2">+I4+H4</f>
        <v>193</v>
      </c>
      <c r="L4" s="196">
        <f t="shared" ref="L4:L14" si="3">+K4/C4</f>
        <v>0.99484536082474229</v>
      </c>
      <c r="M4" s="62">
        <v>59</v>
      </c>
      <c r="N4" s="62">
        <v>33</v>
      </c>
      <c r="O4" s="62">
        <f>Detallado!R16+Detallado!AN16</f>
        <v>96</v>
      </c>
      <c r="P4" s="62">
        <v>48</v>
      </c>
      <c r="Q4" s="62">
        <v>43</v>
      </c>
      <c r="R4" s="62">
        <v>7</v>
      </c>
      <c r="S4" s="62">
        <v>47</v>
      </c>
      <c r="T4" s="62">
        <f>+VLOOKUP(A4,'Capacidad-Salones'!$B$2:$D$12,3,0)</f>
        <v>5</v>
      </c>
      <c r="U4" s="62">
        <f>+VLOOKUP(A4,'Capacidad-Salones'!$B$2:$J$12,9,0)</f>
        <v>5</v>
      </c>
      <c r="V4" s="62">
        <f>+VLOOKUP(A4,'Capacidad-Salones'!$B$2:$K$12,10,0)</f>
        <v>5</v>
      </c>
      <c r="W4" s="62">
        <f>+VLOOKUP(A4,'Capacidad-Salones'!$B$2:$L$12,11,0)</f>
        <v>0</v>
      </c>
      <c r="X4" s="62">
        <f>+VLOOKUP(A4,'Capacidad-Salones'!$B$2:$M$12,12,0)</f>
        <v>0</v>
      </c>
      <c r="Y4" s="62">
        <f t="shared" ref="Y4:Y14" si="4">+F4-I4</f>
        <v>245</v>
      </c>
      <c r="Z4" s="62">
        <v>32</v>
      </c>
      <c r="AA4" s="62">
        <v>150</v>
      </c>
      <c r="AB4" s="62">
        <v>174</v>
      </c>
      <c r="AC4" s="62">
        <f t="shared" ref="AC4:AC15" si="5">+C4*25%</f>
        <v>48.5</v>
      </c>
      <c r="AD4" s="196">
        <f t="shared" ref="AD4:AD15" si="6">+AB4/C4</f>
        <v>0.89690721649484539</v>
      </c>
      <c r="AE4" s="62">
        <v>171</v>
      </c>
      <c r="AF4" s="196">
        <f t="shared" ref="AF4:AF15" si="7">+AE4/AB4</f>
        <v>0.98275862068965514</v>
      </c>
      <c r="AG4" s="62">
        <f t="shared" ref="AG4:AG15" si="8">+AB4-AE4</f>
        <v>3</v>
      </c>
      <c r="AH4" s="62">
        <v>20</v>
      </c>
      <c r="AI4" s="62">
        <f t="shared" ref="AI4:AI13" si="9">+AH4-10</f>
        <v>10</v>
      </c>
    </row>
    <row r="5" spans="1:42" x14ac:dyDescent="0.25">
      <c r="A5" s="58" t="s">
        <v>134</v>
      </c>
      <c r="B5" s="59">
        <v>320</v>
      </c>
      <c r="C5" s="59">
        <v>129</v>
      </c>
      <c r="D5" s="59">
        <f>+Detallado!D20+Detallado!Z20</f>
        <v>35</v>
      </c>
      <c r="E5" s="59">
        <f>+Detallado!F20+Detallado!AB20</f>
        <v>95</v>
      </c>
      <c r="F5" s="59">
        <f t="shared" si="0"/>
        <v>130</v>
      </c>
      <c r="G5" s="60">
        <f t="shared" si="1"/>
        <v>1.0077519379844961</v>
      </c>
      <c r="H5" s="59" cm="1">
        <f t="array" ref="H5">SUM('Real vs Q10'!J15:J17+'Real vs Q10'!U15:U17)</f>
        <v>79</v>
      </c>
      <c r="I5" s="59">
        <f>+Detallado!D20+Detallado!Z20</f>
        <v>35</v>
      </c>
      <c r="J5" s="59"/>
      <c r="K5" s="59">
        <f t="shared" si="2"/>
        <v>114</v>
      </c>
      <c r="L5" s="195">
        <f t="shared" si="3"/>
        <v>0.88372093023255816</v>
      </c>
      <c r="M5" s="59">
        <v>12</v>
      </c>
      <c r="N5" s="59">
        <v>0</v>
      </c>
      <c r="O5" s="59">
        <f>Detallado!R20+Detallado!AN20</f>
        <v>16</v>
      </c>
      <c r="P5" s="59">
        <v>17</v>
      </c>
      <c r="Q5" s="59">
        <v>31</v>
      </c>
      <c r="R5" s="59">
        <v>3</v>
      </c>
      <c r="S5" s="59">
        <v>52</v>
      </c>
      <c r="T5" s="59">
        <f>+VLOOKUP(A5,'Capacidad-Salones'!$B$2:$D$12,3,0)</f>
        <v>5</v>
      </c>
      <c r="U5" s="59">
        <f>+VLOOKUP(A5,'Capacidad-Salones'!$B$2:$J$12,9,0)</f>
        <v>4</v>
      </c>
      <c r="V5" s="59">
        <f>+VLOOKUP(A5,'Capacidad-Salones'!$B$2:$K$12,10,0)</f>
        <v>3</v>
      </c>
      <c r="W5" s="59">
        <f>+VLOOKUP(A5,'Capacidad-Salones'!$B$2:$L$12,11,0)</f>
        <v>1</v>
      </c>
      <c r="X5" s="59">
        <f>+VLOOKUP(A5,'Capacidad-Salones'!$B$2:$M$12,12,0)</f>
        <v>2</v>
      </c>
      <c r="Y5" s="59">
        <f t="shared" si="4"/>
        <v>95</v>
      </c>
      <c r="Z5" s="59">
        <v>29</v>
      </c>
      <c r="AA5" s="59">
        <v>69</v>
      </c>
      <c r="AB5" s="59">
        <v>91</v>
      </c>
      <c r="AC5" s="59">
        <f t="shared" si="5"/>
        <v>32.25</v>
      </c>
      <c r="AD5" s="195">
        <f t="shared" si="6"/>
        <v>0.70542635658914732</v>
      </c>
      <c r="AE5" s="59">
        <v>96</v>
      </c>
      <c r="AF5" s="195">
        <f t="shared" si="7"/>
        <v>1.054945054945055</v>
      </c>
      <c r="AG5" s="59">
        <f t="shared" si="8"/>
        <v>-5</v>
      </c>
      <c r="AH5" s="59">
        <v>18</v>
      </c>
      <c r="AI5" s="59">
        <f t="shared" si="9"/>
        <v>8</v>
      </c>
      <c r="AL5" s="164">
        <f>179/429</f>
        <v>0.41724941724941728</v>
      </c>
    </row>
    <row r="6" spans="1:42" hidden="1" x14ac:dyDescent="0.25">
      <c r="A6" s="61" t="s">
        <v>135</v>
      </c>
      <c r="B6" s="62"/>
      <c r="C6" s="62">
        <v>0</v>
      </c>
      <c r="D6" s="62">
        <v>0</v>
      </c>
      <c r="E6" s="62">
        <v>0</v>
      </c>
      <c r="F6" s="62">
        <v>0</v>
      </c>
      <c r="G6" s="63" t="e">
        <f t="shared" si="1"/>
        <v>#DIV/0!</v>
      </c>
      <c r="H6" s="62"/>
      <c r="I6" s="62">
        <v>0</v>
      </c>
      <c r="J6" s="62"/>
      <c r="K6" s="62">
        <f t="shared" si="2"/>
        <v>0</v>
      </c>
      <c r="L6" s="196" t="e">
        <f t="shared" si="3"/>
        <v>#DIV/0!</v>
      </c>
      <c r="M6" s="62"/>
      <c r="N6" s="62"/>
      <c r="O6" s="62"/>
      <c r="P6" s="62"/>
      <c r="Q6" s="62"/>
      <c r="R6" s="62"/>
      <c r="S6" s="62">
        <v>38</v>
      </c>
      <c r="T6" s="62">
        <v>0</v>
      </c>
      <c r="U6" s="62">
        <v>0</v>
      </c>
      <c r="V6" s="62">
        <v>0</v>
      </c>
      <c r="W6" s="62">
        <v>0</v>
      </c>
      <c r="X6" s="62">
        <v>0</v>
      </c>
      <c r="Y6" s="62">
        <f t="shared" si="4"/>
        <v>0</v>
      </c>
      <c r="Z6" s="62">
        <v>0</v>
      </c>
      <c r="AA6" s="62">
        <v>0</v>
      </c>
      <c r="AB6" s="62">
        <f t="shared" ref="AB6" si="10">+AA6+Z6</f>
        <v>0</v>
      </c>
      <c r="AC6" s="62">
        <f t="shared" si="5"/>
        <v>0</v>
      </c>
      <c r="AD6" s="196" t="e">
        <f t="shared" si="6"/>
        <v>#DIV/0!</v>
      </c>
      <c r="AE6" s="62"/>
      <c r="AF6" s="196" t="e">
        <f t="shared" si="7"/>
        <v>#DIV/0!</v>
      </c>
      <c r="AG6" s="62">
        <f t="shared" si="8"/>
        <v>0</v>
      </c>
      <c r="AH6" s="62">
        <v>40</v>
      </c>
      <c r="AI6" s="62">
        <f t="shared" si="9"/>
        <v>30</v>
      </c>
    </row>
    <row r="7" spans="1:42" x14ac:dyDescent="0.25">
      <c r="A7" s="61" t="s">
        <v>136</v>
      </c>
      <c r="B7" s="62">
        <f>11*32*2</f>
        <v>704</v>
      </c>
      <c r="C7" s="62">
        <v>513</v>
      </c>
      <c r="D7" s="62">
        <f>+Detallado!D30+Detallado!Z30</f>
        <v>238</v>
      </c>
      <c r="E7" s="62">
        <f>+Detallado!F30+Detallado!AB30</f>
        <v>346</v>
      </c>
      <c r="F7" s="62">
        <f>+D7+E7</f>
        <v>584</v>
      </c>
      <c r="G7" s="63">
        <f t="shared" si="1"/>
        <v>1.138401559454191</v>
      </c>
      <c r="H7" s="62" cm="1">
        <f t="array" ref="H7">SUM('Real vs Q10'!J23:J31+'Real vs Q10'!U23:U31)</f>
        <v>287</v>
      </c>
      <c r="I7" s="62">
        <f>+Detallado!D30+Detallado!Z30</f>
        <v>238</v>
      </c>
      <c r="J7" s="62"/>
      <c r="K7" s="62">
        <f t="shared" si="2"/>
        <v>525</v>
      </c>
      <c r="L7" s="196">
        <f t="shared" si="3"/>
        <v>1.0233918128654971</v>
      </c>
      <c r="M7" s="62">
        <v>98</v>
      </c>
      <c r="N7" s="62">
        <v>0</v>
      </c>
      <c r="O7" s="62">
        <f>Detallado!R30+Detallado!AN30</f>
        <v>268</v>
      </c>
      <c r="P7" s="62">
        <v>172</v>
      </c>
      <c r="Q7" s="62">
        <v>241</v>
      </c>
      <c r="R7" s="62">
        <v>33</v>
      </c>
      <c r="S7" s="62">
        <v>413</v>
      </c>
      <c r="T7" s="62">
        <f>+VLOOKUP(A7,'Capacidad-Salones'!$B$2:$D$12,3,0)</f>
        <v>11</v>
      </c>
      <c r="U7" s="62">
        <f>+VLOOKUP(A7,'Capacidad-Salones'!$B$2:$J$12,9,0)</f>
        <v>11</v>
      </c>
      <c r="V7" s="62">
        <f>+VLOOKUP(A7,'Capacidad-Salones'!$B$2:$K$12,10,0)</f>
        <v>10</v>
      </c>
      <c r="W7" s="62">
        <f>+VLOOKUP(A7,'Capacidad-Salones'!$B$2:$L$12,11,0)</f>
        <v>0</v>
      </c>
      <c r="X7" s="62">
        <f>+VLOOKUP(A7,'Capacidad-Salones'!$B$2:$M$12,12,0)</f>
        <v>1</v>
      </c>
      <c r="Y7" s="62">
        <f t="shared" si="4"/>
        <v>346</v>
      </c>
      <c r="Z7" s="62">
        <v>230</v>
      </c>
      <c r="AA7" s="62">
        <v>267</v>
      </c>
      <c r="AB7" s="62">
        <v>501</v>
      </c>
      <c r="AC7" s="62">
        <f t="shared" si="5"/>
        <v>128.25</v>
      </c>
      <c r="AD7" s="196">
        <f t="shared" si="6"/>
        <v>0.97660818713450293</v>
      </c>
      <c r="AE7" s="62">
        <v>501</v>
      </c>
      <c r="AF7" s="196">
        <f t="shared" si="7"/>
        <v>1</v>
      </c>
      <c r="AG7" s="62">
        <f t="shared" si="8"/>
        <v>0</v>
      </c>
      <c r="AH7" s="62">
        <v>40</v>
      </c>
      <c r="AI7" s="62">
        <f t="shared" si="9"/>
        <v>30</v>
      </c>
      <c r="AP7">
        <f>131-112</f>
        <v>19</v>
      </c>
    </row>
    <row r="8" spans="1:42" x14ac:dyDescent="0.25">
      <c r="A8" s="58" t="s">
        <v>137</v>
      </c>
      <c r="B8" s="59">
        <v>704</v>
      </c>
      <c r="C8" s="59">
        <v>575</v>
      </c>
      <c r="D8" s="59">
        <f>+Detallado!D40+Detallado!Z40</f>
        <v>137</v>
      </c>
      <c r="E8" s="59">
        <f>+Detallado!F40+Detallado!AB40</f>
        <v>476</v>
      </c>
      <c r="F8" s="59">
        <f t="shared" si="0"/>
        <v>613</v>
      </c>
      <c r="G8" s="60">
        <f t="shared" si="1"/>
        <v>1.0660869565217392</v>
      </c>
      <c r="H8" s="59" cm="1">
        <f t="array" ref="H8">SUM('Real vs Q10'!J32:J40+'Real vs Q10'!U32:U40)</f>
        <v>394</v>
      </c>
      <c r="I8" s="59">
        <f>+Detallado!D40+Detallado!Z40</f>
        <v>137</v>
      </c>
      <c r="J8" s="59"/>
      <c r="K8" s="59">
        <f t="shared" si="2"/>
        <v>531</v>
      </c>
      <c r="L8" s="195">
        <f t="shared" si="3"/>
        <v>0.92347826086956519</v>
      </c>
      <c r="M8" s="59">
        <v>30</v>
      </c>
      <c r="N8" s="59">
        <v>34</v>
      </c>
      <c r="O8" s="59">
        <f>Detallado!R40+Detallado!AN40</f>
        <v>360</v>
      </c>
      <c r="P8" s="59">
        <v>98</v>
      </c>
      <c r="Q8" s="59">
        <v>220</v>
      </c>
      <c r="R8" s="59">
        <v>21</v>
      </c>
      <c r="S8" s="59">
        <v>314</v>
      </c>
      <c r="T8" s="59">
        <f>+VLOOKUP(A8,'Capacidad-Salones'!$B$2:$D$12,3,0)</f>
        <v>11</v>
      </c>
      <c r="U8" s="59">
        <f>+VLOOKUP(A8,'Capacidad-Salones'!$B$2:$J$12,9,0)</f>
        <v>11</v>
      </c>
      <c r="V8" s="59">
        <f>+VLOOKUP(A8,'Capacidad-Salones'!$B$2:$K$12,10,0)</f>
        <v>9</v>
      </c>
      <c r="W8" s="59">
        <f>+VLOOKUP(A8,'Capacidad-Salones'!$B$2:$L$12,11,0)</f>
        <v>0</v>
      </c>
      <c r="X8" s="59">
        <f>+VLOOKUP(A8,'Capacidad-Salones'!$B$2:$M$12,12,0)</f>
        <v>2</v>
      </c>
      <c r="Y8" s="59">
        <f t="shared" si="4"/>
        <v>476</v>
      </c>
      <c r="Z8" s="59">
        <v>121</v>
      </c>
      <c r="AA8" s="59">
        <v>333</v>
      </c>
      <c r="AB8" s="59">
        <v>455</v>
      </c>
      <c r="AC8" s="59">
        <f t="shared" si="5"/>
        <v>143.75</v>
      </c>
      <c r="AD8" s="195">
        <f t="shared" si="6"/>
        <v>0.79130434782608694</v>
      </c>
      <c r="AE8" s="59">
        <v>458</v>
      </c>
      <c r="AF8" s="195">
        <f t="shared" si="7"/>
        <v>1.0065934065934066</v>
      </c>
      <c r="AG8" s="59">
        <f t="shared" si="8"/>
        <v>-3</v>
      </c>
      <c r="AH8" s="59">
        <v>40</v>
      </c>
      <c r="AI8" s="59">
        <f t="shared" si="9"/>
        <v>30</v>
      </c>
    </row>
    <row r="9" spans="1:42" x14ac:dyDescent="0.25">
      <c r="A9" s="61" t="s">
        <v>88</v>
      </c>
      <c r="B9" s="62">
        <f>12*32*2</f>
        <v>768</v>
      </c>
      <c r="C9" s="62">
        <v>436</v>
      </c>
      <c r="D9" s="62">
        <f>+Detallado!D50+Detallado!Z50</f>
        <v>215</v>
      </c>
      <c r="E9" s="62">
        <f>+Detallado!F50+Detallado!AB50</f>
        <v>267</v>
      </c>
      <c r="F9" s="62">
        <f t="shared" si="0"/>
        <v>482</v>
      </c>
      <c r="G9" s="63">
        <f>+F9/C9</f>
        <v>1.1055045871559632</v>
      </c>
      <c r="H9" s="62" cm="1">
        <f t="array" ref="H9">SUM('Real vs Q10'!J41:J49+'Real vs Q10'!U41:U49
)</f>
        <v>196</v>
      </c>
      <c r="I9" s="62">
        <f>+Detallado!D50+Detallado!Z50</f>
        <v>215</v>
      </c>
      <c r="J9" s="62"/>
      <c r="K9" s="62">
        <f t="shared" si="2"/>
        <v>411</v>
      </c>
      <c r="L9" s="196">
        <f t="shared" si="3"/>
        <v>0.94266055045871555</v>
      </c>
      <c r="M9" s="62">
        <v>74</v>
      </c>
      <c r="N9" s="62">
        <v>4</v>
      </c>
      <c r="O9" s="62">
        <f>Detallado!R50+Detallado!AN50</f>
        <v>168</v>
      </c>
      <c r="P9" s="62">
        <v>77</v>
      </c>
      <c r="Q9" s="62">
        <v>118</v>
      </c>
      <c r="R9" s="62">
        <v>18</v>
      </c>
      <c r="S9" s="62">
        <v>182</v>
      </c>
      <c r="T9" s="62">
        <f>+VLOOKUP(A9,'Capacidad-Salones'!$B$2:$D$12,3,0)</f>
        <v>12</v>
      </c>
      <c r="U9" s="62">
        <f>+VLOOKUP(A9,'Capacidad-Salones'!$B$2:$J$12,9,0)</f>
        <v>11</v>
      </c>
      <c r="V9" s="62">
        <f>+VLOOKUP(A9,'Capacidad-Salones'!$B$2:$K$12,10,0)</f>
        <v>8</v>
      </c>
      <c r="W9" s="62">
        <f>+VLOOKUP(A9,'Capacidad-Salones'!$B$2:$L$12,11,0)</f>
        <v>1</v>
      </c>
      <c r="X9" s="62">
        <f>+VLOOKUP(A9,'Capacidad-Salones'!$B$2:$M$12,12,0)</f>
        <v>4</v>
      </c>
      <c r="Y9" s="62">
        <f t="shared" si="4"/>
        <v>267</v>
      </c>
      <c r="Z9" s="62">
        <v>184</v>
      </c>
      <c r="AA9" s="62">
        <v>185</v>
      </c>
      <c r="AB9" s="62">
        <v>376</v>
      </c>
      <c r="AC9" s="62">
        <f t="shared" si="5"/>
        <v>109</v>
      </c>
      <c r="AD9" s="196">
        <f t="shared" si="6"/>
        <v>0.86238532110091748</v>
      </c>
      <c r="AE9" s="62">
        <v>379</v>
      </c>
      <c r="AF9" s="196">
        <f t="shared" si="7"/>
        <v>1.0079787234042554</v>
      </c>
      <c r="AG9" s="62">
        <f t="shared" si="8"/>
        <v>-3</v>
      </c>
      <c r="AH9" s="62">
        <v>40</v>
      </c>
      <c r="AI9" s="62">
        <f t="shared" si="9"/>
        <v>30</v>
      </c>
    </row>
    <row r="10" spans="1:42" x14ac:dyDescent="0.25">
      <c r="A10" s="58" t="s">
        <v>91</v>
      </c>
      <c r="B10" s="59">
        <v>896</v>
      </c>
      <c r="C10" s="59">
        <v>517</v>
      </c>
      <c r="D10" s="59">
        <f>+Detallado!D65+Detallado!Z65</f>
        <v>92</v>
      </c>
      <c r="E10" s="59">
        <f>+Detallado!F65+Detallado!AB65</f>
        <v>480</v>
      </c>
      <c r="F10" s="59">
        <f t="shared" si="0"/>
        <v>572</v>
      </c>
      <c r="G10" s="60">
        <f>+F10/C10</f>
        <v>1.1063829787234043</v>
      </c>
      <c r="H10" s="59" cm="1">
        <f t="array" ref="H10">+SUM('Real vs Q10'!J50:J62+'Real vs Q10'!U50:U62)</f>
        <v>283</v>
      </c>
      <c r="I10" s="59">
        <f>+Detallado!D65+Detallado!Z65</f>
        <v>92</v>
      </c>
      <c r="J10" s="59"/>
      <c r="K10" s="59">
        <f t="shared" si="2"/>
        <v>375</v>
      </c>
      <c r="L10" s="195">
        <f t="shared" si="3"/>
        <v>0.72533849129593808</v>
      </c>
      <c r="M10" s="59">
        <v>14</v>
      </c>
      <c r="N10" s="59">
        <v>201</v>
      </c>
      <c r="O10" s="59">
        <f>Detallado!R65+Detallado!AN65</f>
        <v>184</v>
      </c>
      <c r="P10" s="59">
        <v>100</v>
      </c>
      <c r="Q10" s="59">
        <v>162</v>
      </c>
      <c r="R10" s="59">
        <v>18</v>
      </c>
      <c r="S10" s="59">
        <v>250</v>
      </c>
      <c r="T10" s="59">
        <f>+VLOOKUP(A10,'Capacidad-Salones'!$B$2:$D$12,3,0)</f>
        <v>14</v>
      </c>
      <c r="U10" s="59">
        <f>+VLOOKUP(A10,'Capacidad-Salones'!$B$2:$J$12,9,0)</f>
        <v>14</v>
      </c>
      <c r="V10" s="59">
        <f>+VLOOKUP(A10,'Capacidad-Salones'!$B$2:$K$12,10,0)</f>
        <v>10</v>
      </c>
      <c r="W10" s="59">
        <f>+VLOOKUP(A10,'Capacidad-Salones'!$B$2:$L$12,11,0)</f>
        <v>0</v>
      </c>
      <c r="X10" s="59">
        <f>+VLOOKUP(A10,'Capacidad-Salones'!$B$2:$M$12,12,0)</f>
        <v>4</v>
      </c>
      <c r="Y10" s="59">
        <f t="shared" si="4"/>
        <v>480</v>
      </c>
      <c r="Z10" s="59">
        <v>85</v>
      </c>
      <c r="AA10" s="59">
        <v>240</v>
      </c>
      <c r="AB10" s="59">
        <v>374</v>
      </c>
      <c r="AC10" s="59">
        <f t="shared" si="5"/>
        <v>129.25</v>
      </c>
      <c r="AD10" s="195">
        <f t="shared" si="6"/>
        <v>0.72340425531914898</v>
      </c>
      <c r="AE10" s="59">
        <v>344</v>
      </c>
      <c r="AF10" s="195">
        <f t="shared" si="7"/>
        <v>0.9197860962566845</v>
      </c>
      <c r="AG10" s="59">
        <f t="shared" si="8"/>
        <v>30</v>
      </c>
      <c r="AH10" s="59">
        <v>45</v>
      </c>
      <c r="AI10" s="59">
        <f t="shared" si="9"/>
        <v>35</v>
      </c>
    </row>
    <row r="11" spans="1:42" hidden="1" x14ac:dyDescent="0.25">
      <c r="A11" s="61" t="s">
        <v>69</v>
      </c>
      <c r="B11" s="62">
        <v>192</v>
      </c>
      <c r="C11" s="62">
        <v>150</v>
      </c>
      <c r="D11" s="62">
        <f>+Detallado!D68+Detallado!Z68</f>
        <v>0</v>
      </c>
      <c r="E11" s="62">
        <f>+Detallado!F68+Detallado!AB68</f>
        <v>26</v>
      </c>
      <c r="F11" s="62">
        <f>+D11+E11</f>
        <v>26</v>
      </c>
      <c r="G11" s="63">
        <f>+F11/C11</f>
        <v>0.17333333333333334</v>
      </c>
      <c r="H11" s="62" cm="1">
        <f t="array" ref="H11">+SUM('Real vs Q10'!J63:J64+'Real vs Q10'!U63:U64)</f>
        <v>16</v>
      </c>
      <c r="I11" s="62">
        <f>+Detallado!D68+Detallado!Z68</f>
        <v>0</v>
      </c>
      <c r="J11" s="62"/>
      <c r="K11" s="62">
        <f t="shared" si="2"/>
        <v>16</v>
      </c>
      <c r="L11" s="196">
        <f t="shared" si="3"/>
        <v>0.10666666666666667</v>
      </c>
      <c r="M11" s="62">
        <v>0</v>
      </c>
      <c r="N11" s="62">
        <v>0</v>
      </c>
      <c r="O11" s="62">
        <f>Detallado!R68+Detallado!AN68</f>
        <v>0</v>
      </c>
      <c r="P11" s="62">
        <v>0</v>
      </c>
      <c r="Q11" s="62">
        <v>0</v>
      </c>
      <c r="R11" s="62">
        <v>0</v>
      </c>
      <c r="S11" s="62">
        <v>3</v>
      </c>
      <c r="T11" s="62">
        <v>3</v>
      </c>
      <c r="U11" s="62">
        <v>1</v>
      </c>
      <c r="V11" s="62">
        <v>1</v>
      </c>
      <c r="W11" s="62">
        <f>+T11-U11</f>
        <v>2</v>
      </c>
      <c r="X11" s="62">
        <f>+T11-V11</f>
        <v>2</v>
      </c>
      <c r="Y11" s="62">
        <f t="shared" si="4"/>
        <v>26</v>
      </c>
      <c r="Z11" s="62">
        <v>0</v>
      </c>
      <c r="AA11" s="62">
        <v>17</v>
      </c>
      <c r="AB11" s="62"/>
      <c r="AC11" s="62">
        <f t="shared" si="5"/>
        <v>37.5</v>
      </c>
      <c r="AD11" s="196">
        <f t="shared" si="6"/>
        <v>0</v>
      </c>
      <c r="AE11" s="62">
        <v>0</v>
      </c>
      <c r="AF11" s="196" t="e">
        <f t="shared" si="7"/>
        <v>#DIV/0!</v>
      </c>
      <c r="AG11" s="62">
        <f t="shared" si="8"/>
        <v>0</v>
      </c>
      <c r="AH11" s="62">
        <v>8</v>
      </c>
      <c r="AI11" s="62">
        <f>+AH11</f>
        <v>8</v>
      </c>
    </row>
    <row r="12" spans="1:42" x14ac:dyDescent="0.25">
      <c r="A12" s="58" t="s">
        <v>138</v>
      </c>
      <c r="B12" s="59">
        <v>832</v>
      </c>
      <c r="C12" s="59">
        <v>493</v>
      </c>
      <c r="D12" s="59">
        <f>+Detallado!D78+Detallado!Z78</f>
        <v>214</v>
      </c>
      <c r="E12" s="59">
        <f>+Detallado!F78+Detallado!AB78</f>
        <v>361</v>
      </c>
      <c r="F12" s="59">
        <f>+D12+E12</f>
        <v>575</v>
      </c>
      <c r="G12" s="60">
        <f>+F12/C12</f>
        <v>1.1663286004056794</v>
      </c>
      <c r="H12" s="59" cm="1">
        <f t="array" ref="H12">+SUM('Real vs Q10'!J65:J73+'Real vs Q10'!U65:U73)</f>
        <v>243</v>
      </c>
      <c r="I12" s="59">
        <f>+Detallado!D78+Detallado!Z78</f>
        <v>214</v>
      </c>
      <c r="J12" s="59"/>
      <c r="K12" s="59">
        <f t="shared" si="2"/>
        <v>457</v>
      </c>
      <c r="L12" s="195">
        <f t="shared" si="3"/>
        <v>0.92697768762677479</v>
      </c>
      <c r="M12" s="59">
        <v>18</v>
      </c>
      <c r="N12" s="59">
        <v>57</v>
      </c>
      <c r="O12" s="59">
        <f>Detallado!R78+Detallado!AN78</f>
        <v>211</v>
      </c>
      <c r="P12" s="59">
        <v>122</v>
      </c>
      <c r="Q12" s="59">
        <v>153</v>
      </c>
      <c r="R12" s="59">
        <v>21</v>
      </c>
      <c r="S12" s="59">
        <v>265</v>
      </c>
      <c r="T12" s="59">
        <f>+VLOOKUP(A12,'Capacidad-Salones'!$B$2:$D$12,3,0)</f>
        <v>13</v>
      </c>
      <c r="U12" s="59">
        <f>+VLOOKUP(A12,'Capacidad-Salones'!$B$2:$J$12,9,0)</f>
        <v>11</v>
      </c>
      <c r="V12" s="59">
        <f>+VLOOKUP(A12,'Capacidad-Salones'!$B$2:$K$12,10,0)</f>
        <v>9</v>
      </c>
      <c r="W12" s="59">
        <f>+VLOOKUP(A12,'Capacidad-Salones'!$B$2:$L$12,11,0)</f>
        <v>2</v>
      </c>
      <c r="X12" s="59">
        <f>+VLOOKUP(A12,'Capacidad-Salones'!$B$2:$M$12,12,0)</f>
        <v>4</v>
      </c>
      <c r="Y12" s="59">
        <f t="shared" si="4"/>
        <v>361</v>
      </c>
      <c r="Z12" s="59">
        <v>181</v>
      </c>
      <c r="AA12" s="59">
        <v>217</v>
      </c>
      <c r="AB12" s="59">
        <v>412</v>
      </c>
      <c r="AC12" s="59">
        <f t="shared" si="5"/>
        <v>123.25</v>
      </c>
      <c r="AD12" s="195">
        <f t="shared" si="6"/>
        <v>0.83569979716024345</v>
      </c>
      <c r="AE12" s="59">
        <v>407</v>
      </c>
      <c r="AF12" s="195">
        <f t="shared" si="7"/>
        <v>0.98786407766990292</v>
      </c>
      <c r="AG12" s="59">
        <f t="shared" si="8"/>
        <v>5</v>
      </c>
      <c r="AH12" s="59">
        <v>30</v>
      </c>
      <c r="AI12" s="59">
        <f t="shared" si="9"/>
        <v>20</v>
      </c>
    </row>
    <row r="13" spans="1:42" x14ac:dyDescent="0.25">
      <c r="A13" s="61" t="s">
        <v>139</v>
      </c>
      <c r="B13" s="62">
        <f>15*32*2</f>
        <v>960</v>
      </c>
      <c r="C13" s="62">
        <v>465</v>
      </c>
      <c r="D13" s="62">
        <f>+Detallado!D88+Detallado!Z88</f>
        <v>230</v>
      </c>
      <c r="E13" s="62">
        <f>+Detallado!F88+Detallado!AB88</f>
        <v>332</v>
      </c>
      <c r="F13" s="62">
        <f>+D13+E13</f>
        <v>562</v>
      </c>
      <c r="G13" s="63">
        <f t="shared" si="1"/>
        <v>1.2086021505376343</v>
      </c>
      <c r="H13" s="62" cm="1">
        <f t="array" ref="H13">+SUM('Real vs Q10'!J74:J82+'Real vs Q10'!U74:U82)</f>
        <v>217</v>
      </c>
      <c r="I13" s="62">
        <f>+Detallado!D88+Detallado!Z88</f>
        <v>230</v>
      </c>
      <c r="J13" s="62"/>
      <c r="K13" s="62">
        <f>+I13+H13</f>
        <v>447</v>
      </c>
      <c r="L13" s="196">
        <f t="shared" si="3"/>
        <v>0.96129032258064517</v>
      </c>
      <c r="M13" s="62">
        <v>47</v>
      </c>
      <c r="N13" s="62">
        <v>39</v>
      </c>
      <c r="O13" s="62">
        <f>Detallado!R88+Detallado!AN88</f>
        <v>292</v>
      </c>
      <c r="P13" s="62">
        <v>115</v>
      </c>
      <c r="Q13" s="62">
        <v>165</v>
      </c>
      <c r="R13" s="62">
        <v>13</v>
      </c>
      <c r="S13" s="62">
        <v>279</v>
      </c>
      <c r="T13" s="62">
        <f>+VLOOKUP(A13,'Capacidad-Salones'!$B$2:$D$12,3,0)</f>
        <v>15</v>
      </c>
      <c r="U13" s="62">
        <f>+VLOOKUP(A13,'Capacidad-Salones'!$B$2:$J$12,9,0)</f>
        <v>13</v>
      </c>
      <c r="V13" s="62">
        <f>+VLOOKUP(A13,'Capacidad-Salones'!$B$2:$K$12,10,0)</f>
        <v>9</v>
      </c>
      <c r="W13" s="62">
        <f>+VLOOKUP(A13,'Capacidad-Salones'!$B$2:$L$12,11,0)</f>
        <v>2</v>
      </c>
      <c r="X13" s="62">
        <f>+VLOOKUP(A13,'Capacidad-Salones'!$B$2:$M$12,12,0)</f>
        <v>6</v>
      </c>
      <c r="Y13" s="62">
        <f t="shared" si="4"/>
        <v>332</v>
      </c>
      <c r="Z13" s="62">
        <v>199</v>
      </c>
      <c r="AA13" s="62">
        <v>204</v>
      </c>
      <c r="AB13" s="62">
        <v>409</v>
      </c>
      <c r="AC13" s="62">
        <f t="shared" si="5"/>
        <v>116.25</v>
      </c>
      <c r="AD13" s="196">
        <f t="shared" si="6"/>
        <v>0.87956989247311823</v>
      </c>
      <c r="AE13" s="62">
        <v>389</v>
      </c>
      <c r="AF13" s="196">
        <f t="shared" si="7"/>
        <v>0.9511002444987775</v>
      </c>
      <c r="AG13" s="62">
        <f t="shared" si="8"/>
        <v>20</v>
      </c>
      <c r="AH13" s="62">
        <v>35</v>
      </c>
      <c r="AI13" s="62">
        <f t="shared" si="9"/>
        <v>25</v>
      </c>
    </row>
    <row r="14" spans="1:42" x14ac:dyDescent="0.25">
      <c r="A14" s="58" t="s">
        <v>140</v>
      </c>
      <c r="B14" s="59">
        <f>4*32*2</f>
        <v>256</v>
      </c>
      <c r="C14" s="59">
        <v>153</v>
      </c>
      <c r="D14" s="59">
        <f>+Detallado!D93+Detallado!Z93</f>
        <v>74</v>
      </c>
      <c r="E14" s="59">
        <f>+Detallado!F93+Detallado!AB93</f>
        <v>73</v>
      </c>
      <c r="F14" s="59">
        <f t="shared" si="0"/>
        <v>147</v>
      </c>
      <c r="G14" s="60">
        <f t="shared" si="1"/>
        <v>0.96078431372549022</v>
      </c>
      <c r="H14" s="59" cm="1">
        <f t="array" ref="H14">+SUM('Real vs Q10'!J83:J86+'Real vs Q10'!U83:U86)</f>
        <v>63</v>
      </c>
      <c r="I14" s="59">
        <f>+Detallado!D93+Detallado!Z93</f>
        <v>74</v>
      </c>
      <c r="J14" s="59"/>
      <c r="K14" s="59">
        <f t="shared" si="2"/>
        <v>137</v>
      </c>
      <c r="L14" s="195">
        <f t="shared" si="3"/>
        <v>0.89542483660130723</v>
      </c>
      <c r="M14" s="59">
        <v>30</v>
      </c>
      <c r="N14" s="59">
        <v>6</v>
      </c>
      <c r="O14" s="59">
        <f>Detallado!R93+Detallado!AN93</f>
        <v>14</v>
      </c>
      <c r="P14" s="59">
        <v>42</v>
      </c>
      <c r="Q14" s="59">
        <v>58</v>
      </c>
      <c r="R14" s="59">
        <v>5</v>
      </c>
      <c r="S14" s="59">
        <v>100</v>
      </c>
      <c r="T14" s="59">
        <f>+VLOOKUP(A14,'Capacidad-Salones'!$B$2:$D$12,3,0)</f>
        <v>4</v>
      </c>
      <c r="U14" s="59">
        <f>+VLOOKUP(A14,'Capacidad-Salones'!$B$2:$J$12,9,0)</f>
        <v>4</v>
      </c>
      <c r="V14" s="59">
        <f>+VLOOKUP(A14,'Capacidad-Salones'!$B$2:$K$12,10,0)</f>
        <v>3</v>
      </c>
      <c r="W14" s="59">
        <f>+VLOOKUP(A14,'Capacidad-Salones'!$B$2:$L$12,11,0)</f>
        <v>0</v>
      </c>
      <c r="X14" s="59">
        <f>+VLOOKUP(A14,'Capacidad-Salones'!$B$2:$M$12,12,0)</f>
        <v>1</v>
      </c>
      <c r="Y14" s="59">
        <f t="shared" si="4"/>
        <v>73</v>
      </c>
      <c r="Z14" s="59">
        <v>61</v>
      </c>
      <c r="AA14" s="59">
        <v>52</v>
      </c>
      <c r="AB14" s="59">
        <v>113</v>
      </c>
      <c r="AC14" s="59">
        <f t="shared" si="5"/>
        <v>38.25</v>
      </c>
      <c r="AD14" s="195">
        <f t="shared" si="6"/>
        <v>0.73856209150326801</v>
      </c>
      <c r="AE14" s="59">
        <v>108</v>
      </c>
      <c r="AF14" s="195">
        <f t="shared" si="7"/>
        <v>0.95575221238938057</v>
      </c>
      <c r="AG14" s="59">
        <f t="shared" si="8"/>
        <v>5</v>
      </c>
      <c r="AH14" s="59">
        <v>14</v>
      </c>
      <c r="AI14" s="59">
        <f>+AH14</f>
        <v>14</v>
      </c>
    </row>
    <row r="15" spans="1:42" x14ac:dyDescent="0.25">
      <c r="A15" s="57" t="s">
        <v>141</v>
      </c>
      <c r="B15" s="57">
        <f>SUM(B3:B14)</f>
        <v>6146</v>
      </c>
      <c r="C15" s="57">
        <f>SUM(C3:C14)-C6-C11</f>
        <v>3644</v>
      </c>
      <c r="D15" s="57">
        <f>SUM(D3:D14)</f>
        <v>1326</v>
      </c>
      <c r="E15" s="57">
        <f>SUM(E3:E14)</f>
        <v>2812</v>
      </c>
      <c r="F15" s="57">
        <f>SUM(F3:F14)</f>
        <v>4138</v>
      </c>
      <c r="G15" s="64">
        <f>+F15/C15</f>
        <v>1.1355653128430296</v>
      </c>
      <c r="H15" s="57">
        <f>SUM(H3:H14)</f>
        <v>1982</v>
      </c>
      <c r="I15" s="57">
        <f>SUM(I3:I14)</f>
        <v>1326</v>
      </c>
      <c r="J15" s="57">
        <f>SUM(J3:J14)</f>
        <v>0</v>
      </c>
      <c r="K15" s="57">
        <f>SUM(K3:K14)</f>
        <v>3333</v>
      </c>
      <c r="L15" s="64">
        <f>+K15/C15</f>
        <v>0.91465422612513725</v>
      </c>
      <c r="M15" s="57">
        <f>SUM(M3:M14)</f>
        <v>382</v>
      </c>
      <c r="N15" s="57">
        <f>SUM(N3:N14)</f>
        <v>375</v>
      </c>
      <c r="O15" s="57">
        <f>SUM(O3:O14)</f>
        <v>1687</v>
      </c>
      <c r="P15" s="57">
        <f>+SUM(P3:P14)</f>
        <v>827</v>
      </c>
      <c r="Q15" s="57">
        <f>+SUM(Q3:Q14)</f>
        <v>1239</v>
      </c>
      <c r="R15" s="57">
        <f>SUM(R3:R14)</f>
        <v>146</v>
      </c>
      <c r="S15" s="57">
        <f>+SUM(S3:S14)</f>
        <v>2027</v>
      </c>
      <c r="T15" s="57">
        <f>SUM(T3:T14)</f>
        <v>98</v>
      </c>
      <c r="U15" s="57">
        <f t="shared" ref="U15:X15" si="11">SUM(U3:U14)</f>
        <v>90</v>
      </c>
      <c r="V15" s="57">
        <f t="shared" si="11"/>
        <v>72</v>
      </c>
      <c r="W15" s="57">
        <f t="shared" si="11"/>
        <v>8</v>
      </c>
      <c r="X15" s="57">
        <f t="shared" si="11"/>
        <v>26</v>
      </c>
      <c r="Y15" s="57">
        <f>+F15-I15</f>
        <v>2812</v>
      </c>
      <c r="Z15" s="57">
        <f>SUM(Z3:Z14)</f>
        <v>1190</v>
      </c>
      <c r="AA15" s="57">
        <f>+SUM(AA3:AA14)</f>
        <v>1781</v>
      </c>
      <c r="AB15" s="57">
        <f>SUM(AB3:AB14)</f>
        <v>3039</v>
      </c>
      <c r="AC15" s="57">
        <f t="shared" si="5"/>
        <v>911</v>
      </c>
      <c r="AD15" s="64">
        <f t="shared" si="6"/>
        <v>0.83397365532381995</v>
      </c>
      <c r="AE15" s="57">
        <f>SUM(AE3:AE14)</f>
        <v>2945</v>
      </c>
      <c r="AF15" s="64">
        <f t="shared" si="7"/>
        <v>0.96906877262257318</v>
      </c>
      <c r="AG15" s="57">
        <f t="shared" si="8"/>
        <v>94</v>
      </c>
      <c r="AH15" s="57">
        <f>SUM(AH3:AH14)</f>
        <v>355</v>
      </c>
      <c r="AI15" s="57">
        <f>SUM(AI3:AI14)</f>
        <v>255</v>
      </c>
    </row>
    <row r="16" spans="1:42" x14ac:dyDescent="0.25">
      <c r="F16" s="156">
        <f>+K15-AB15</f>
        <v>294</v>
      </c>
      <c r="G16" s="165"/>
      <c r="H16" s="156"/>
      <c r="I16" s="156">
        <f>+C15-I15</f>
        <v>2318</v>
      </c>
      <c r="J16" s="156"/>
      <c r="K16" s="156">
        <f>+K15-25</f>
        <v>3308</v>
      </c>
      <c r="L16" s="159"/>
      <c r="M16" s="165">
        <f>+I15+M15</f>
        <v>1708</v>
      </c>
      <c r="N16" s="165">
        <f>190+39</f>
        <v>229</v>
      </c>
      <c r="AB16">
        <f>+AB15/3644</f>
        <v>0.83397365532381995</v>
      </c>
    </row>
    <row r="17" spans="3:33" x14ac:dyDescent="0.25">
      <c r="H17" s="156"/>
      <c r="I17" s="156">
        <f>+I15+[1]Analis!$E$14</f>
        <v>1550</v>
      </c>
      <c r="J17" s="156"/>
      <c r="K17" s="156"/>
      <c r="L17" s="156"/>
      <c r="M17" s="156">
        <f>+M16+(N16*50%)</f>
        <v>1822.5</v>
      </c>
      <c r="N17" s="164">
        <f>+N16/N15</f>
        <v>0.61066666666666669</v>
      </c>
      <c r="Z17" s="156">
        <f>1385-Z15</f>
        <v>195</v>
      </c>
      <c r="AB17" s="156">
        <f>+ROUNDUP(AB15/256,0)</f>
        <v>12</v>
      </c>
      <c r="AE17" s="156">
        <f>+AB15-AE15</f>
        <v>94</v>
      </c>
      <c r="AF17" s="156"/>
      <c r="AG17" s="156"/>
    </row>
    <row r="18" spans="3:33" x14ac:dyDescent="0.25">
      <c r="C18" s="156"/>
      <c r="E18" s="156"/>
      <c r="F18" s="156"/>
      <c r="H18" s="156"/>
      <c r="I18" s="156"/>
      <c r="J18" s="156"/>
      <c r="K18" s="156"/>
      <c r="M18" s="156">
        <f>+C15-M17</f>
        <v>1821.5</v>
      </c>
      <c r="N18" s="156"/>
      <c r="X18">
        <f>302+360+636+624</f>
        <v>1922</v>
      </c>
      <c r="Z18" s="156">
        <f>+Z17-42</f>
        <v>153</v>
      </c>
      <c r="AB18" s="156">
        <f>3644-AB15</f>
        <v>605</v>
      </c>
      <c r="AE18">
        <v>364</v>
      </c>
    </row>
    <row r="19" spans="3:33" x14ac:dyDescent="0.25">
      <c r="E19" s="156"/>
      <c r="H19" s="156"/>
      <c r="I19" s="156">
        <f>+F4-AB4</f>
        <v>103</v>
      </c>
      <c r="J19" s="156"/>
      <c r="K19" s="156"/>
      <c r="V19" s="156">
        <f>171/35</f>
        <v>4.8857142857142861</v>
      </c>
      <c r="Y19">
        <f>1+0.5+0.5+0.5+1+0.5+0.5+0.5+1+0.5</f>
        <v>6.5</v>
      </c>
      <c r="AE19" s="156"/>
    </row>
    <row r="20" spans="3:33" x14ac:dyDescent="0.25">
      <c r="I20" s="156"/>
      <c r="J20" s="156"/>
      <c r="K20" s="156"/>
      <c r="V20" s="156">
        <f>+V19*2</f>
        <v>9.7714285714285722</v>
      </c>
      <c r="W20">
        <f>+V20*20</f>
        <v>195.42857142857144</v>
      </c>
      <c r="AB20" s="156"/>
    </row>
    <row r="21" spans="3:33" ht="15" customHeight="1" x14ac:dyDescent="0.25">
      <c r="AA21">
        <f>1693+515</f>
        <v>2208</v>
      </c>
    </row>
    <row r="22" spans="3:33" ht="15" customHeight="1" x14ac:dyDescent="0.25">
      <c r="AB22" s="156"/>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4ED6E-8112-4501-80E8-773363E8A662}">
  <dimension ref="A1:AB111"/>
  <sheetViews>
    <sheetView tabSelected="1" workbookViewId="0">
      <pane xSplit="3" ySplit="4" topLeftCell="F95" activePane="bottomRight" state="frozen"/>
      <selection pane="topRight"/>
      <selection pane="bottomLeft"/>
      <selection pane="bottomRight" activeCell="P111" sqref="P111"/>
    </sheetView>
  </sheetViews>
  <sheetFormatPr baseColWidth="10" defaultColWidth="8.7109375" defaultRowHeight="15" customHeight="1" x14ac:dyDescent="0.25"/>
  <cols>
    <col min="2" max="2" width="18" customWidth="1"/>
    <col min="3" max="3" width="12" customWidth="1"/>
    <col min="4" max="4" width="10" customWidth="1"/>
    <col min="5" max="5" width="9.140625" customWidth="1"/>
    <col min="6" max="6" width="10" customWidth="1"/>
    <col min="7" max="7" width="12.140625" customWidth="1"/>
    <col min="8" max="13" width="9.140625" customWidth="1"/>
    <col min="14" max="14" width="14.140625" customWidth="1"/>
    <col min="15" max="16" width="9.140625" customWidth="1"/>
    <col min="17" max="17" width="8.7109375" customWidth="1"/>
    <col min="18" max="18" width="11.5703125" customWidth="1"/>
    <col min="19" max="24" width="8.7109375" customWidth="1"/>
    <col min="25" max="25" width="13.42578125" customWidth="1"/>
    <col min="26" max="26" width="9" customWidth="1"/>
    <col min="27" max="28" width="8.7109375" customWidth="1"/>
  </cols>
  <sheetData>
    <row r="1" spans="1:28" x14ac:dyDescent="0.25">
      <c r="A1" s="84" t="s">
        <v>142</v>
      </c>
      <c r="B1" s="84"/>
      <c r="C1" s="84"/>
      <c r="D1" s="84"/>
      <c r="E1" s="84"/>
      <c r="F1" s="84"/>
      <c r="G1" s="84"/>
      <c r="H1" s="84"/>
      <c r="I1" s="84"/>
      <c r="J1" s="84"/>
      <c r="K1" s="84"/>
      <c r="L1" s="84"/>
      <c r="M1" s="84"/>
      <c r="N1" s="84"/>
      <c r="O1" s="84"/>
      <c r="P1" s="84"/>
      <c r="Q1" s="84"/>
      <c r="R1" s="84"/>
      <c r="S1" s="84"/>
      <c r="T1" s="85" t="s">
        <v>143</v>
      </c>
      <c r="U1" s="85"/>
      <c r="V1" s="85"/>
      <c r="W1" s="84"/>
      <c r="X1" s="84"/>
      <c r="Y1" s="84"/>
      <c r="Z1" s="84"/>
      <c r="AA1" s="84"/>
    </row>
    <row r="2" spans="1:28" x14ac:dyDescent="0.25">
      <c r="A2" s="84"/>
      <c r="B2" s="84"/>
      <c r="C2" s="84"/>
      <c r="D2" s="84"/>
      <c r="E2" s="84"/>
      <c r="F2" s="84"/>
      <c r="G2" s="84"/>
      <c r="H2" s="84"/>
      <c r="I2" s="84"/>
      <c r="J2" s="84"/>
      <c r="K2" s="84"/>
      <c r="L2" s="84"/>
      <c r="M2" s="84"/>
      <c r="N2" s="84"/>
      <c r="O2" s="84"/>
      <c r="P2" s="84"/>
      <c r="Q2" s="84"/>
      <c r="R2" s="84"/>
      <c r="S2" s="84"/>
      <c r="T2" s="85" t="s">
        <v>143</v>
      </c>
      <c r="U2" s="85"/>
      <c r="V2" s="85"/>
      <c r="W2" s="84"/>
      <c r="X2" s="84"/>
      <c r="Y2" s="84"/>
      <c r="Z2" s="84"/>
      <c r="AA2" s="84"/>
    </row>
    <row r="3" spans="1:28" x14ac:dyDescent="0.25">
      <c r="A3" s="84"/>
      <c r="B3" s="84"/>
      <c r="C3" s="84"/>
      <c r="D3" s="234" t="s">
        <v>74</v>
      </c>
      <c r="E3" s="235"/>
      <c r="F3" s="235"/>
      <c r="G3" s="235"/>
      <c r="H3" s="235"/>
      <c r="I3" s="235"/>
      <c r="J3" s="235"/>
      <c r="K3" s="235"/>
      <c r="L3" s="235"/>
      <c r="M3" s="235"/>
      <c r="N3" s="236"/>
      <c r="O3" s="237" t="s">
        <v>144</v>
      </c>
      <c r="P3" s="237"/>
      <c r="Q3" s="237"/>
      <c r="R3" s="237"/>
      <c r="S3" s="237"/>
      <c r="T3" s="237"/>
      <c r="U3" s="237"/>
      <c r="V3" s="237"/>
      <c r="W3" s="237"/>
      <c r="X3" s="237"/>
      <c r="Y3" s="238"/>
      <c r="Z3" s="84"/>
      <c r="AA3" s="84"/>
    </row>
    <row r="4" spans="1:28" ht="57" customHeight="1" x14ac:dyDescent="0.25">
      <c r="A4" s="84"/>
      <c r="B4" s="86" t="s">
        <v>1</v>
      </c>
      <c r="C4" s="87" t="s">
        <v>2</v>
      </c>
      <c r="D4" s="88" t="s">
        <v>145</v>
      </c>
      <c r="E4" s="89" t="s">
        <v>146</v>
      </c>
      <c r="F4" s="90" t="s">
        <v>147</v>
      </c>
      <c r="G4" s="90" t="s">
        <v>4</v>
      </c>
      <c r="H4" s="90" t="s">
        <v>148</v>
      </c>
      <c r="I4" s="90" t="s">
        <v>149</v>
      </c>
      <c r="J4" s="90" t="s">
        <v>105</v>
      </c>
      <c r="K4" s="90" t="s">
        <v>150</v>
      </c>
      <c r="L4" s="90" t="s">
        <v>151</v>
      </c>
      <c r="M4" s="90" t="s">
        <v>152</v>
      </c>
      <c r="N4" s="91" t="s">
        <v>153</v>
      </c>
      <c r="O4" s="88" t="s">
        <v>154</v>
      </c>
      <c r="P4" s="89" t="s">
        <v>146</v>
      </c>
      <c r="Q4" s="92" t="s">
        <v>155</v>
      </c>
      <c r="R4" s="92" t="s">
        <v>4</v>
      </c>
      <c r="S4" s="92" t="s">
        <v>156</v>
      </c>
      <c r="T4" s="92" t="s">
        <v>149</v>
      </c>
      <c r="U4" s="92" t="s">
        <v>105</v>
      </c>
      <c r="V4" s="92" t="s">
        <v>150</v>
      </c>
      <c r="W4" s="92" t="s">
        <v>151</v>
      </c>
      <c r="X4" s="92" t="s">
        <v>152</v>
      </c>
      <c r="Y4" s="91" t="s">
        <v>153</v>
      </c>
      <c r="Z4" s="84"/>
      <c r="AA4" s="84"/>
    </row>
    <row r="5" spans="1:28" x14ac:dyDescent="0.25">
      <c r="A5" s="84"/>
      <c r="B5" s="239" t="s">
        <v>132</v>
      </c>
      <c r="C5" s="93" t="s">
        <v>38</v>
      </c>
      <c r="D5" s="94">
        <v>42</v>
      </c>
      <c r="E5" s="95">
        <f>+'Real vs Q10'!H5</f>
        <v>34</v>
      </c>
      <c r="F5" s="95">
        <v>50</v>
      </c>
      <c r="G5" s="95">
        <v>9</v>
      </c>
      <c r="H5" s="95">
        <v>34</v>
      </c>
      <c r="I5" s="95">
        <f>+G5+H5</f>
        <v>43</v>
      </c>
      <c r="J5" s="95">
        <v>18</v>
      </c>
      <c r="K5" s="95">
        <f>+G5+J5</f>
        <v>27</v>
      </c>
      <c r="L5" s="95">
        <v>5</v>
      </c>
      <c r="M5" s="95">
        <f>+F5-I5</f>
        <v>7</v>
      </c>
      <c r="N5" s="96">
        <f>+IFERROR(D5-E5-H5,0)</f>
        <v>-26</v>
      </c>
      <c r="O5" s="94">
        <v>30</v>
      </c>
      <c r="P5" s="95">
        <v>3</v>
      </c>
      <c r="Q5" s="95">
        <v>35</v>
      </c>
      <c r="R5" s="95">
        <v>2</v>
      </c>
      <c r="S5" s="95">
        <v>29</v>
      </c>
      <c r="T5" s="95">
        <f>+R5+S5</f>
        <v>31</v>
      </c>
      <c r="U5" s="95">
        <v>8</v>
      </c>
      <c r="V5" s="95">
        <f>+R5+U5</f>
        <v>10</v>
      </c>
      <c r="W5" s="95">
        <v>1</v>
      </c>
      <c r="X5" s="95">
        <f t="shared" ref="X5:X36" si="0">+Q5-T5</f>
        <v>4</v>
      </c>
      <c r="Y5" s="96">
        <f t="shared" ref="Y5:Y36" si="1">+IFERROR(O5-P5-S5,0)</f>
        <v>-2</v>
      </c>
      <c r="Z5" s="84"/>
      <c r="AA5" s="84"/>
    </row>
    <row r="6" spans="1:28" x14ac:dyDescent="0.25">
      <c r="A6" s="84"/>
      <c r="B6" s="240"/>
      <c r="C6" s="97" t="s">
        <v>39</v>
      </c>
      <c r="D6" s="98">
        <v>5</v>
      </c>
      <c r="E6" s="99"/>
      <c r="F6" s="99">
        <v>10</v>
      </c>
      <c r="G6" s="99">
        <v>0</v>
      </c>
      <c r="H6" s="99">
        <v>9</v>
      </c>
      <c r="I6" s="99">
        <f t="shared" ref="I6:I71" si="2">+G6+H6</f>
        <v>9</v>
      </c>
      <c r="J6" s="99">
        <v>2</v>
      </c>
      <c r="K6" s="99">
        <f t="shared" ref="K6:K69" si="3">+G6+J6</f>
        <v>2</v>
      </c>
      <c r="L6" s="99">
        <v>4</v>
      </c>
      <c r="M6" s="99">
        <f t="shared" ref="M6:M69" si="4">+F6-I6</f>
        <v>1</v>
      </c>
      <c r="N6" s="100">
        <f t="shared" ref="N6:N69" si="5">+IFERROR(D6-E6-H6,0)</f>
        <v>-4</v>
      </c>
      <c r="O6" s="98">
        <v>4</v>
      </c>
      <c r="P6" s="99">
        <v>0</v>
      </c>
      <c r="Q6" s="99">
        <v>4</v>
      </c>
      <c r="R6" s="99">
        <v>0</v>
      </c>
      <c r="S6" s="99">
        <v>7</v>
      </c>
      <c r="T6" s="99">
        <f t="shared" ref="T6:T71" si="6">+R6+S6</f>
        <v>7</v>
      </c>
      <c r="U6" s="99">
        <v>2</v>
      </c>
      <c r="V6" s="99">
        <f t="shared" ref="V6:V69" si="7">+R6+U6</f>
        <v>2</v>
      </c>
      <c r="W6" s="99">
        <v>0</v>
      </c>
      <c r="X6" s="99">
        <f t="shared" si="0"/>
        <v>-3</v>
      </c>
      <c r="Y6" s="100">
        <f t="shared" si="1"/>
        <v>-3</v>
      </c>
      <c r="Z6" s="84"/>
      <c r="AA6" s="305"/>
      <c r="AB6" s="306"/>
    </row>
    <row r="7" spans="1:28" x14ac:dyDescent="0.25">
      <c r="A7" s="84"/>
      <c r="B7" s="240"/>
      <c r="C7" s="97" t="s">
        <v>40</v>
      </c>
      <c r="D7" s="98">
        <v>27</v>
      </c>
      <c r="E7" s="99">
        <v>19</v>
      </c>
      <c r="F7" s="99">
        <v>31</v>
      </c>
      <c r="G7" s="99">
        <v>17</v>
      </c>
      <c r="H7" s="99">
        <v>8</v>
      </c>
      <c r="I7" s="99">
        <f>+G7+H7</f>
        <v>25</v>
      </c>
      <c r="J7" s="99">
        <v>6</v>
      </c>
      <c r="K7" s="99">
        <f t="shared" si="3"/>
        <v>23</v>
      </c>
      <c r="L7" s="99">
        <v>10</v>
      </c>
      <c r="M7" s="99">
        <f t="shared" si="4"/>
        <v>6</v>
      </c>
      <c r="N7" s="100">
        <f t="shared" si="5"/>
        <v>0</v>
      </c>
      <c r="O7" s="98">
        <v>19</v>
      </c>
      <c r="P7" s="99">
        <v>13</v>
      </c>
      <c r="Q7" s="99">
        <v>18</v>
      </c>
      <c r="R7" s="99">
        <v>12</v>
      </c>
      <c r="S7" s="99">
        <v>16</v>
      </c>
      <c r="T7" s="99">
        <f t="shared" si="6"/>
        <v>28</v>
      </c>
      <c r="U7" s="99">
        <v>3</v>
      </c>
      <c r="V7" s="99">
        <f t="shared" si="7"/>
        <v>15</v>
      </c>
      <c r="W7" s="99">
        <v>3</v>
      </c>
      <c r="X7" s="99">
        <f t="shared" si="0"/>
        <v>-10</v>
      </c>
      <c r="Y7" s="100">
        <f t="shared" si="1"/>
        <v>-10</v>
      </c>
      <c r="Z7" s="84"/>
      <c r="AA7" s="305"/>
      <c r="AB7" s="306"/>
    </row>
    <row r="8" spans="1:28" x14ac:dyDescent="0.25">
      <c r="A8" s="84"/>
      <c r="B8" s="240"/>
      <c r="C8" s="97" t="s">
        <v>41</v>
      </c>
      <c r="D8" s="98">
        <v>29</v>
      </c>
      <c r="E8" s="99">
        <v>24</v>
      </c>
      <c r="F8" s="99">
        <v>32</v>
      </c>
      <c r="G8" s="99">
        <v>24</v>
      </c>
      <c r="H8" s="99">
        <v>3</v>
      </c>
      <c r="I8" s="99">
        <f t="shared" si="2"/>
        <v>27</v>
      </c>
      <c r="J8" s="99">
        <v>1</v>
      </c>
      <c r="K8" s="99">
        <f t="shared" si="3"/>
        <v>25</v>
      </c>
      <c r="L8" s="99">
        <v>46</v>
      </c>
      <c r="M8" s="99">
        <f t="shared" si="4"/>
        <v>5</v>
      </c>
      <c r="N8" s="100">
        <f t="shared" si="5"/>
        <v>2</v>
      </c>
      <c r="O8" s="98">
        <v>22</v>
      </c>
      <c r="P8" s="99">
        <v>17</v>
      </c>
      <c r="Q8" s="99">
        <v>20</v>
      </c>
      <c r="R8" s="99">
        <v>16</v>
      </c>
      <c r="S8" s="99">
        <v>5</v>
      </c>
      <c r="T8" s="99">
        <f>+R8+S8</f>
        <v>21</v>
      </c>
      <c r="U8" s="99">
        <v>3</v>
      </c>
      <c r="V8" s="99">
        <f t="shared" si="7"/>
        <v>19</v>
      </c>
      <c r="W8" s="99">
        <v>9</v>
      </c>
      <c r="X8" s="99">
        <f t="shared" si="0"/>
        <v>-1</v>
      </c>
      <c r="Y8" s="100">
        <f t="shared" si="1"/>
        <v>0</v>
      </c>
      <c r="Z8" s="84"/>
      <c r="AA8" s="305"/>
      <c r="AB8" s="306"/>
    </row>
    <row r="9" spans="1:28" x14ac:dyDescent="0.25">
      <c r="A9" s="84"/>
      <c r="B9" s="241"/>
      <c r="C9" s="101" t="s">
        <v>42</v>
      </c>
      <c r="D9" s="102">
        <v>0</v>
      </c>
      <c r="E9" s="103">
        <v>0</v>
      </c>
      <c r="F9" s="103"/>
      <c r="G9" s="103">
        <v>0</v>
      </c>
      <c r="H9" s="103">
        <v>0</v>
      </c>
      <c r="I9" s="103">
        <f t="shared" si="2"/>
        <v>0</v>
      </c>
      <c r="J9" s="103">
        <v>0</v>
      </c>
      <c r="K9" s="103">
        <f t="shared" si="3"/>
        <v>0</v>
      </c>
      <c r="L9" s="103">
        <v>0</v>
      </c>
      <c r="M9" s="103">
        <f t="shared" si="4"/>
        <v>0</v>
      </c>
      <c r="N9" s="104">
        <f t="shared" si="5"/>
        <v>0</v>
      </c>
      <c r="O9" s="102">
        <v>0</v>
      </c>
      <c r="P9" s="103">
        <v>0</v>
      </c>
      <c r="Q9" s="103">
        <v>0</v>
      </c>
      <c r="R9" s="103">
        <v>0</v>
      </c>
      <c r="S9" s="103">
        <v>0</v>
      </c>
      <c r="T9" s="103">
        <v>0</v>
      </c>
      <c r="U9" s="103">
        <v>0</v>
      </c>
      <c r="V9" s="103">
        <f t="shared" si="7"/>
        <v>0</v>
      </c>
      <c r="W9" s="103">
        <v>0</v>
      </c>
      <c r="X9" s="103">
        <f t="shared" si="0"/>
        <v>0</v>
      </c>
      <c r="Y9" s="104">
        <f t="shared" si="1"/>
        <v>0</v>
      </c>
      <c r="Z9" s="84"/>
      <c r="AA9" s="84"/>
    </row>
    <row r="10" spans="1:28" x14ac:dyDescent="0.25">
      <c r="A10" s="84"/>
      <c r="B10" s="239" t="s">
        <v>133</v>
      </c>
      <c r="C10" s="93" t="s">
        <v>40</v>
      </c>
      <c r="D10" s="94">
        <v>52</v>
      </c>
      <c r="E10" s="95">
        <v>0</v>
      </c>
      <c r="F10" s="95">
        <v>50</v>
      </c>
      <c r="G10" s="95">
        <v>0</v>
      </c>
      <c r="H10" s="95">
        <v>48</v>
      </c>
      <c r="I10" s="95">
        <f t="shared" si="2"/>
        <v>48</v>
      </c>
      <c r="J10" s="95">
        <v>27</v>
      </c>
      <c r="K10" s="95">
        <f t="shared" si="3"/>
        <v>27</v>
      </c>
      <c r="L10" s="95">
        <v>20</v>
      </c>
      <c r="M10" s="95">
        <f t="shared" si="4"/>
        <v>2</v>
      </c>
      <c r="N10" s="96">
        <f t="shared" si="5"/>
        <v>4</v>
      </c>
      <c r="O10" s="94">
        <v>25</v>
      </c>
      <c r="P10" s="95">
        <v>0</v>
      </c>
      <c r="Q10" s="95">
        <v>25</v>
      </c>
      <c r="R10" s="95">
        <v>0</v>
      </c>
      <c r="S10" s="95">
        <v>14</v>
      </c>
      <c r="T10" s="95">
        <f t="shared" si="6"/>
        <v>14</v>
      </c>
      <c r="U10" s="95">
        <v>9</v>
      </c>
      <c r="V10" s="95">
        <f t="shared" si="7"/>
        <v>9</v>
      </c>
      <c r="W10" s="95">
        <v>1</v>
      </c>
      <c r="X10" s="95">
        <f t="shared" si="0"/>
        <v>11</v>
      </c>
      <c r="Y10" s="96">
        <f t="shared" si="1"/>
        <v>11</v>
      </c>
      <c r="Z10" s="84"/>
      <c r="AA10" s="304"/>
    </row>
    <row r="11" spans="1:28" x14ac:dyDescent="0.25">
      <c r="A11" s="84"/>
      <c r="B11" s="240"/>
      <c r="C11" s="97" t="s">
        <v>41</v>
      </c>
      <c r="D11" s="98">
        <v>60</v>
      </c>
      <c r="E11" s="99">
        <v>14</v>
      </c>
      <c r="F11" s="99">
        <v>60</v>
      </c>
      <c r="G11" s="99">
        <v>13</v>
      </c>
      <c r="H11" s="99">
        <v>45</v>
      </c>
      <c r="I11" s="99">
        <f t="shared" si="2"/>
        <v>58</v>
      </c>
      <c r="J11" s="99">
        <v>25</v>
      </c>
      <c r="K11" s="99">
        <f t="shared" si="3"/>
        <v>38</v>
      </c>
      <c r="L11" s="99">
        <v>11</v>
      </c>
      <c r="M11" s="99">
        <f t="shared" si="4"/>
        <v>2</v>
      </c>
      <c r="N11" s="100">
        <f t="shared" si="5"/>
        <v>1</v>
      </c>
      <c r="O11" s="98">
        <v>29</v>
      </c>
      <c r="P11" s="99">
        <v>0</v>
      </c>
      <c r="Q11" s="99">
        <v>30</v>
      </c>
      <c r="R11" s="99">
        <v>1</v>
      </c>
      <c r="S11" s="99">
        <v>26</v>
      </c>
      <c r="T11" s="99">
        <f t="shared" si="6"/>
        <v>27</v>
      </c>
      <c r="U11" s="99">
        <v>17</v>
      </c>
      <c r="V11" s="99">
        <f t="shared" si="7"/>
        <v>18</v>
      </c>
      <c r="W11" s="99">
        <v>0</v>
      </c>
      <c r="X11" s="99">
        <f t="shared" si="0"/>
        <v>3</v>
      </c>
      <c r="Y11" s="100">
        <f t="shared" si="1"/>
        <v>3</v>
      </c>
      <c r="Z11" s="84"/>
      <c r="AA11" s="304"/>
    </row>
    <row r="12" spans="1:28" x14ac:dyDescent="0.25">
      <c r="A12" s="84"/>
      <c r="B12" s="240"/>
      <c r="C12" s="97" t="s">
        <v>46</v>
      </c>
      <c r="D12" s="98">
        <v>0</v>
      </c>
      <c r="E12" s="99">
        <v>0</v>
      </c>
      <c r="F12" s="99">
        <v>0</v>
      </c>
      <c r="G12" s="99">
        <v>0</v>
      </c>
      <c r="H12" s="99">
        <v>0</v>
      </c>
      <c r="I12" s="99">
        <f t="shared" si="2"/>
        <v>0</v>
      </c>
      <c r="J12" s="99">
        <v>0</v>
      </c>
      <c r="K12" s="99">
        <f t="shared" si="3"/>
        <v>0</v>
      </c>
      <c r="L12" s="99">
        <v>0</v>
      </c>
      <c r="M12" s="99">
        <f t="shared" si="4"/>
        <v>0</v>
      </c>
      <c r="N12" s="100">
        <f t="shared" si="5"/>
        <v>0</v>
      </c>
      <c r="O12" s="98">
        <v>34</v>
      </c>
      <c r="P12" s="99">
        <v>0</v>
      </c>
      <c r="Q12" s="99">
        <v>35</v>
      </c>
      <c r="R12" s="99">
        <v>1</v>
      </c>
      <c r="S12" s="99">
        <v>33</v>
      </c>
      <c r="T12" s="99">
        <f t="shared" si="6"/>
        <v>34</v>
      </c>
      <c r="U12" s="99">
        <v>27</v>
      </c>
      <c r="V12" s="99">
        <f t="shared" si="7"/>
        <v>28</v>
      </c>
      <c r="W12" s="99">
        <v>14</v>
      </c>
      <c r="X12" s="99">
        <f t="shared" si="0"/>
        <v>1</v>
      </c>
      <c r="Y12" s="100">
        <f t="shared" si="1"/>
        <v>1</v>
      </c>
      <c r="Z12" s="84"/>
      <c r="AA12" s="84"/>
    </row>
    <row r="13" spans="1:28" x14ac:dyDescent="0.25">
      <c r="A13" s="84"/>
      <c r="B13" s="240"/>
      <c r="C13" s="97" t="s">
        <v>47</v>
      </c>
      <c r="D13" s="98">
        <v>0</v>
      </c>
      <c r="E13" s="99">
        <v>0</v>
      </c>
      <c r="F13" s="99">
        <v>0</v>
      </c>
      <c r="G13" s="99">
        <v>0</v>
      </c>
      <c r="H13" s="99">
        <v>0</v>
      </c>
      <c r="I13" s="99">
        <f t="shared" si="2"/>
        <v>0</v>
      </c>
      <c r="J13" s="99">
        <v>0</v>
      </c>
      <c r="K13" s="99">
        <f t="shared" si="3"/>
        <v>0</v>
      </c>
      <c r="L13" s="99">
        <v>0</v>
      </c>
      <c r="M13" s="99">
        <f t="shared" si="4"/>
        <v>0</v>
      </c>
      <c r="N13" s="100">
        <f t="shared" si="5"/>
        <v>0</v>
      </c>
      <c r="O13" s="98">
        <v>34</v>
      </c>
      <c r="P13" s="99">
        <v>0</v>
      </c>
      <c r="Q13" s="99">
        <v>35</v>
      </c>
      <c r="R13" s="99">
        <v>1</v>
      </c>
      <c r="S13" s="99">
        <v>29</v>
      </c>
      <c r="T13" s="99">
        <f t="shared" si="6"/>
        <v>30</v>
      </c>
      <c r="U13" s="99">
        <v>19</v>
      </c>
      <c r="V13" s="99">
        <f t="shared" si="7"/>
        <v>20</v>
      </c>
      <c r="W13" s="99">
        <v>7</v>
      </c>
      <c r="X13" s="99">
        <f t="shared" si="0"/>
        <v>5</v>
      </c>
      <c r="Y13" s="100">
        <f t="shared" si="1"/>
        <v>5</v>
      </c>
      <c r="Z13" s="84"/>
      <c r="AA13" s="84"/>
    </row>
    <row r="14" spans="1:28" x14ac:dyDescent="0.25">
      <c r="A14" s="84"/>
      <c r="B14" s="241"/>
      <c r="C14" s="101" t="s">
        <v>45</v>
      </c>
      <c r="D14" s="102">
        <v>37</v>
      </c>
      <c r="E14" s="103">
        <v>17</v>
      </c>
      <c r="F14" s="103">
        <v>35</v>
      </c>
      <c r="G14" s="103">
        <v>16</v>
      </c>
      <c r="H14" s="103">
        <v>21</v>
      </c>
      <c r="I14" s="99">
        <f t="shared" si="2"/>
        <v>37</v>
      </c>
      <c r="J14" s="103">
        <v>18</v>
      </c>
      <c r="K14" s="103">
        <f t="shared" si="3"/>
        <v>34</v>
      </c>
      <c r="L14" s="103">
        <v>39</v>
      </c>
      <c r="M14" s="103">
        <f t="shared" si="4"/>
        <v>-2</v>
      </c>
      <c r="N14" s="104">
        <f t="shared" si="5"/>
        <v>-1</v>
      </c>
      <c r="O14" s="102">
        <v>35</v>
      </c>
      <c r="P14" s="103">
        <v>0</v>
      </c>
      <c r="Q14" s="103">
        <v>35</v>
      </c>
      <c r="R14" s="103">
        <v>0</v>
      </c>
      <c r="S14" s="103">
        <v>29</v>
      </c>
      <c r="T14" s="103">
        <f>+R14+S14</f>
        <v>29</v>
      </c>
      <c r="U14" s="103">
        <v>19</v>
      </c>
      <c r="V14" s="103">
        <f t="shared" si="7"/>
        <v>19</v>
      </c>
      <c r="W14" s="103">
        <v>4</v>
      </c>
      <c r="X14" s="103">
        <f t="shared" si="0"/>
        <v>6</v>
      </c>
      <c r="Y14" s="104">
        <f t="shared" si="1"/>
        <v>6</v>
      </c>
      <c r="Z14" s="84"/>
      <c r="AA14" s="84"/>
    </row>
    <row r="15" spans="1:28" x14ac:dyDescent="0.25">
      <c r="A15" s="84"/>
      <c r="B15" s="239" t="s">
        <v>134</v>
      </c>
      <c r="C15" s="93" t="s">
        <v>38</v>
      </c>
      <c r="D15" s="94">
        <v>50</v>
      </c>
      <c r="E15" s="95">
        <v>0</v>
      </c>
      <c r="F15" s="95">
        <v>50</v>
      </c>
      <c r="G15" s="95">
        <v>0</v>
      </c>
      <c r="H15" s="95">
        <v>18</v>
      </c>
      <c r="I15" s="95">
        <f t="shared" si="2"/>
        <v>18</v>
      </c>
      <c r="J15" s="95">
        <v>15</v>
      </c>
      <c r="K15" s="95">
        <f t="shared" si="3"/>
        <v>15</v>
      </c>
      <c r="L15" s="95">
        <v>0</v>
      </c>
      <c r="M15" s="95">
        <f t="shared" si="4"/>
        <v>32</v>
      </c>
      <c r="N15" s="96">
        <f t="shared" si="5"/>
        <v>32</v>
      </c>
      <c r="O15" s="94">
        <v>24</v>
      </c>
      <c r="P15" s="95">
        <v>0</v>
      </c>
      <c r="Q15" s="95">
        <v>25</v>
      </c>
      <c r="R15" s="95">
        <v>1</v>
      </c>
      <c r="S15" s="95">
        <v>6</v>
      </c>
      <c r="T15" s="95">
        <f t="shared" si="6"/>
        <v>7</v>
      </c>
      <c r="U15" s="95">
        <v>0</v>
      </c>
      <c r="V15" s="95">
        <f t="shared" si="7"/>
        <v>1</v>
      </c>
      <c r="W15" s="95">
        <v>0</v>
      </c>
      <c r="X15" s="95">
        <f t="shared" si="0"/>
        <v>18</v>
      </c>
      <c r="Y15" s="96">
        <f t="shared" si="1"/>
        <v>18</v>
      </c>
      <c r="Z15" s="84"/>
      <c r="AA15" s="84"/>
    </row>
    <row r="16" spans="1:28" x14ac:dyDescent="0.25">
      <c r="A16" s="84"/>
      <c r="B16" s="240"/>
      <c r="C16" s="97" t="s">
        <v>40</v>
      </c>
      <c r="D16" s="98">
        <v>31</v>
      </c>
      <c r="E16" s="99">
        <v>7</v>
      </c>
      <c r="F16" s="99">
        <v>30</v>
      </c>
      <c r="G16" s="99">
        <v>6</v>
      </c>
      <c r="H16" s="99">
        <v>24</v>
      </c>
      <c r="I16" s="99">
        <f t="shared" si="2"/>
        <v>30</v>
      </c>
      <c r="J16" s="99">
        <v>19</v>
      </c>
      <c r="K16" s="99">
        <f t="shared" si="3"/>
        <v>25</v>
      </c>
      <c r="L16" s="99">
        <v>5</v>
      </c>
      <c r="M16" s="99">
        <f t="shared" si="4"/>
        <v>0</v>
      </c>
      <c r="N16" s="100">
        <f t="shared" si="5"/>
        <v>0</v>
      </c>
      <c r="O16" s="98">
        <v>26</v>
      </c>
      <c r="P16" s="99">
        <v>0</v>
      </c>
      <c r="Q16" s="99">
        <v>30</v>
      </c>
      <c r="R16" s="99">
        <v>3</v>
      </c>
      <c r="S16" s="99">
        <v>15</v>
      </c>
      <c r="T16" s="99">
        <f t="shared" si="6"/>
        <v>18</v>
      </c>
      <c r="U16" s="99">
        <v>15</v>
      </c>
      <c r="V16" s="99">
        <f t="shared" si="7"/>
        <v>18</v>
      </c>
      <c r="W16" s="99">
        <v>1</v>
      </c>
      <c r="X16" s="99">
        <f t="shared" si="0"/>
        <v>12</v>
      </c>
      <c r="Y16" s="100">
        <f t="shared" si="1"/>
        <v>11</v>
      </c>
      <c r="Z16" s="84"/>
      <c r="AA16" s="84"/>
    </row>
    <row r="17" spans="1:27" x14ac:dyDescent="0.25">
      <c r="A17" s="84"/>
      <c r="B17" s="241"/>
      <c r="C17" s="101" t="s">
        <v>41</v>
      </c>
      <c r="D17" s="102">
        <v>29</v>
      </c>
      <c r="E17" s="103">
        <v>16</v>
      </c>
      <c r="F17" s="103">
        <v>28</v>
      </c>
      <c r="G17" s="103">
        <v>15</v>
      </c>
      <c r="H17" s="103">
        <v>13</v>
      </c>
      <c r="I17" s="103">
        <f t="shared" si="2"/>
        <v>28</v>
      </c>
      <c r="J17" s="103">
        <v>12</v>
      </c>
      <c r="K17" s="103">
        <f t="shared" si="3"/>
        <v>27</v>
      </c>
      <c r="L17" s="103">
        <v>9</v>
      </c>
      <c r="M17" s="103">
        <f t="shared" si="4"/>
        <v>0</v>
      </c>
      <c r="N17" s="104">
        <f t="shared" si="5"/>
        <v>0</v>
      </c>
      <c r="O17" s="102">
        <v>33</v>
      </c>
      <c r="P17" s="103">
        <v>13</v>
      </c>
      <c r="Q17" s="103">
        <v>30</v>
      </c>
      <c r="R17" s="103">
        <v>10</v>
      </c>
      <c r="S17" s="152">
        <v>19</v>
      </c>
      <c r="T17" s="103">
        <f t="shared" si="6"/>
        <v>29</v>
      </c>
      <c r="U17" s="103">
        <v>18</v>
      </c>
      <c r="V17" s="103">
        <f t="shared" si="7"/>
        <v>28</v>
      </c>
      <c r="W17" s="103">
        <v>1</v>
      </c>
      <c r="X17" s="103">
        <f t="shared" si="0"/>
        <v>1</v>
      </c>
      <c r="Y17" s="104">
        <f t="shared" si="1"/>
        <v>1</v>
      </c>
      <c r="Z17" s="84"/>
      <c r="AA17" s="84"/>
    </row>
    <row r="18" spans="1:27" x14ac:dyDescent="0.25">
      <c r="A18" s="84"/>
      <c r="B18" s="231" t="s">
        <v>135</v>
      </c>
      <c r="C18" s="105" t="s">
        <v>40</v>
      </c>
      <c r="D18" s="106">
        <v>6</v>
      </c>
      <c r="E18" s="107">
        <v>0</v>
      </c>
      <c r="F18" s="107">
        <v>6</v>
      </c>
      <c r="G18" s="107">
        <v>0</v>
      </c>
      <c r="H18" s="107">
        <v>0</v>
      </c>
      <c r="I18" s="107">
        <f t="shared" si="2"/>
        <v>0</v>
      </c>
      <c r="J18" s="107"/>
      <c r="K18" s="107">
        <f t="shared" si="3"/>
        <v>0</v>
      </c>
      <c r="L18" s="107">
        <v>14</v>
      </c>
      <c r="M18" s="107">
        <f t="shared" si="4"/>
        <v>6</v>
      </c>
      <c r="N18" s="108">
        <f t="shared" si="5"/>
        <v>6</v>
      </c>
      <c r="O18" s="106">
        <v>15</v>
      </c>
      <c r="P18" s="107">
        <v>0</v>
      </c>
      <c r="Q18" s="107">
        <v>32</v>
      </c>
      <c r="R18" s="107">
        <v>0</v>
      </c>
      <c r="S18" s="107">
        <v>0</v>
      </c>
      <c r="T18" s="107">
        <f t="shared" si="6"/>
        <v>0</v>
      </c>
      <c r="U18" s="107"/>
      <c r="V18" s="107">
        <f t="shared" si="7"/>
        <v>0</v>
      </c>
      <c r="W18" s="107">
        <v>4</v>
      </c>
      <c r="X18" s="107">
        <f t="shared" si="0"/>
        <v>32</v>
      </c>
      <c r="Y18" s="108">
        <f t="shared" si="1"/>
        <v>15</v>
      </c>
      <c r="Z18" s="84"/>
      <c r="AA18" s="84"/>
    </row>
    <row r="19" spans="1:27" x14ac:dyDescent="0.25">
      <c r="A19" s="84"/>
      <c r="B19" s="232"/>
      <c r="C19" s="109" t="s">
        <v>41</v>
      </c>
      <c r="D19" s="110">
        <v>1</v>
      </c>
      <c r="E19" s="111">
        <v>0</v>
      </c>
      <c r="F19" s="111">
        <v>1</v>
      </c>
      <c r="G19" s="111">
        <v>0</v>
      </c>
      <c r="H19" s="111">
        <v>0</v>
      </c>
      <c r="I19" s="111">
        <f t="shared" si="2"/>
        <v>0</v>
      </c>
      <c r="J19" s="111"/>
      <c r="K19" s="111">
        <f t="shared" si="3"/>
        <v>0</v>
      </c>
      <c r="L19" s="111">
        <v>7</v>
      </c>
      <c r="M19" s="111">
        <f t="shared" si="4"/>
        <v>1</v>
      </c>
      <c r="N19" s="112">
        <f t="shared" si="5"/>
        <v>1</v>
      </c>
      <c r="O19" s="110">
        <v>1</v>
      </c>
      <c r="P19" s="111">
        <v>0</v>
      </c>
      <c r="Q19" s="111">
        <v>1</v>
      </c>
      <c r="R19" s="111">
        <v>0</v>
      </c>
      <c r="S19" s="111">
        <v>0</v>
      </c>
      <c r="T19" s="111">
        <f t="shared" si="6"/>
        <v>0</v>
      </c>
      <c r="U19" s="111"/>
      <c r="V19" s="111">
        <f t="shared" si="7"/>
        <v>0</v>
      </c>
      <c r="W19" s="111">
        <v>1</v>
      </c>
      <c r="X19" s="111">
        <f t="shared" si="0"/>
        <v>1</v>
      </c>
      <c r="Y19" s="112">
        <f t="shared" si="1"/>
        <v>1</v>
      </c>
      <c r="Z19" s="84"/>
      <c r="AA19" s="84"/>
    </row>
    <row r="20" spans="1:27" x14ac:dyDescent="0.25">
      <c r="A20" s="84"/>
      <c r="B20" s="232"/>
      <c r="C20" s="109" t="s">
        <v>46</v>
      </c>
      <c r="D20" s="110">
        <v>0</v>
      </c>
      <c r="E20" s="111">
        <v>0</v>
      </c>
      <c r="F20" s="111">
        <v>0</v>
      </c>
      <c r="G20" s="111">
        <v>0</v>
      </c>
      <c r="H20" s="111">
        <v>0</v>
      </c>
      <c r="I20" s="111">
        <f t="shared" si="2"/>
        <v>0</v>
      </c>
      <c r="J20" s="111"/>
      <c r="K20" s="111">
        <f t="shared" si="3"/>
        <v>0</v>
      </c>
      <c r="L20" s="111">
        <v>1</v>
      </c>
      <c r="M20" s="111">
        <f t="shared" si="4"/>
        <v>0</v>
      </c>
      <c r="N20" s="112">
        <f t="shared" si="5"/>
        <v>0</v>
      </c>
      <c r="O20" s="110">
        <v>16</v>
      </c>
      <c r="P20" s="111">
        <v>0</v>
      </c>
      <c r="Q20" s="111">
        <v>32</v>
      </c>
      <c r="R20" s="111">
        <v>0</v>
      </c>
      <c r="S20" s="111">
        <v>0</v>
      </c>
      <c r="T20" s="111">
        <f t="shared" si="6"/>
        <v>0</v>
      </c>
      <c r="U20" s="111"/>
      <c r="V20" s="111">
        <f t="shared" si="7"/>
        <v>0</v>
      </c>
      <c r="W20" s="111">
        <v>25</v>
      </c>
      <c r="X20" s="111">
        <f t="shared" si="0"/>
        <v>32</v>
      </c>
      <c r="Y20" s="112">
        <f t="shared" si="1"/>
        <v>16</v>
      </c>
      <c r="Z20" s="84"/>
      <c r="AA20" s="84"/>
    </row>
    <row r="21" spans="1:27" x14ac:dyDescent="0.25">
      <c r="A21" s="84"/>
      <c r="B21" s="232"/>
      <c r="C21" s="109" t="s">
        <v>47</v>
      </c>
      <c r="D21" s="110">
        <v>0</v>
      </c>
      <c r="E21" s="111">
        <v>0</v>
      </c>
      <c r="F21" s="111">
        <v>0</v>
      </c>
      <c r="G21" s="111">
        <v>0</v>
      </c>
      <c r="H21" s="111">
        <v>0</v>
      </c>
      <c r="I21" s="111">
        <f t="shared" si="2"/>
        <v>0</v>
      </c>
      <c r="J21" s="111"/>
      <c r="K21" s="111">
        <f t="shared" si="3"/>
        <v>0</v>
      </c>
      <c r="L21" s="111">
        <v>0</v>
      </c>
      <c r="M21" s="111">
        <f t="shared" si="4"/>
        <v>0</v>
      </c>
      <c r="N21" s="112">
        <f t="shared" si="5"/>
        <v>0</v>
      </c>
      <c r="O21" s="110">
        <v>0</v>
      </c>
      <c r="P21" s="111">
        <v>0</v>
      </c>
      <c r="Q21" s="111">
        <v>32</v>
      </c>
      <c r="R21" s="111">
        <v>0</v>
      </c>
      <c r="S21" s="111">
        <v>0</v>
      </c>
      <c r="T21" s="111">
        <f t="shared" si="6"/>
        <v>0</v>
      </c>
      <c r="U21" s="111"/>
      <c r="V21" s="111">
        <f t="shared" si="7"/>
        <v>0</v>
      </c>
      <c r="W21" s="111">
        <v>0</v>
      </c>
      <c r="X21" s="111">
        <f t="shared" si="0"/>
        <v>32</v>
      </c>
      <c r="Y21" s="112">
        <f t="shared" si="1"/>
        <v>0</v>
      </c>
      <c r="Z21" s="84"/>
      <c r="AA21" s="84"/>
    </row>
    <row r="22" spans="1:27" x14ac:dyDescent="0.25">
      <c r="A22" s="84"/>
      <c r="B22" s="233"/>
      <c r="C22" s="113" t="s">
        <v>45</v>
      </c>
      <c r="D22" s="114">
        <v>10</v>
      </c>
      <c r="E22" s="115">
        <v>0</v>
      </c>
      <c r="F22" s="115">
        <v>10</v>
      </c>
      <c r="G22" s="115">
        <v>0</v>
      </c>
      <c r="H22" s="115">
        <v>1</v>
      </c>
      <c r="I22" s="115">
        <f t="shared" si="2"/>
        <v>1</v>
      </c>
      <c r="J22" s="115"/>
      <c r="K22" s="115">
        <f t="shared" si="3"/>
        <v>0</v>
      </c>
      <c r="L22" s="115">
        <v>20</v>
      </c>
      <c r="M22" s="115">
        <f t="shared" si="4"/>
        <v>9</v>
      </c>
      <c r="N22" s="116">
        <f t="shared" si="5"/>
        <v>9</v>
      </c>
      <c r="O22" s="114">
        <v>2</v>
      </c>
      <c r="P22" s="115">
        <v>0</v>
      </c>
      <c r="Q22" s="115">
        <v>2</v>
      </c>
      <c r="R22" s="115">
        <v>0</v>
      </c>
      <c r="S22" s="115">
        <v>0</v>
      </c>
      <c r="T22" s="115">
        <f t="shared" si="6"/>
        <v>0</v>
      </c>
      <c r="U22" s="115"/>
      <c r="V22" s="115">
        <f t="shared" si="7"/>
        <v>0</v>
      </c>
      <c r="W22" s="115">
        <v>11</v>
      </c>
      <c r="X22" s="115">
        <f t="shared" si="0"/>
        <v>2</v>
      </c>
      <c r="Y22" s="116">
        <f t="shared" si="1"/>
        <v>2</v>
      </c>
      <c r="Z22" s="84"/>
      <c r="AA22" s="84"/>
    </row>
    <row r="23" spans="1:27" x14ac:dyDescent="0.25">
      <c r="A23" s="84"/>
      <c r="B23" s="239" t="s">
        <v>136</v>
      </c>
      <c r="C23" s="93" t="s">
        <v>52</v>
      </c>
      <c r="D23" s="94">
        <v>29</v>
      </c>
      <c r="E23" s="95">
        <v>28</v>
      </c>
      <c r="F23" s="95">
        <v>29</v>
      </c>
      <c r="G23" s="95">
        <v>27</v>
      </c>
      <c r="H23" s="95">
        <v>1</v>
      </c>
      <c r="I23" s="95">
        <f t="shared" si="2"/>
        <v>28</v>
      </c>
      <c r="J23" s="95">
        <v>1</v>
      </c>
      <c r="K23" s="95">
        <f t="shared" si="3"/>
        <v>28</v>
      </c>
      <c r="L23" s="95">
        <v>55</v>
      </c>
      <c r="M23" s="95">
        <f t="shared" si="4"/>
        <v>1</v>
      </c>
      <c r="N23" s="96">
        <f t="shared" si="5"/>
        <v>0</v>
      </c>
      <c r="O23" s="94">
        <v>31</v>
      </c>
      <c r="P23" s="95">
        <v>23</v>
      </c>
      <c r="Q23" s="95">
        <v>30</v>
      </c>
      <c r="R23" s="95">
        <v>23</v>
      </c>
      <c r="S23" s="95">
        <v>8</v>
      </c>
      <c r="T23" s="95">
        <f t="shared" si="6"/>
        <v>31</v>
      </c>
      <c r="U23" s="95">
        <v>7</v>
      </c>
      <c r="V23" s="95">
        <f t="shared" si="7"/>
        <v>30</v>
      </c>
      <c r="W23" s="95">
        <v>18</v>
      </c>
      <c r="X23" s="95">
        <f t="shared" si="0"/>
        <v>-1</v>
      </c>
      <c r="Y23" s="96">
        <f t="shared" si="1"/>
        <v>0</v>
      </c>
      <c r="Z23" s="84"/>
      <c r="AA23" s="84"/>
    </row>
    <row r="24" spans="1:27" x14ac:dyDescent="0.25">
      <c r="A24" s="84"/>
      <c r="B24" s="240"/>
      <c r="C24" s="97" t="s">
        <v>58</v>
      </c>
      <c r="D24" s="117">
        <v>0</v>
      </c>
      <c r="E24" s="118">
        <v>0</v>
      </c>
      <c r="F24" s="118">
        <v>0</v>
      </c>
      <c r="G24" s="118">
        <v>0</v>
      </c>
      <c r="H24" s="118">
        <v>0</v>
      </c>
      <c r="I24" s="118">
        <f t="shared" si="2"/>
        <v>0</v>
      </c>
      <c r="J24" s="118"/>
      <c r="K24" s="118">
        <f t="shared" si="3"/>
        <v>0</v>
      </c>
      <c r="L24" s="118">
        <v>0</v>
      </c>
      <c r="M24" s="118">
        <f t="shared" si="4"/>
        <v>0</v>
      </c>
      <c r="N24" s="119">
        <f t="shared" si="5"/>
        <v>0</v>
      </c>
      <c r="O24" s="120">
        <v>33</v>
      </c>
      <c r="P24" s="99">
        <v>0</v>
      </c>
      <c r="Q24" s="99">
        <v>34</v>
      </c>
      <c r="R24" s="99">
        <v>1</v>
      </c>
      <c r="S24" s="99">
        <v>16</v>
      </c>
      <c r="T24" s="99">
        <f t="shared" si="6"/>
        <v>17</v>
      </c>
      <c r="U24" s="99">
        <v>15</v>
      </c>
      <c r="V24" s="99">
        <f t="shared" si="7"/>
        <v>16</v>
      </c>
      <c r="W24" s="99">
        <v>0</v>
      </c>
      <c r="X24" s="99">
        <f t="shared" si="0"/>
        <v>17</v>
      </c>
      <c r="Y24" s="100">
        <f t="shared" si="1"/>
        <v>17</v>
      </c>
      <c r="Z24" s="84"/>
      <c r="AA24" s="84"/>
    </row>
    <row r="25" spans="1:27" x14ac:dyDescent="0.25">
      <c r="A25" s="84"/>
      <c r="B25" s="240"/>
      <c r="C25" s="97" t="s">
        <v>57</v>
      </c>
      <c r="D25" s="98">
        <v>32</v>
      </c>
      <c r="E25" s="99">
        <v>0</v>
      </c>
      <c r="F25" s="99">
        <v>32</v>
      </c>
      <c r="G25" s="99">
        <v>0</v>
      </c>
      <c r="H25" s="99">
        <v>20</v>
      </c>
      <c r="I25" s="99">
        <f t="shared" si="2"/>
        <v>20</v>
      </c>
      <c r="J25" s="99">
        <v>18</v>
      </c>
      <c r="K25" s="99">
        <f t="shared" si="3"/>
        <v>18</v>
      </c>
      <c r="L25" s="99">
        <v>5</v>
      </c>
      <c r="M25" s="99">
        <f t="shared" si="4"/>
        <v>12</v>
      </c>
      <c r="N25" s="100">
        <f t="shared" si="5"/>
        <v>12</v>
      </c>
      <c r="O25" s="117">
        <v>0</v>
      </c>
      <c r="P25" s="118">
        <v>0</v>
      </c>
      <c r="Q25" s="118">
        <v>0</v>
      </c>
      <c r="R25" s="118">
        <v>0</v>
      </c>
      <c r="S25" s="118">
        <v>0</v>
      </c>
      <c r="T25" s="118">
        <f t="shared" si="6"/>
        <v>0</v>
      </c>
      <c r="U25" s="118">
        <v>0</v>
      </c>
      <c r="V25" s="118">
        <f t="shared" si="7"/>
        <v>0</v>
      </c>
      <c r="W25" s="118">
        <v>0</v>
      </c>
      <c r="X25" s="118">
        <f t="shared" si="0"/>
        <v>0</v>
      </c>
      <c r="Y25" s="119">
        <f t="shared" si="1"/>
        <v>0</v>
      </c>
      <c r="Z25" s="84"/>
      <c r="AA25" s="84"/>
    </row>
    <row r="26" spans="1:27" x14ac:dyDescent="0.25">
      <c r="A26" s="84"/>
      <c r="B26" s="240"/>
      <c r="C26" s="97" t="s">
        <v>46</v>
      </c>
      <c r="D26" s="121">
        <v>97</v>
      </c>
      <c r="E26" s="122">
        <v>0</v>
      </c>
      <c r="F26" s="122">
        <f>34*3</f>
        <v>102</v>
      </c>
      <c r="G26" s="122">
        <v>5</v>
      </c>
      <c r="H26" s="122">
        <v>92</v>
      </c>
      <c r="I26" s="122">
        <f t="shared" si="2"/>
        <v>97</v>
      </c>
      <c r="J26" s="99">
        <v>77</v>
      </c>
      <c r="K26" s="122">
        <f t="shared" si="3"/>
        <v>82</v>
      </c>
      <c r="L26" s="122">
        <v>19</v>
      </c>
      <c r="M26" s="122">
        <f t="shared" si="4"/>
        <v>5</v>
      </c>
      <c r="N26" s="123">
        <f t="shared" si="5"/>
        <v>5</v>
      </c>
      <c r="O26" s="98">
        <v>68</v>
      </c>
      <c r="P26" s="99">
        <v>0</v>
      </c>
      <c r="Q26" s="99">
        <v>68</v>
      </c>
      <c r="R26" s="99">
        <v>0</v>
      </c>
      <c r="S26" s="99">
        <v>60</v>
      </c>
      <c r="T26" s="99">
        <f t="shared" si="6"/>
        <v>60</v>
      </c>
      <c r="U26" s="99">
        <v>50</v>
      </c>
      <c r="V26" s="99">
        <f t="shared" si="7"/>
        <v>50</v>
      </c>
      <c r="W26" s="99">
        <v>13</v>
      </c>
      <c r="X26" s="99">
        <f t="shared" si="0"/>
        <v>8</v>
      </c>
      <c r="Y26" s="100">
        <f t="shared" si="1"/>
        <v>8</v>
      </c>
      <c r="Z26" s="84"/>
      <c r="AA26" s="84"/>
    </row>
    <row r="27" spans="1:27" x14ac:dyDescent="0.25">
      <c r="A27" s="84"/>
      <c r="B27" s="240"/>
      <c r="C27" s="97" t="s">
        <v>53</v>
      </c>
      <c r="D27" s="98">
        <v>29</v>
      </c>
      <c r="E27" s="99">
        <v>27</v>
      </c>
      <c r="F27" s="99">
        <v>29</v>
      </c>
      <c r="G27" s="99">
        <v>27</v>
      </c>
      <c r="H27" s="99">
        <v>2</v>
      </c>
      <c r="I27" s="99">
        <f t="shared" si="2"/>
        <v>29</v>
      </c>
      <c r="J27" s="99">
        <v>2</v>
      </c>
      <c r="K27" s="99">
        <f t="shared" si="3"/>
        <v>29</v>
      </c>
      <c r="L27" s="99">
        <v>29</v>
      </c>
      <c r="M27" s="99">
        <f t="shared" si="4"/>
        <v>0</v>
      </c>
      <c r="N27" s="100">
        <f t="shared" si="5"/>
        <v>0</v>
      </c>
      <c r="O27" s="124">
        <v>32</v>
      </c>
      <c r="P27" s="99">
        <v>0</v>
      </c>
      <c r="Q27" s="99">
        <v>34</v>
      </c>
      <c r="R27" s="99">
        <v>1</v>
      </c>
      <c r="S27" s="99">
        <v>29</v>
      </c>
      <c r="T27" s="99">
        <f t="shared" si="6"/>
        <v>30</v>
      </c>
      <c r="U27" s="99">
        <v>25</v>
      </c>
      <c r="V27" s="99">
        <f t="shared" si="7"/>
        <v>26</v>
      </c>
      <c r="W27" s="99">
        <v>3</v>
      </c>
      <c r="X27" s="99">
        <f t="shared" si="0"/>
        <v>4</v>
      </c>
      <c r="Y27" s="100">
        <f t="shared" si="1"/>
        <v>3</v>
      </c>
      <c r="Z27" s="84"/>
      <c r="AA27" s="84"/>
    </row>
    <row r="28" spans="1:27" x14ac:dyDescent="0.25">
      <c r="A28" s="84"/>
      <c r="B28" s="240"/>
      <c r="C28" s="97" t="s">
        <v>47</v>
      </c>
      <c r="D28" s="98">
        <v>58</v>
      </c>
      <c r="E28" s="99">
        <v>51</v>
      </c>
      <c r="F28" s="99">
        <v>60</v>
      </c>
      <c r="G28" s="99">
        <v>52</v>
      </c>
      <c r="H28" s="99">
        <v>7</v>
      </c>
      <c r="I28" s="99">
        <f t="shared" si="2"/>
        <v>59</v>
      </c>
      <c r="J28" s="99">
        <v>9</v>
      </c>
      <c r="K28" s="99">
        <f t="shared" si="3"/>
        <v>61</v>
      </c>
      <c r="L28" s="99">
        <v>38</v>
      </c>
      <c r="M28" s="99">
        <f t="shared" si="4"/>
        <v>1</v>
      </c>
      <c r="N28" s="100">
        <f t="shared" si="5"/>
        <v>0</v>
      </c>
      <c r="O28" s="121">
        <v>56</v>
      </c>
      <c r="P28" s="122">
        <v>27</v>
      </c>
      <c r="Q28" s="122">
        <v>56</v>
      </c>
      <c r="R28" s="122">
        <v>25</v>
      </c>
      <c r="S28" s="122">
        <v>28</v>
      </c>
      <c r="T28" s="122">
        <f t="shared" si="6"/>
        <v>53</v>
      </c>
      <c r="U28" s="122">
        <v>19</v>
      </c>
      <c r="V28" s="122">
        <f t="shared" si="7"/>
        <v>44</v>
      </c>
      <c r="W28" s="122">
        <v>8</v>
      </c>
      <c r="X28" s="122">
        <f t="shared" si="0"/>
        <v>3</v>
      </c>
      <c r="Y28" s="123">
        <f t="shared" si="1"/>
        <v>1</v>
      </c>
      <c r="Z28" s="84"/>
      <c r="AA28" s="84"/>
    </row>
    <row r="29" spans="1:27" x14ac:dyDescent="0.25">
      <c r="A29" s="84"/>
      <c r="B29" s="240"/>
      <c r="C29" s="97" t="s">
        <v>55</v>
      </c>
      <c r="D29" s="98">
        <v>34</v>
      </c>
      <c r="E29" s="99">
        <v>0</v>
      </c>
      <c r="F29" s="99">
        <v>34</v>
      </c>
      <c r="G29" s="99">
        <v>0</v>
      </c>
      <c r="H29" s="163">
        <v>34</v>
      </c>
      <c r="I29" s="99">
        <f t="shared" si="2"/>
        <v>34</v>
      </c>
      <c r="J29" s="99">
        <v>26</v>
      </c>
      <c r="K29" s="99">
        <f t="shared" si="3"/>
        <v>26</v>
      </c>
      <c r="L29" s="99">
        <v>9</v>
      </c>
      <c r="M29" s="99">
        <f t="shared" si="4"/>
        <v>0</v>
      </c>
      <c r="N29" s="100">
        <f t="shared" si="5"/>
        <v>0</v>
      </c>
      <c r="O29" s="117">
        <v>0</v>
      </c>
      <c r="P29" s="118">
        <v>0</v>
      </c>
      <c r="Q29" s="118">
        <v>0</v>
      </c>
      <c r="R29" s="118">
        <v>0</v>
      </c>
      <c r="S29" s="118">
        <v>0</v>
      </c>
      <c r="T29" s="118">
        <f t="shared" si="6"/>
        <v>0</v>
      </c>
      <c r="U29" s="118">
        <v>0</v>
      </c>
      <c r="V29" s="118">
        <f t="shared" si="7"/>
        <v>0</v>
      </c>
      <c r="W29" s="118">
        <v>0</v>
      </c>
      <c r="X29" s="118">
        <f t="shared" si="0"/>
        <v>0</v>
      </c>
      <c r="Y29" s="119">
        <f t="shared" si="1"/>
        <v>0</v>
      </c>
      <c r="Z29" s="84"/>
      <c r="AA29" s="84"/>
    </row>
    <row r="30" spans="1:27" x14ac:dyDescent="0.25">
      <c r="A30" s="84"/>
      <c r="B30" s="240"/>
      <c r="C30" s="97" t="s">
        <v>54</v>
      </c>
      <c r="D30" s="98">
        <v>6</v>
      </c>
      <c r="E30" s="99">
        <v>0</v>
      </c>
      <c r="F30" s="99">
        <v>26</v>
      </c>
      <c r="G30" s="99">
        <v>20</v>
      </c>
      <c r="H30" s="99">
        <v>9</v>
      </c>
      <c r="I30" s="99">
        <f t="shared" si="2"/>
        <v>29</v>
      </c>
      <c r="J30" s="99">
        <v>6</v>
      </c>
      <c r="K30" s="99">
        <f t="shared" si="3"/>
        <v>26</v>
      </c>
      <c r="L30" s="99">
        <v>28</v>
      </c>
      <c r="M30" s="99">
        <f t="shared" si="4"/>
        <v>-3</v>
      </c>
      <c r="N30" s="100">
        <f t="shared" si="5"/>
        <v>-3</v>
      </c>
      <c r="O30" s="117">
        <v>19</v>
      </c>
      <c r="P30" s="118">
        <v>19</v>
      </c>
      <c r="Q30" s="118">
        <v>0</v>
      </c>
      <c r="R30" s="118">
        <v>0</v>
      </c>
      <c r="S30" s="118">
        <v>0</v>
      </c>
      <c r="T30" s="118">
        <f t="shared" si="6"/>
        <v>0</v>
      </c>
      <c r="U30" s="118">
        <v>0</v>
      </c>
      <c r="V30" s="118">
        <f t="shared" si="7"/>
        <v>0</v>
      </c>
      <c r="W30" s="118">
        <v>14</v>
      </c>
      <c r="X30" s="118">
        <f t="shared" si="0"/>
        <v>0</v>
      </c>
      <c r="Y30" s="119">
        <f t="shared" si="1"/>
        <v>0</v>
      </c>
      <c r="Z30" s="84"/>
      <c r="AA30" s="84"/>
    </row>
    <row r="31" spans="1:27" x14ac:dyDescent="0.25">
      <c r="A31" s="84"/>
      <c r="B31" s="241"/>
      <c r="C31" s="101" t="s">
        <v>51</v>
      </c>
      <c r="D31" s="102">
        <v>33</v>
      </c>
      <c r="E31" s="103">
        <v>32</v>
      </c>
      <c r="F31" s="103">
        <v>33</v>
      </c>
      <c r="G31" s="103">
        <v>32</v>
      </c>
      <c r="H31" s="103">
        <v>1</v>
      </c>
      <c r="I31" s="103">
        <f t="shared" si="2"/>
        <v>33</v>
      </c>
      <c r="J31" s="103">
        <v>1</v>
      </c>
      <c r="K31" s="103">
        <f t="shared" si="3"/>
        <v>33</v>
      </c>
      <c r="L31" s="103">
        <v>29</v>
      </c>
      <c r="M31" s="103">
        <f t="shared" si="4"/>
        <v>0</v>
      </c>
      <c r="N31" s="104">
        <f t="shared" si="5"/>
        <v>0</v>
      </c>
      <c r="O31" s="125">
        <v>67</v>
      </c>
      <c r="P31" s="126">
        <v>29</v>
      </c>
      <c r="Q31" s="126">
        <v>66</v>
      </c>
      <c r="R31" s="126">
        <v>25</v>
      </c>
      <c r="S31" s="126">
        <v>39</v>
      </c>
      <c r="T31" s="126">
        <f t="shared" si="6"/>
        <v>64</v>
      </c>
      <c r="U31" s="126">
        <v>31</v>
      </c>
      <c r="V31" s="126">
        <f t="shared" si="7"/>
        <v>56</v>
      </c>
      <c r="W31" s="126">
        <v>0</v>
      </c>
      <c r="X31" s="126">
        <f t="shared" si="0"/>
        <v>2</v>
      </c>
      <c r="Y31" s="127">
        <f t="shared" si="1"/>
        <v>-1</v>
      </c>
      <c r="Z31" s="84"/>
      <c r="AA31" s="84"/>
    </row>
    <row r="32" spans="1:27" x14ac:dyDescent="0.25">
      <c r="A32" s="84"/>
      <c r="B32" s="239" t="s">
        <v>137</v>
      </c>
      <c r="C32" s="93" t="s">
        <v>52</v>
      </c>
      <c r="D32" s="94">
        <v>16</v>
      </c>
      <c r="E32" s="95">
        <v>0</v>
      </c>
      <c r="F32" s="95">
        <v>32</v>
      </c>
      <c r="G32" s="95">
        <v>16</v>
      </c>
      <c r="H32" s="95">
        <v>15</v>
      </c>
      <c r="I32" s="95">
        <f t="shared" si="2"/>
        <v>31</v>
      </c>
      <c r="J32" s="95">
        <v>12</v>
      </c>
      <c r="K32" s="95">
        <f t="shared" si="3"/>
        <v>28</v>
      </c>
      <c r="L32" s="95">
        <v>34</v>
      </c>
      <c r="M32" s="95">
        <f t="shared" si="4"/>
        <v>1</v>
      </c>
      <c r="N32" s="96">
        <f t="shared" si="5"/>
        <v>1</v>
      </c>
      <c r="O32" s="94">
        <v>44</v>
      </c>
      <c r="P32" s="95">
        <v>29</v>
      </c>
      <c r="Q32" s="95">
        <v>28</v>
      </c>
      <c r="R32" s="95">
        <v>13</v>
      </c>
      <c r="S32" s="95">
        <v>16</v>
      </c>
      <c r="T32" s="95">
        <f t="shared" si="6"/>
        <v>29</v>
      </c>
      <c r="U32" s="95">
        <v>17</v>
      </c>
      <c r="V32" s="95">
        <f t="shared" si="7"/>
        <v>30</v>
      </c>
      <c r="W32" s="95">
        <v>2</v>
      </c>
      <c r="X32" s="95">
        <f t="shared" si="0"/>
        <v>-1</v>
      </c>
      <c r="Y32" s="96">
        <f t="shared" si="1"/>
        <v>-1</v>
      </c>
      <c r="Z32" s="84"/>
      <c r="AA32" s="84"/>
    </row>
    <row r="33" spans="1:27" x14ac:dyDescent="0.25">
      <c r="A33" s="84"/>
      <c r="B33" s="240"/>
      <c r="C33" s="97" t="s">
        <v>57</v>
      </c>
      <c r="D33" s="98">
        <v>34</v>
      </c>
      <c r="E33" s="99">
        <v>0</v>
      </c>
      <c r="F33" s="99">
        <v>34</v>
      </c>
      <c r="G33" s="99">
        <v>0</v>
      </c>
      <c r="H33" s="99">
        <v>38</v>
      </c>
      <c r="I33" s="99">
        <f t="shared" si="2"/>
        <v>38</v>
      </c>
      <c r="J33" s="99">
        <v>23</v>
      </c>
      <c r="K33" s="99">
        <f t="shared" si="3"/>
        <v>23</v>
      </c>
      <c r="L33" s="99">
        <v>12</v>
      </c>
      <c r="M33" s="99">
        <f t="shared" si="4"/>
        <v>-4</v>
      </c>
      <c r="N33" s="100">
        <f t="shared" si="5"/>
        <v>-4</v>
      </c>
      <c r="O33" s="117">
        <v>0</v>
      </c>
      <c r="P33" s="118">
        <v>0</v>
      </c>
      <c r="Q33" s="118">
        <v>0</v>
      </c>
      <c r="R33" s="118">
        <v>0</v>
      </c>
      <c r="S33" s="118">
        <v>0</v>
      </c>
      <c r="T33" s="118">
        <f t="shared" si="6"/>
        <v>0</v>
      </c>
      <c r="U33" s="118"/>
      <c r="V33" s="118">
        <f t="shared" si="7"/>
        <v>0</v>
      </c>
      <c r="W33" s="118">
        <v>1</v>
      </c>
      <c r="X33" s="118">
        <f t="shared" si="0"/>
        <v>0</v>
      </c>
      <c r="Y33" s="119">
        <f t="shared" si="1"/>
        <v>0</v>
      </c>
      <c r="Z33" s="84"/>
      <c r="AA33" s="84"/>
    </row>
    <row r="34" spans="1:27" x14ac:dyDescent="0.25">
      <c r="A34" s="84"/>
      <c r="B34" s="240"/>
      <c r="C34" s="97" t="s">
        <v>46</v>
      </c>
      <c r="D34" s="98">
        <v>32</v>
      </c>
      <c r="E34" s="99">
        <v>0</v>
      </c>
      <c r="F34" s="99">
        <v>32</v>
      </c>
      <c r="G34" s="99">
        <v>0</v>
      </c>
      <c r="H34" s="99">
        <v>33</v>
      </c>
      <c r="I34" s="99">
        <f t="shared" si="2"/>
        <v>33</v>
      </c>
      <c r="J34" s="99">
        <v>32</v>
      </c>
      <c r="K34" s="99">
        <f t="shared" si="3"/>
        <v>32</v>
      </c>
      <c r="L34" s="99">
        <v>90</v>
      </c>
      <c r="M34" s="99">
        <f t="shared" si="4"/>
        <v>-1</v>
      </c>
      <c r="N34" s="100">
        <f t="shared" si="5"/>
        <v>-1</v>
      </c>
      <c r="O34" s="121">
        <v>68</v>
      </c>
      <c r="P34" s="122">
        <v>0</v>
      </c>
      <c r="Q34" s="122">
        <v>68</v>
      </c>
      <c r="R34" s="122">
        <v>1</v>
      </c>
      <c r="S34" s="122">
        <v>66</v>
      </c>
      <c r="T34" s="122">
        <f t="shared" si="6"/>
        <v>67</v>
      </c>
      <c r="U34" s="122">
        <v>54</v>
      </c>
      <c r="V34" s="122">
        <f t="shared" si="7"/>
        <v>55</v>
      </c>
      <c r="W34" s="122">
        <v>0</v>
      </c>
      <c r="X34" s="122">
        <f t="shared" si="0"/>
        <v>1</v>
      </c>
      <c r="Y34" s="123">
        <f t="shared" si="1"/>
        <v>2</v>
      </c>
      <c r="Z34" s="84"/>
      <c r="AA34" s="84"/>
    </row>
    <row r="35" spans="1:27" x14ac:dyDescent="0.25">
      <c r="A35" s="84"/>
      <c r="B35" s="240"/>
      <c r="C35" s="97" t="s">
        <v>53</v>
      </c>
      <c r="D35" s="98">
        <v>34</v>
      </c>
      <c r="E35" s="99">
        <v>0</v>
      </c>
      <c r="F35" s="99">
        <v>34</v>
      </c>
      <c r="G35" s="99">
        <v>0</v>
      </c>
      <c r="H35" s="99">
        <v>32</v>
      </c>
      <c r="I35" s="99">
        <f t="shared" si="2"/>
        <v>32</v>
      </c>
      <c r="J35" s="99">
        <v>27</v>
      </c>
      <c r="K35" s="99">
        <f t="shared" si="3"/>
        <v>27</v>
      </c>
      <c r="L35" s="99">
        <v>18</v>
      </c>
      <c r="M35" s="99">
        <f t="shared" si="4"/>
        <v>2</v>
      </c>
      <c r="N35" s="100">
        <f t="shared" si="5"/>
        <v>2</v>
      </c>
      <c r="O35" s="98">
        <v>34</v>
      </c>
      <c r="P35" s="99">
        <v>0</v>
      </c>
      <c r="Q35" s="99">
        <v>34</v>
      </c>
      <c r="R35" s="99">
        <v>0</v>
      </c>
      <c r="S35" s="99">
        <v>16</v>
      </c>
      <c r="T35" s="99">
        <f t="shared" si="6"/>
        <v>16</v>
      </c>
      <c r="U35" s="99">
        <v>12</v>
      </c>
      <c r="V35" s="99">
        <f t="shared" si="7"/>
        <v>12</v>
      </c>
      <c r="W35" s="99">
        <v>1</v>
      </c>
      <c r="X35" s="99">
        <f t="shared" si="0"/>
        <v>18</v>
      </c>
      <c r="Y35" s="100">
        <f t="shared" si="1"/>
        <v>18</v>
      </c>
      <c r="Z35" s="84"/>
      <c r="AA35" s="84"/>
    </row>
    <row r="36" spans="1:27" x14ac:dyDescent="0.25">
      <c r="A36" s="84"/>
      <c r="B36" s="240"/>
      <c r="C36" s="97" t="s">
        <v>47</v>
      </c>
      <c r="D36" s="98">
        <v>56</v>
      </c>
      <c r="E36" s="99">
        <v>49</v>
      </c>
      <c r="F36" s="99">
        <v>59</v>
      </c>
      <c r="G36" s="99">
        <v>55</v>
      </c>
      <c r="H36" s="99">
        <v>7</v>
      </c>
      <c r="I36" s="99">
        <f t="shared" si="2"/>
        <v>62</v>
      </c>
      <c r="J36" s="99">
        <v>7</v>
      </c>
      <c r="K36" s="99">
        <f t="shared" si="3"/>
        <v>62</v>
      </c>
      <c r="L36" s="99">
        <v>41</v>
      </c>
      <c r="M36" s="99">
        <f t="shared" si="4"/>
        <v>-3</v>
      </c>
      <c r="N36" s="100">
        <f t="shared" si="5"/>
        <v>0</v>
      </c>
      <c r="O36" s="121">
        <v>61</v>
      </c>
      <c r="P36" s="122">
        <v>26</v>
      </c>
      <c r="Q36" s="122">
        <v>56</v>
      </c>
      <c r="R36" s="122">
        <v>21</v>
      </c>
      <c r="S36" s="122">
        <v>31</v>
      </c>
      <c r="T36" s="122">
        <f t="shared" si="6"/>
        <v>52</v>
      </c>
      <c r="U36" s="122">
        <v>28</v>
      </c>
      <c r="V36" s="122">
        <f t="shared" si="7"/>
        <v>49</v>
      </c>
      <c r="W36" s="122">
        <v>5</v>
      </c>
      <c r="X36" s="122">
        <f t="shared" si="0"/>
        <v>4</v>
      </c>
      <c r="Y36" s="123">
        <f t="shared" si="1"/>
        <v>4</v>
      </c>
      <c r="Z36" s="84"/>
      <c r="AA36" s="84"/>
    </row>
    <row r="37" spans="1:27" x14ac:dyDescent="0.25">
      <c r="A37" s="84"/>
      <c r="B37" s="240"/>
      <c r="C37" s="97" t="s">
        <v>55</v>
      </c>
      <c r="D37" s="98">
        <v>34</v>
      </c>
      <c r="E37" s="99">
        <v>0</v>
      </c>
      <c r="F37" s="99">
        <v>34</v>
      </c>
      <c r="G37" s="99">
        <v>0</v>
      </c>
      <c r="H37" s="99">
        <v>38</v>
      </c>
      <c r="I37" s="99">
        <f t="shared" si="2"/>
        <v>38</v>
      </c>
      <c r="J37" s="99">
        <v>31</v>
      </c>
      <c r="K37" s="99">
        <f t="shared" si="3"/>
        <v>31</v>
      </c>
      <c r="L37" s="99">
        <v>11</v>
      </c>
      <c r="M37" s="99">
        <f t="shared" si="4"/>
        <v>-4</v>
      </c>
      <c r="N37" s="100">
        <f t="shared" si="5"/>
        <v>-4</v>
      </c>
      <c r="O37" s="117">
        <v>0</v>
      </c>
      <c r="P37" s="118">
        <v>0</v>
      </c>
      <c r="Q37" s="118">
        <v>0</v>
      </c>
      <c r="R37" s="118">
        <v>0</v>
      </c>
      <c r="S37" s="118">
        <v>0</v>
      </c>
      <c r="T37" s="118">
        <f t="shared" si="6"/>
        <v>0</v>
      </c>
      <c r="U37" s="118">
        <v>0</v>
      </c>
      <c r="V37" s="118">
        <f t="shared" si="7"/>
        <v>0</v>
      </c>
      <c r="W37" s="118">
        <v>2</v>
      </c>
      <c r="X37" s="118">
        <f t="shared" ref="X37:X68" si="8">+Q37-T37</f>
        <v>0</v>
      </c>
      <c r="Y37" s="119">
        <f t="shared" ref="Y37:Y68" si="9">+IFERROR(O37-P37-S37,0)</f>
        <v>0</v>
      </c>
      <c r="Z37" s="84"/>
      <c r="AA37" s="84"/>
    </row>
    <row r="38" spans="1:27" x14ac:dyDescent="0.25">
      <c r="A38" s="84"/>
      <c r="B38" s="240"/>
      <c r="C38" s="97" t="s">
        <v>54</v>
      </c>
      <c r="D38" s="98">
        <v>34</v>
      </c>
      <c r="E38" s="99">
        <v>0</v>
      </c>
      <c r="F38" s="99">
        <v>34</v>
      </c>
      <c r="G38" s="99">
        <v>0</v>
      </c>
      <c r="H38" s="99">
        <v>41</v>
      </c>
      <c r="I38" s="99">
        <v>34</v>
      </c>
      <c r="J38" s="99">
        <v>31</v>
      </c>
      <c r="K38" s="99">
        <f t="shared" si="3"/>
        <v>31</v>
      </c>
      <c r="L38" s="99">
        <v>52</v>
      </c>
      <c r="M38" s="99">
        <f t="shared" si="4"/>
        <v>0</v>
      </c>
      <c r="N38" s="100">
        <f t="shared" si="5"/>
        <v>-7</v>
      </c>
      <c r="O38" s="117">
        <v>0</v>
      </c>
      <c r="P38" s="118">
        <v>0</v>
      </c>
      <c r="Q38" s="118">
        <v>0</v>
      </c>
      <c r="R38" s="118">
        <v>0</v>
      </c>
      <c r="S38" s="118">
        <v>0</v>
      </c>
      <c r="T38" s="118">
        <f t="shared" si="6"/>
        <v>0</v>
      </c>
      <c r="U38" s="118">
        <v>0</v>
      </c>
      <c r="V38" s="118">
        <f t="shared" si="7"/>
        <v>0</v>
      </c>
      <c r="W38" s="118">
        <v>2</v>
      </c>
      <c r="X38" s="118">
        <f t="shared" si="8"/>
        <v>0</v>
      </c>
      <c r="Y38" s="119">
        <f t="shared" si="9"/>
        <v>0</v>
      </c>
      <c r="Z38" s="84"/>
      <c r="AA38" s="84"/>
    </row>
    <row r="39" spans="1:27" x14ac:dyDescent="0.25">
      <c r="A39" s="84"/>
      <c r="B39" s="240"/>
      <c r="C39" s="97" t="s">
        <v>51</v>
      </c>
      <c r="D39" s="98">
        <v>30</v>
      </c>
      <c r="E39" s="99">
        <v>28</v>
      </c>
      <c r="F39" s="99">
        <v>30</v>
      </c>
      <c r="G39" s="99">
        <v>29</v>
      </c>
      <c r="H39" s="99">
        <v>6</v>
      </c>
      <c r="I39" s="99">
        <f t="shared" si="2"/>
        <v>35</v>
      </c>
      <c r="J39" s="99">
        <v>6</v>
      </c>
      <c r="K39" s="99">
        <f t="shared" si="3"/>
        <v>35</v>
      </c>
      <c r="L39" s="99">
        <v>32</v>
      </c>
      <c r="M39" s="99">
        <f t="shared" si="4"/>
        <v>-5</v>
      </c>
      <c r="N39" s="100">
        <f t="shared" si="5"/>
        <v>-4</v>
      </c>
      <c r="O39" s="98">
        <v>31</v>
      </c>
      <c r="P39" s="99">
        <v>0</v>
      </c>
      <c r="Q39" s="99">
        <v>32</v>
      </c>
      <c r="R39" s="99">
        <v>1</v>
      </c>
      <c r="S39" s="99">
        <v>24</v>
      </c>
      <c r="T39" s="99">
        <f t="shared" si="6"/>
        <v>25</v>
      </c>
      <c r="U39" s="99">
        <v>20</v>
      </c>
      <c r="V39" s="99">
        <f t="shared" si="7"/>
        <v>21</v>
      </c>
      <c r="W39" s="99">
        <v>2</v>
      </c>
      <c r="X39" s="99">
        <f t="shared" si="8"/>
        <v>7</v>
      </c>
      <c r="Y39" s="100">
        <f t="shared" si="9"/>
        <v>7</v>
      </c>
      <c r="Z39" s="84"/>
      <c r="AA39" s="84"/>
    </row>
    <row r="40" spans="1:27" x14ac:dyDescent="0.25">
      <c r="A40" s="84"/>
      <c r="B40" s="241"/>
      <c r="C40" s="101" t="s">
        <v>45</v>
      </c>
      <c r="D40" s="125">
        <v>64</v>
      </c>
      <c r="E40" s="126">
        <v>0</v>
      </c>
      <c r="F40" s="126">
        <v>64</v>
      </c>
      <c r="G40" s="126">
        <v>0</v>
      </c>
      <c r="H40" s="126">
        <v>64</v>
      </c>
      <c r="I40" s="126">
        <f t="shared" si="2"/>
        <v>64</v>
      </c>
      <c r="J40" s="126">
        <v>57</v>
      </c>
      <c r="K40" s="126">
        <f t="shared" si="3"/>
        <v>57</v>
      </c>
      <c r="L40" s="126">
        <v>53</v>
      </c>
      <c r="M40" s="126">
        <f t="shared" si="4"/>
        <v>0</v>
      </c>
      <c r="N40" s="127">
        <f t="shared" si="5"/>
        <v>0</v>
      </c>
      <c r="O40" s="125">
        <v>67</v>
      </c>
      <c r="P40" s="126">
        <v>0</v>
      </c>
      <c r="Q40" s="126">
        <v>68</v>
      </c>
      <c r="R40" s="126">
        <v>1</v>
      </c>
      <c r="S40" s="126">
        <v>49</v>
      </c>
      <c r="T40" s="126">
        <f t="shared" si="6"/>
        <v>50</v>
      </c>
      <c r="U40" s="126">
        <v>37</v>
      </c>
      <c r="V40" s="126">
        <f t="shared" si="7"/>
        <v>38</v>
      </c>
      <c r="W40" s="126">
        <v>2</v>
      </c>
      <c r="X40" s="126">
        <f t="shared" si="8"/>
        <v>18</v>
      </c>
      <c r="Y40" s="127">
        <f t="shared" si="9"/>
        <v>18</v>
      </c>
      <c r="Z40" s="84"/>
      <c r="AA40" s="84"/>
    </row>
    <row r="41" spans="1:27" x14ac:dyDescent="0.25">
      <c r="A41" s="84"/>
      <c r="B41" s="239" t="s">
        <v>88</v>
      </c>
      <c r="C41" s="93" t="s">
        <v>52</v>
      </c>
      <c r="D41" s="94">
        <v>31</v>
      </c>
      <c r="E41" s="95">
        <v>21</v>
      </c>
      <c r="F41" s="95">
        <v>30</v>
      </c>
      <c r="G41" s="95">
        <v>20</v>
      </c>
      <c r="H41" s="95">
        <v>11</v>
      </c>
      <c r="I41" s="95">
        <f t="shared" si="2"/>
        <v>31</v>
      </c>
      <c r="J41" s="95">
        <v>11</v>
      </c>
      <c r="K41" s="95">
        <f t="shared" si="3"/>
        <v>31</v>
      </c>
      <c r="L41" s="95">
        <v>6</v>
      </c>
      <c r="M41" s="95">
        <f t="shared" si="4"/>
        <v>-1</v>
      </c>
      <c r="N41" s="96">
        <f t="shared" si="5"/>
        <v>-1</v>
      </c>
      <c r="O41" s="94">
        <v>30</v>
      </c>
      <c r="P41" s="95">
        <v>0</v>
      </c>
      <c r="Q41" s="95">
        <v>34</v>
      </c>
      <c r="R41" s="95">
        <v>4</v>
      </c>
      <c r="S41" s="95">
        <v>9</v>
      </c>
      <c r="T41" s="95">
        <f t="shared" si="6"/>
        <v>13</v>
      </c>
      <c r="U41" s="95">
        <v>1</v>
      </c>
      <c r="V41" s="95">
        <f t="shared" si="7"/>
        <v>5</v>
      </c>
      <c r="W41" s="95">
        <v>4</v>
      </c>
      <c r="X41" s="95">
        <f t="shared" si="8"/>
        <v>21</v>
      </c>
      <c r="Y41" s="96">
        <f t="shared" si="9"/>
        <v>21</v>
      </c>
      <c r="Z41" s="84"/>
      <c r="AA41" s="84"/>
    </row>
    <row r="42" spans="1:27" x14ac:dyDescent="0.25">
      <c r="A42" s="84"/>
      <c r="B42" s="240"/>
      <c r="C42" s="97" t="s">
        <v>57</v>
      </c>
      <c r="D42" s="98">
        <v>34</v>
      </c>
      <c r="E42" s="99">
        <v>0</v>
      </c>
      <c r="F42" s="99">
        <v>34</v>
      </c>
      <c r="G42" s="99">
        <v>0</v>
      </c>
      <c r="H42" s="99">
        <v>15</v>
      </c>
      <c r="I42" s="99">
        <f t="shared" si="2"/>
        <v>15</v>
      </c>
      <c r="J42" s="99">
        <v>11</v>
      </c>
      <c r="K42" s="99">
        <f t="shared" si="3"/>
        <v>11</v>
      </c>
      <c r="L42" s="99">
        <v>3</v>
      </c>
      <c r="M42" s="99">
        <f t="shared" si="4"/>
        <v>19</v>
      </c>
      <c r="N42" s="100">
        <f t="shared" si="5"/>
        <v>19</v>
      </c>
      <c r="O42" s="117">
        <v>0</v>
      </c>
      <c r="P42" s="118">
        <v>0</v>
      </c>
      <c r="Q42" s="118">
        <v>0</v>
      </c>
      <c r="R42" s="118">
        <v>0</v>
      </c>
      <c r="S42" s="118">
        <v>0</v>
      </c>
      <c r="T42" s="118">
        <f t="shared" si="6"/>
        <v>0</v>
      </c>
      <c r="U42" s="118">
        <v>0</v>
      </c>
      <c r="V42" s="118">
        <f t="shared" si="7"/>
        <v>0</v>
      </c>
      <c r="W42" s="118">
        <v>0</v>
      </c>
      <c r="X42" s="118">
        <f t="shared" si="8"/>
        <v>0</v>
      </c>
      <c r="Y42" s="119">
        <f t="shared" si="9"/>
        <v>0</v>
      </c>
      <c r="Z42" s="84"/>
      <c r="AA42" s="84"/>
    </row>
    <row r="43" spans="1:27" x14ac:dyDescent="0.25">
      <c r="A43" s="84"/>
      <c r="B43" s="240"/>
      <c r="C43" s="97" t="s">
        <v>46</v>
      </c>
      <c r="D43" s="98">
        <v>24</v>
      </c>
      <c r="E43" s="99">
        <v>18</v>
      </c>
      <c r="F43" s="99">
        <v>25</v>
      </c>
      <c r="G43" s="99">
        <v>22</v>
      </c>
      <c r="H43" s="99">
        <v>6</v>
      </c>
      <c r="I43" s="99">
        <f t="shared" si="2"/>
        <v>28</v>
      </c>
      <c r="J43" s="99">
        <v>6</v>
      </c>
      <c r="K43" s="99">
        <f t="shared" si="3"/>
        <v>28</v>
      </c>
      <c r="L43" s="99">
        <v>22</v>
      </c>
      <c r="M43" s="99">
        <f t="shared" si="4"/>
        <v>-3</v>
      </c>
      <c r="N43" s="100">
        <f t="shared" si="5"/>
        <v>0</v>
      </c>
      <c r="O43" s="121">
        <v>63</v>
      </c>
      <c r="P43" s="122">
        <v>17</v>
      </c>
      <c r="Q43" s="122">
        <v>56</v>
      </c>
      <c r="R43" s="122">
        <v>10</v>
      </c>
      <c r="S43" s="122">
        <v>43</v>
      </c>
      <c r="T43" s="122">
        <f t="shared" si="6"/>
        <v>53</v>
      </c>
      <c r="U43" s="122">
        <v>28</v>
      </c>
      <c r="V43" s="122">
        <f t="shared" si="7"/>
        <v>38</v>
      </c>
      <c r="W43" s="122">
        <v>3</v>
      </c>
      <c r="X43" s="122">
        <f t="shared" si="8"/>
        <v>3</v>
      </c>
      <c r="Y43" s="123">
        <f t="shared" si="9"/>
        <v>3</v>
      </c>
      <c r="Z43" s="84"/>
      <c r="AA43" s="84"/>
    </row>
    <row r="44" spans="1:27" x14ac:dyDescent="0.25">
      <c r="A44" s="84"/>
      <c r="B44" s="240"/>
      <c r="C44" s="97" t="s">
        <v>53</v>
      </c>
      <c r="D44" s="98">
        <v>31</v>
      </c>
      <c r="E44" s="99">
        <v>21</v>
      </c>
      <c r="F44" s="99">
        <v>25</v>
      </c>
      <c r="G44" s="99">
        <v>15</v>
      </c>
      <c r="H44" s="99">
        <v>13</v>
      </c>
      <c r="I44" s="99">
        <f t="shared" si="2"/>
        <v>28</v>
      </c>
      <c r="J44" s="99">
        <v>8</v>
      </c>
      <c r="K44" s="99">
        <f t="shared" si="3"/>
        <v>23</v>
      </c>
      <c r="L44" s="99">
        <v>26</v>
      </c>
      <c r="M44" s="99">
        <f t="shared" si="4"/>
        <v>-3</v>
      </c>
      <c r="N44" s="100">
        <f t="shared" si="5"/>
        <v>-3</v>
      </c>
      <c r="O44" s="117">
        <v>0</v>
      </c>
      <c r="P44" s="118">
        <v>0</v>
      </c>
      <c r="Q44" s="118">
        <v>0</v>
      </c>
      <c r="R44" s="118">
        <v>0</v>
      </c>
      <c r="S44" s="118">
        <v>1</v>
      </c>
      <c r="T44" s="118">
        <f t="shared" si="6"/>
        <v>1</v>
      </c>
      <c r="U44" s="118">
        <v>0</v>
      </c>
      <c r="V44" s="118">
        <f t="shared" si="7"/>
        <v>0</v>
      </c>
      <c r="W44" s="118">
        <v>0</v>
      </c>
      <c r="X44" s="118">
        <f t="shared" si="8"/>
        <v>-1</v>
      </c>
      <c r="Y44" s="119">
        <f t="shared" si="9"/>
        <v>-1</v>
      </c>
      <c r="Z44" s="84"/>
      <c r="AA44" s="84"/>
    </row>
    <row r="45" spans="1:27" x14ac:dyDescent="0.25">
      <c r="A45" s="84"/>
      <c r="B45" s="240"/>
      <c r="C45" s="97" t="s">
        <v>47</v>
      </c>
      <c r="D45" s="98">
        <v>54</v>
      </c>
      <c r="E45" s="99">
        <v>44</v>
      </c>
      <c r="F45" s="99">
        <v>52</v>
      </c>
      <c r="G45" s="99">
        <v>42</v>
      </c>
      <c r="H45" s="99">
        <v>10</v>
      </c>
      <c r="I45" s="99">
        <f t="shared" si="2"/>
        <v>52</v>
      </c>
      <c r="J45" s="99">
        <v>10</v>
      </c>
      <c r="K45" s="99">
        <f t="shared" si="3"/>
        <v>52</v>
      </c>
      <c r="L45" s="99">
        <v>21</v>
      </c>
      <c r="M45" s="99">
        <f t="shared" si="4"/>
        <v>0</v>
      </c>
      <c r="N45" s="100">
        <f t="shared" si="5"/>
        <v>0</v>
      </c>
      <c r="O45" s="98">
        <v>32</v>
      </c>
      <c r="P45" s="99">
        <v>20</v>
      </c>
      <c r="Q45" s="99">
        <v>28</v>
      </c>
      <c r="R45" s="99">
        <v>17</v>
      </c>
      <c r="S45" s="99">
        <v>11</v>
      </c>
      <c r="T45" s="99">
        <f t="shared" si="6"/>
        <v>28</v>
      </c>
      <c r="U45" s="99">
        <v>6</v>
      </c>
      <c r="V45" s="99">
        <f t="shared" si="7"/>
        <v>23</v>
      </c>
      <c r="W45" s="99">
        <v>2</v>
      </c>
      <c r="X45" s="99">
        <f t="shared" si="8"/>
        <v>0</v>
      </c>
      <c r="Y45" s="100">
        <f t="shared" si="9"/>
        <v>1</v>
      </c>
      <c r="Z45" s="84"/>
      <c r="AA45" s="84"/>
    </row>
    <row r="46" spans="1:27" x14ac:dyDescent="0.25">
      <c r="A46" s="84"/>
      <c r="B46" s="240"/>
      <c r="C46" s="97" t="s">
        <v>55</v>
      </c>
      <c r="D46" s="98">
        <v>34</v>
      </c>
      <c r="E46" s="99">
        <v>0</v>
      </c>
      <c r="F46" s="99">
        <v>34</v>
      </c>
      <c r="G46" s="99">
        <v>0</v>
      </c>
      <c r="H46" s="99">
        <v>24</v>
      </c>
      <c r="I46" s="99">
        <f t="shared" si="2"/>
        <v>24</v>
      </c>
      <c r="J46" s="99">
        <v>20</v>
      </c>
      <c r="K46" s="99">
        <f t="shared" si="3"/>
        <v>20</v>
      </c>
      <c r="L46" s="99">
        <v>4</v>
      </c>
      <c r="M46" s="99">
        <f t="shared" si="4"/>
        <v>10</v>
      </c>
      <c r="N46" s="100">
        <f t="shared" si="5"/>
        <v>10</v>
      </c>
      <c r="O46" s="117">
        <v>0</v>
      </c>
      <c r="P46" s="118">
        <v>0</v>
      </c>
      <c r="Q46" s="118">
        <v>0</v>
      </c>
      <c r="R46" s="118">
        <v>0</v>
      </c>
      <c r="S46" s="118">
        <v>0</v>
      </c>
      <c r="T46" s="118">
        <f t="shared" si="6"/>
        <v>0</v>
      </c>
      <c r="U46" s="118"/>
      <c r="V46" s="118">
        <f t="shared" si="7"/>
        <v>0</v>
      </c>
      <c r="W46" s="118">
        <v>0</v>
      </c>
      <c r="X46" s="118">
        <f t="shared" si="8"/>
        <v>0</v>
      </c>
      <c r="Y46" s="119">
        <f t="shared" si="9"/>
        <v>0</v>
      </c>
      <c r="Z46" s="84"/>
      <c r="AA46" s="84"/>
    </row>
    <row r="47" spans="1:27" x14ac:dyDescent="0.25">
      <c r="A47" s="84"/>
      <c r="B47" s="240"/>
      <c r="C47" s="97" t="s">
        <v>54</v>
      </c>
      <c r="D47" s="98">
        <v>26</v>
      </c>
      <c r="E47" s="99">
        <v>0</v>
      </c>
      <c r="F47" s="99">
        <v>31</v>
      </c>
      <c r="G47" s="99">
        <v>4</v>
      </c>
      <c r="H47" s="99">
        <v>29</v>
      </c>
      <c r="I47" s="99">
        <f t="shared" si="2"/>
        <v>33</v>
      </c>
      <c r="J47" s="99">
        <v>19</v>
      </c>
      <c r="K47" s="99">
        <f t="shared" si="3"/>
        <v>23</v>
      </c>
      <c r="L47" s="99">
        <v>13</v>
      </c>
      <c r="M47" s="99">
        <f t="shared" si="4"/>
        <v>-2</v>
      </c>
      <c r="N47" s="100">
        <f t="shared" si="5"/>
        <v>-3</v>
      </c>
      <c r="O47" s="98">
        <v>36</v>
      </c>
      <c r="P47" s="99">
        <v>11</v>
      </c>
      <c r="Q47" s="99">
        <v>30</v>
      </c>
      <c r="R47" s="99">
        <v>5</v>
      </c>
      <c r="S47" s="99">
        <v>12</v>
      </c>
      <c r="T47" s="99">
        <f t="shared" si="6"/>
        <v>17</v>
      </c>
      <c r="U47" s="99">
        <v>6</v>
      </c>
      <c r="V47" s="99">
        <f t="shared" si="7"/>
        <v>11</v>
      </c>
      <c r="W47" s="99">
        <v>3</v>
      </c>
      <c r="X47" s="99">
        <f t="shared" si="8"/>
        <v>13</v>
      </c>
      <c r="Y47" s="100">
        <f t="shared" si="9"/>
        <v>13</v>
      </c>
      <c r="Z47" s="84"/>
      <c r="AA47" s="84"/>
    </row>
    <row r="48" spans="1:27" x14ac:dyDescent="0.25">
      <c r="A48" s="84"/>
      <c r="B48" s="240"/>
      <c r="C48" s="97" t="s">
        <v>51</v>
      </c>
      <c r="D48" s="98">
        <v>27</v>
      </c>
      <c r="E48" s="99">
        <v>20</v>
      </c>
      <c r="F48" s="99">
        <v>26</v>
      </c>
      <c r="G48" s="99">
        <v>19</v>
      </c>
      <c r="H48" s="99">
        <v>6</v>
      </c>
      <c r="I48" s="99">
        <f t="shared" si="2"/>
        <v>25</v>
      </c>
      <c r="J48" s="99">
        <v>6</v>
      </c>
      <c r="K48" s="99">
        <f t="shared" si="3"/>
        <v>25</v>
      </c>
      <c r="L48" s="99">
        <v>27</v>
      </c>
      <c r="M48" s="99">
        <f t="shared" si="4"/>
        <v>1</v>
      </c>
      <c r="N48" s="100">
        <f t="shared" si="5"/>
        <v>1</v>
      </c>
      <c r="O48" s="98">
        <v>32</v>
      </c>
      <c r="P48" s="99">
        <v>0</v>
      </c>
      <c r="Q48" s="99">
        <v>32</v>
      </c>
      <c r="R48" s="99">
        <v>0</v>
      </c>
      <c r="S48" s="99">
        <v>20</v>
      </c>
      <c r="T48" s="99">
        <f t="shared" si="6"/>
        <v>20</v>
      </c>
      <c r="U48" s="99">
        <v>14</v>
      </c>
      <c r="V48" s="99">
        <f t="shared" si="7"/>
        <v>14</v>
      </c>
      <c r="W48" s="99">
        <v>3</v>
      </c>
      <c r="X48" s="99">
        <f t="shared" si="8"/>
        <v>12</v>
      </c>
      <c r="Y48" s="100">
        <f t="shared" si="9"/>
        <v>12</v>
      </c>
      <c r="Z48" s="84"/>
      <c r="AA48" s="84"/>
    </row>
    <row r="49" spans="1:27" x14ac:dyDescent="0.25">
      <c r="A49" s="84"/>
      <c r="B49" s="241"/>
      <c r="C49" s="101" t="s">
        <v>45</v>
      </c>
      <c r="D49" s="102">
        <v>15</v>
      </c>
      <c r="E49" s="103">
        <v>0</v>
      </c>
      <c r="F49" s="103">
        <v>60</v>
      </c>
      <c r="G49" s="103">
        <v>46</v>
      </c>
      <c r="H49" s="103">
        <v>15</v>
      </c>
      <c r="I49" s="103">
        <f t="shared" si="2"/>
        <v>61</v>
      </c>
      <c r="J49" s="103">
        <v>14</v>
      </c>
      <c r="K49" s="103">
        <f t="shared" si="3"/>
        <v>60</v>
      </c>
      <c r="L49" s="103">
        <v>29</v>
      </c>
      <c r="M49" s="103">
        <f t="shared" si="4"/>
        <v>-1</v>
      </c>
      <c r="N49" s="104">
        <f t="shared" si="5"/>
        <v>0</v>
      </c>
      <c r="O49" s="125">
        <v>53</v>
      </c>
      <c r="P49" s="126">
        <v>0</v>
      </c>
      <c r="Q49" s="126">
        <v>64</v>
      </c>
      <c r="R49" s="126">
        <v>11</v>
      </c>
      <c r="S49" s="126">
        <v>42</v>
      </c>
      <c r="T49" s="126">
        <f t="shared" si="6"/>
        <v>53</v>
      </c>
      <c r="U49" s="126">
        <v>36</v>
      </c>
      <c r="V49" s="126">
        <f t="shared" si="7"/>
        <v>47</v>
      </c>
      <c r="W49" s="126">
        <v>2</v>
      </c>
      <c r="X49" s="126">
        <f t="shared" si="8"/>
        <v>11</v>
      </c>
      <c r="Y49" s="127">
        <f t="shared" si="9"/>
        <v>11</v>
      </c>
      <c r="Z49" s="84"/>
      <c r="AA49" s="84"/>
    </row>
    <row r="50" spans="1:27" x14ac:dyDescent="0.25">
      <c r="A50" s="84"/>
      <c r="B50" s="239" t="s">
        <v>91</v>
      </c>
      <c r="C50" s="93" t="s">
        <v>40</v>
      </c>
      <c r="D50" s="94">
        <v>32</v>
      </c>
      <c r="E50" s="95">
        <v>0</v>
      </c>
      <c r="F50" s="95">
        <v>32</v>
      </c>
      <c r="G50" s="95">
        <v>0</v>
      </c>
      <c r="H50" s="95">
        <v>13</v>
      </c>
      <c r="I50" s="95">
        <f t="shared" si="2"/>
        <v>13</v>
      </c>
      <c r="J50" s="95">
        <v>7</v>
      </c>
      <c r="K50" s="95">
        <f t="shared" si="3"/>
        <v>7</v>
      </c>
      <c r="L50" s="95">
        <v>1</v>
      </c>
      <c r="M50" s="95">
        <f t="shared" si="4"/>
        <v>19</v>
      </c>
      <c r="N50" s="96">
        <f t="shared" si="5"/>
        <v>19</v>
      </c>
      <c r="O50" s="94">
        <v>34</v>
      </c>
      <c r="P50" s="95">
        <v>0</v>
      </c>
      <c r="Q50" s="95">
        <v>34</v>
      </c>
      <c r="R50" s="95">
        <v>0</v>
      </c>
      <c r="S50" s="95">
        <v>13</v>
      </c>
      <c r="T50" s="95">
        <f t="shared" si="6"/>
        <v>13</v>
      </c>
      <c r="U50" s="95">
        <v>2</v>
      </c>
      <c r="V50" s="95">
        <f t="shared" si="7"/>
        <v>2</v>
      </c>
      <c r="W50" s="95">
        <v>1</v>
      </c>
      <c r="X50" s="95">
        <f t="shared" si="8"/>
        <v>21</v>
      </c>
      <c r="Y50" s="96">
        <f t="shared" si="9"/>
        <v>21</v>
      </c>
      <c r="Z50" s="84"/>
      <c r="AA50" s="84"/>
    </row>
    <row r="51" spans="1:27" x14ac:dyDescent="0.25">
      <c r="A51" s="84"/>
      <c r="B51" s="240"/>
      <c r="C51" s="97" t="s">
        <v>52</v>
      </c>
      <c r="D51" s="98">
        <v>29</v>
      </c>
      <c r="E51" s="99">
        <v>0</v>
      </c>
      <c r="F51" s="99">
        <v>32</v>
      </c>
      <c r="G51" s="99">
        <v>4</v>
      </c>
      <c r="H51" s="99">
        <v>28</v>
      </c>
      <c r="I51" s="99">
        <f t="shared" si="2"/>
        <v>32</v>
      </c>
      <c r="J51" s="99">
        <v>19</v>
      </c>
      <c r="K51" s="99">
        <f t="shared" si="3"/>
        <v>23</v>
      </c>
      <c r="L51" s="99">
        <v>8</v>
      </c>
      <c r="M51" s="99">
        <f t="shared" si="4"/>
        <v>0</v>
      </c>
      <c r="N51" s="100">
        <f t="shared" si="5"/>
        <v>1</v>
      </c>
      <c r="O51" s="117">
        <v>0</v>
      </c>
      <c r="P51" s="118">
        <v>0</v>
      </c>
      <c r="Q51" s="118">
        <v>0</v>
      </c>
      <c r="R51" s="118">
        <v>0</v>
      </c>
      <c r="S51" s="118">
        <v>0</v>
      </c>
      <c r="T51" s="118">
        <f t="shared" si="6"/>
        <v>0</v>
      </c>
      <c r="U51" s="118">
        <v>0</v>
      </c>
      <c r="V51" s="118">
        <f t="shared" si="7"/>
        <v>0</v>
      </c>
      <c r="W51" s="118">
        <v>0</v>
      </c>
      <c r="X51" s="118">
        <f t="shared" si="8"/>
        <v>0</v>
      </c>
      <c r="Y51" s="119">
        <f t="shared" si="9"/>
        <v>0</v>
      </c>
      <c r="Z51" s="84"/>
      <c r="AA51" s="84"/>
    </row>
    <row r="52" spans="1:27" x14ac:dyDescent="0.25">
      <c r="A52" s="84"/>
      <c r="B52" s="240"/>
      <c r="C52" s="97" t="s">
        <v>66</v>
      </c>
      <c r="D52" s="98">
        <v>32</v>
      </c>
      <c r="E52" s="99">
        <v>25</v>
      </c>
      <c r="F52" s="99">
        <v>30</v>
      </c>
      <c r="G52" s="99">
        <v>22</v>
      </c>
      <c r="H52" s="99">
        <v>9</v>
      </c>
      <c r="I52" s="99">
        <f t="shared" si="2"/>
        <v>31</v>
      </c>
      <c r="J52" s="99">
        <v>2</v>
      </c>
      <c r="K52" s="99">
        <f t="shared" si="3"/>
        <v>24</v>
      </c>
      <c r="L52" s="99">
        <v>35</v>
      </c>
      <c r="M52" s="99">
        <f t="shared" si="4"/>
        <v>-1</v>
      </c>
      <c r="N52" s="100">
        <f t="shared" si="5"/>
        <v>-2</v>
      </c>
      <c r="O52" s="98">
        <v>30</v>
      </c>
      <c r="P52" s="99">
        <v>0</v>
      </c>
      <c r="Q52" s="99">
        <v>32</v>
      </c>
      <c r="R52" s="99">
        <v>2</v>
      </c>
      <c r="S52" s="99">
        <v>21</v>
      </c>
      <c r="T52" s="99">
        <f t="shared" si="6"/>
        <v>23</v>
      </c>
      <c r="U52" s="99">
        <v>9</v>
      </c>
      <c r="V52" s="99">
        <f t="shared" si="7"/>
        <v>11</v>
      </c>
      <c r="W52" s="99">
        <v>0</v>
      </c>
      <c r="X52" s="99">
        <f t="shared" si="8"/>
        <v>9</v>
      </c>
      <c r="Y52" s="100">
        <f t="shared" si="9"/>
        <v>9</v>
      </c>
      <c r="Z52" s="84"/>
      <c r="AA52" s="84"/>
    </row>
    <row r="53" spans="1:27" x14ac:dyDescent="0.25">
      <c r="A53" s="84"/>
      <c r="B53" s="240"/>
      <c r="C53" s="97" t="s">
        <v>41</v>
      </c>
      <c r="D53" s="98">
        <v>29</v>
      </c>
      <c r="E53" s="99">
        <v>0</v>
      </c>
      <c r="F53" s="99">
        <v>32</v>
      </c>
      <c r="G53" s="99">
        <v>3</v>
      </c>
      <c r="H53" s="99">
        <v>25</v>
      </c>
      <c r="I53" s="99">
        <f t="shared" si="2"/>
        <v>28</v>
      </c>
      <c r="J53" s="99">
        <v>14</v>
      </c>
      <c r="K53" s="99">
        <f t="shared" si="3"/>
        <v>17</v>
      </c>
      <c r="L53" s="99">
        <v>1</v>
      </c>
      <c r="M53" s="99">
        <f t="shared" si="4"/>
        <v>4</v>
      </c>
      <c r="N53" s="100">
        <f t="shared" si="5"/>
        <v>4</v>
      </c>
      <c r="O53" s="98">
        <v>34</v>
      </c>
      <c r="P53" s="99">
        <v>0</v>
      </c>
      <c r="Q53" s="99">
        <v>34</v>
      </c>
      <c r="R53" s="99">
        <v>0</v>
      </c>
      <c r="S53" s="99">
        <v>8</v>
      </c>
      <c r="T53" s="99">
        <f t="shared" si="6"/>
        <v>8</v>
      </c>
      <c r="U53" s="99">
        <v>2</v>
      </c>
      <c r="V53" s="99">
        <f t="shared" si="7"/>
        <v>2</v>
      </c>
      <c r="W53" s="99">
        <v>2</v>
      </c>
      <c r="X53" s="99">
        <f t="shared" si="8"/>
        <v>26</v>
      </c>
      <c r="Y53" s="100">
        <f t="shared" si="9"/>
        <v>26</v>
      </c>
      <c r="Z53" s="84"/>
      <c r="AA53" s="84"/>
    </row>
    <row r="54" spans="1:27" x14ac:dyDescent="0.25">
      <c r="A54" s="84"/>
      <c r="B54" s="240"/>
      <c r="C54" s="97" t="s">
        <v>58</v>
      </c>
      <c r="D54" s="98">
        <v>37</v>
      </c>
      <c r="E54" s="99">
        <v>30</v>
      </c>
      <c r="F54" s="99">
        <v>30</v>
      </c>
      <c r="G54" s="99">
        <v>29</v>
      </c>
      <c r="H54" s="99">
        <v>7</v>
      </c>
      <c r="I54" s="99">
        <f t="shared" si="2"/>
        <v>36</v>
      </c>
      <c r="J54" s="99">
        <v>7</v>
      </c>
      <c r="K54" s="99">
        <f t="shared" si="3"/>
        <v>36</v>
      </c>
      <c r="L54" s="99">
        <v>58</v>
      </c>
      <c r="M54" s="99">
        <f t="shared" si="4"/>
        <v>-6</v>
      </c>
      <c r="N54" s="100">
        <f t="shared" si="5"/>
        <v>0</v>
      </c>
      <c r="O54" s="98">
        <v>32</v>
      </c>
      <c r="P54" s="99">
        <v>0</v>
      </c>
      <c r="Q54" s="99">
        <v>32</v>
      </c>
      <c r="R54" s="99">
        <v>0</v>
      </c>
      <c r="S54" s="99">
        <v>31</v>
      </c>
      <c r="T54" s="99">
        <f t="shared" si="6"/>
        <v>31</v>
      </c>
      <c r="U54" s="99">
        <v>19</v>
      </c>
      <c r="V54" s="99">
        <f t="shared" si="7"/>
        <v>19</v>
      </c>
      <c r="W54" s="99">
        <v>3</v>
      </c>
      <c r="X54" s="99">
        <f t="shared" si="8"/>
        <v>1</v>
      </c>
      <c r="Y54" s="100">
        <f t="shared" si="9"/>
        <v>1</v>
      </c>
      <c r="Z54" s="84"/>
      <c r="AA54" s="84"/>
    </row>
    <row r="55" spans="1:27" x14ac:dyDescent="0.25">
      <c r="A55" s="84"/>
      <c r="B55" s="240"/>
      <c r="C55" s="97" t="s">
        <v>57</v>
      </c>
      <c r="D55" s="98">
        <v>34</v>
      </c>
      <c r="E55" s="99">
        <v>0</v>
      </c>
      <c r="F55" s="99">
        <v>34</v>
      </c>
      <c r="G55" s="99">
        <v>0</v>
      </c>
      <c r="H55" s="99">
        <v>33</v>
      </c>
      <c r="I55" s="99">
        <f t="shared" si="2"/>
        <v>33</v>
      </c>
      <c r="J55" s="99">
        <v>27</v>
      </c>
      <c r="K55" s="99">
        <f t="shared" si="3"/>
        <v>27</v>
      </c>
      <c r="L55" s="99">
        <v>7</v>
      </c>
      <c r="M55" s="99">
        <f t="shared" si="4"/>
        <v>1</v>
      </c>
      <c r="N55" s="100">
        <f t="shared" si="5"/>
        <v>1</v>
      </c>
      <c r="O55" s="98">
        <v>34</v>
      </c>
      <c r="P55" s="99">
        <v>0</v>
      </c>
      <c r="Q55" s="99">
        <v>34</v>
      </c>
      <c r="R55" s="99">
        <v>0</v>
      </c>
      <c r="S55" s="99">
        <v>15</v>
      </c>
      <c r="T55" s="99">
        <f t="shared" si="6"/>
        <v>15</v>
      </c>
      <c r="U55" s="99">
        <v>9</v>
      </c>
      <c r="V55" s="99">
        <f t="shared" si="7"/>
        <v>9</v>
      </c>
      <c r="W55" s="99">
        <v>1</v>
      </c>
      <c r="X55" s="99">
        <f t="shared" si="8"/>
        <v>19</v>
      </c>
      <c r="Y55" s="100">
        <f t="shared" si="9"/>
        <v>19</v>
      </c>
      <c r="Z55" s="84"/>
      <c r="AA55" s="84"/>
    </row>
    <row r="56" spans="1:27" x14ac:dyDescent="0.25">
      <c r="A56" s="84"/>
      <c r="B56" s="240"/>
      <c r="C56" s="97" t="s">
        <v>46</v>
      </c>
      <c r="D56" s="98">
        <v>34</v>
      </c>
      <c r="E56" s="99">
        <v>0</v>
      </c>
      <c r="F56" s="99">
        <v>34</v>
      </c>
      <c r="G56" s="99">
        <v>0</v>
      </c>
      <c r="H56" s="99">
        <v>35</v>
      </c>
      <c r="I56" s="99">
        <f>+G56+H56</f>
        <v>35</v>
      </c>
      <c r="J56" s="99">
        <v>25</v>
      </c>
      <c r="K56" s="99">
        <f t="shared" si="3"/>
        <v>25</v>
      </c>
      <c r="L56" s="99">
        <v>8</v>
      </c>
      <c r="M56" s="99">
        <f t="shared" si="4"/>
        <v>-1</v>
      </c>
      <c r="N56" s="100">
        <f t="shared" si="5"/>
        <v>-1</v>
      </c>
      <c r="O56" s="121">
        <v>65</v>
      </c>
      <c r="P56" s="122">
        <v>0</v>
      </c>
      <c r="Q56" s="122">
        <v>68</v>
      </c>
      <c r="R56" s="122">
        <v>2</v>
      </c>
      <c r="S56" s="122">
        <v>42</v>
      </c>
      <c r="T56" s="122">
        <f t="shared" si="6"/>
        <v>44</v>
      </c>
      <c r="U56" s="122">
        <v>28</v>
      </c>
      <c r="V56" s="122">
        <f t="shared" si="7"/>
        <v>30</v>
      </c>
      <c r="W56" s="122">
        <v>5</v>
      </c>
      <c r="X56" s="122">
        <f t="shared" si="8"/>
        <v>24</v>
      </c>
      <c r="Y56" s="123">
        <f t="shared" si="9"/>
        <v>23</v>
      </c>
      <c r="Z56" s="84"/>
      <c r="AA56" s="84"/>
    </row>
    <row r="57" spans="1:27" x14ac:dyDescent="0.25">
      <c r="A57" s="84"/>
      <c r="B57" s="240"/>
      <c r="C57" s="97" t="s">
        <v>53</v>
      </c>
      <c r="D57" s="98">
        <v>28</v>
      </c>
      <c r="E57" s="99">
        <v>0</v>
      </c>
      <c r="F57" s="99">
        <v>34</v>
      </c>
      <c r="G57" s="99">
        <v>6</v>
      </c>
      <c r="H57" s="99">
        <v>26</v>
      </c>
      <c r="I57" s="99">
        <f t="shared" si="2"/>
        <v>32</v>
      </c>
      <c r="J57" s="99">
        <v>18</v>
      </c>
      <c r="K57" s="99">
        <f t="shared" si="3"/>
        <v>24</v>
      </c>
      <c r="L57" s="99">
        <v>5</v>
      </c>
      <c r="M57" s="99">
        <f t="shared" si="4"/>
        <v>2</v>
      </c>
      <c r="N57" s="100">
        <f t="shared" si="5"/>
        <v>2</v>
      </c>
      <c r="O57" s="117">
        <v>0</v>
      </c>
      <c r="P57" s="118">
        <v>0</v>
      </c>
      <c r="Q57" s="118">
        <v>0</v>
      </c>
      <c r="R57" s="118">
        <v>0</v>
      </c>
      <c r="S57" s="118">
        <v>0</v>
      </c>
      <c r="T57" s="118">
        <f t="shared" si="6"/>
        <v>0</v>
      </c>
      <c r="U57" s="118"/>
      <c r="V57" s="118">
        <f t="shared" si="7"/>
        <v>0</v>
      </c>
      <c r="W57" s="118">
        <v>0</v>
      </c>
      <c r="X57" s="118">
        <f t="shared" si="8"/>
        <v>0</v>
      </c>
      <c r="Y57" s="119">
        <f t="shared" si="9"/>
        <v>0</v>
      </c>
      <c r="Z57" s="84"/>
      <c r="AA57" s="84"/>
    </row>
    <row r="58" spans="1:27" x14ac:dyDescent="0.25">
      <c r="A58" s="84"/>
      <c r="B58" s="240"/>
      <c r="C58" s="97" t="s">
        <v>47</v>
      </c>
      <c r="D58" s="98">
        <v>22</v>
      </c>
      <c r="E58" s="99">
        <v>0</v>
      </c>
      <c r="F58" s="99">
        <v>34</v>
      </c>
      <c r="G58" s="99">
        <v>13</v>
      </c>
      <c r="H58" s="99">
        <v>21</v>
      </c>
      <c r="I58" s="99">
        <f t="shared" si="2"/>
        <v>34</v>
      </c>
      <c r="J58" s="99">
        <v>10</v>
      </c>
      <c r="K58" s="99">
        <f t="shared" si="3"/>
        <v>23</v>
      </c>
      <c r="L58" s="99">
        <v>5</v>
      </c>
      <c r="M58" s="99">
        <f t="shared" si="4"/>
        <v>0</v>
      </c>
      <c r="N58" s="100">
        <f t="shared" si="5"/>
        <v>1</v>
      </c>
      <c r="O58" s="120">
        <v>33</v>
      </c>
      <c r="P58" s="99">
        <v>0</v>
      </c>
      <c r="Q58" s="99">
        <v>34</v>
      </c>
      <c r="R58" s="99">
        <v>0</v>
      </c>
      <c r="S58" s="99">
        <v>13</v>
      </c>
      <c r="T58" s="99">
        <f t="shared" si="6"/>
        <v>13</v>
      </c>
      <c r="U58" s="99">
        <v>5</v>
      </c>
      <c r="V58" s="99">
        <f t="shared" si="7"/>
        <v>5</v>
      </c>
      <c r="W58" s="99">
        <v>2</v>
      </c>
      <c r="X58" s="99">
        <f t="shared" si="8"/>
        <v>21</v>
      </c>
      <c r="Y58" s="100">
        <f t="shared" si="9"/>
        <v>20</v>
      </c>
      <c r="Z58" s="84"/>
      <c r="AA58" s="84"/>
    </row>
    <row r="59" spans="1:27" x14ac:dyDescent="0.25">
      <c r="A59" s="84"/>
      <c r="B59" s="240"/>
      <c r="C59" s="97" t="s">
        <v>55</v>
      </c>
      <c r="D59" s="98">
        <v>34</v>
      </c>
      <c r="E59" s="99">
        <v>0</v>
      </c>
      <c r="F59" s="99">
        <v>34</v>
      </c>
      <c r="G59" s="99">
        <v>0</v>
      </c>
      <c r="H59" s="99">
        <v>21</v>
      </c>
      <c r="I59" s="99">
        <f t="shared" si="2"/>
        <v>21</v>
      </c>
      <c r="J59" s="99">
        <v>10</v>
      </c>
      <c r="K59" s="99">
        <f t="shared" si="3"/>
        <v>10</v>
      </c>
      <c r="L59" s="99">
        <v>9</v>
      </c>
      <c r="M59" s="99">
        <f t="shared" si="4"/>
        <v>13</v>
      </c>
      <c r="N59" s="100">
        <f t="shared" si="5"/>
        <v>13</v>
      </c>
      <c r="O59" s="117">
        <v>0</v>
      </c>
      <c r="P59" s="118">
        <v>0</v>
      </c>
      <c r="Q59" s="118">
        <v>0</v>
      </c>
      <c r="R59" s="118">
        <v>0</v>
      </c>
      <c r="S59" s="118">
        <v>0</v>
      </c>
      <c r="T59" s="118">
        <f t="shared" si="6"/>
        <v>0</v>
      </c>
      <c r="U59" s="118">
        <v>0</v>
      </c>
      <c r="V59" s="118">
        <f t="shared" si="7"/>
        <v>0</v>
      </c>
      <c r="W59" s="118">
        <v>0</v>
      </c>
      <c r="X59" s="118">
        <f t="shared" si="8"/>
        <v>0</v>
      </c>
      <c r="Y59" s="119">
        <f t="shared" si="9"/>
        <v>0</v>
      </c>
      <c r="Z59" s="84"/>
      <c r="AA59" s="84"/>
    </row>
    <row r="60" spans="1:27" x14ac:dyDescent="0.25">
      <c r="A60" s="84"/>
      <c r="B60" s="240"/>
      <c r="C60" s="97" t="s">
        <v>54</v>
      </c>
      <c r="D60" s="98">
        <v>30</v>
      </c>
      <c r="E60" s="99">
        <v>0</v>
      </c>
      <c r="F60" s="99">
        <v>34</v>
      </c>
      <c r="G60" s="99">
        <v>3</v>
      </c>
      <c r="H60" s="99">
        <v>30</v>
      </c>
      <c r="I60" s="99">
        <f t="shared" si="2"/>
        <v>33</v>
      </c>
      <c r="J60" s="99">
        <v>20</v>
      </c>
      <c r="K60" s="99">
        <f t="shared" si="3"/>
        <v>23</v>
      </c>
      <c r="L60" s="99">
        <v>14</v>
      </c>
      <c r="M60" s="99">
        <f t="shared" si="4"/>
        <v>1</v>
      </c>
      <c r="N60" s="100">
        <f t="shared" si="5"/>
        <v>0</v>
      </c>
      <c r="O60" s="98">
        <v>34</v>
      </c>
      <c r="P60" s="99">
        <v>0</v>
      </c>
      <c r="Q60" s="99">
        <v>34</v>
      </c>
      <c r="R60" s="99">
        <v>0</v>
      </c>
      <c r="S60" s="99">
        <v>10</v>
      </c>
      <c r="T60" s="99">
        <f t="shared" si="6"/>
        <v>10</v>
      </c>
      <c r="U60" s="99">
        <v>4</v>
      </c>
      <c r="V60" s="99">
        <f t="shared" si="7"/>
        <v>4</v>
      </c>
      <c r="W60" s="99">
        <v>5</v>
      </c>
      <c r="X60" s="99">
        <f t="shared" si="8"/>
        <v>24</v>
      </c>
      <c r="Y60" s="100">
        <f t="shared" si="9"/>
        <v>24</v>
      </c>
      <c r="Z60" s="84"/>
      <c r="AA60" s="84"/>
    </row>
    <row r="61" spans="1:27" x14ac:dyDescent="0.25">
      <c r="A61" s="84"/>
      <c r="B61" s="240"/>
      <c r="C61" s="97" t="s">
        <v>51</v>
      </c>
      <c r="D61" s="98">
        <v>32</v>
      </c>
      <c r="E61" s="99">
        <v>0</v>
      </c>
      <c r="F61" s="99">
        <v>34</v>
      </c>
      <c r="G61" s="99">
        <v>2</v>
      </c>
      <c r="H61" s="99">
        <v>26</v>
      </c>
      <c r="I61" s="99">
        <f t="shared" si="2"/>
        <v>28</v>
      </c>
      <c r="J61" s="99">
        <v>17</v>
      </c>
      <c r="K61" s="99">
        <f t="shared" si="3"/>
        <v>19</v>
      </c>
      <c r="L61" s="99">
        <v>8</v>
      </c>
      <c r="M61" s="99">
        <f t="shared" si="4"/>
        <v>6</v>
      </c>
      <c r="N61" s="100">
        <f t="shared" si="5"/>
        <v>6</v>
      </c>
      <c r="O61" s="117">
        <v>0</v>
      </c>
      <c r="P61" s="118">
        <v>0</v>
      </c>
      <c r="Q61" s="118">
        <v>0</v>
      </c>
      <c r="R61" s="118">
        <v>0</v>
      </c>
      <c r="S61" s="118">
        <v>0</v>
      </c>
      <c r="T61" s="118">
        <f t="shared" si="6"/>
        <v>0</v>
      </c>
      <c r="U61" s="118">
        <v>0</v>
      </c>
      <c r="V61" s="118">
        <f t="shared" si="7"/>
        <v>0</v>
      </c>
      <c r="W61" s="118">
        <v>0</v>
      </c>
      <c r="X61" s="118">
        <f t="shared" si="8"/>
        <v>0</v>
      </c>
      <c r="Y61" s="119">
        <f t="shared" si="9"/>
        <v>0</v>
      </c>
      <c r="Z61" s="84"/>
      <c r="AA61" s="84"/>
    </row>
    <row r="62" spans="1:27" x14ac:dyDescent="0.25">
      <c r="A62" s="84"/>
      <c r="B62" s="241"/>
      <c r="C62" s="101" t="s">
        <v>45</v>
      </c>
      <c r="D62" s="102">
        <v>31</v>
      </c>
      <c r="E62" s="103">
        <v>0</v>
      </c>
      <c r="F62" s="103">
        <v>34</v>
      </c>
      <c r="G62" s="103">
        <v>3</v>
      </c>
      <c r="H62" s="103">
        <v>30</v>
      </c>
      <c r="I62" s="103">
        <f t="shared" si="2"/>
        <v>33</v>
      </c>
      <c r="J62" s="103">
        <v>18</v>
      </c>
      <c r="K62" s="103">
        <f t="shared" si="3"/>
        <v>21</v>
      </c>
      <c r="L62" s="103">
        <v>4</v>
      </c>
      <c r="M62" s="103">
        <f t="shared" si="4"/>
        <v>1</v>
      </c>
      <c r="N62" s="104">
        <f t="shared" si="5"/>
        <v>1</v>
      </c>
      <c r="O62" s="128">
        <v>31</v>
      </c>
      <c r="P62" s="103">
        <v>0</v>
      </c>
      <c r="Q62" s="103">
        <v>34</v>
      </c>
      <c r="R62" s="103">
        <v>3</v>
      </c>
      <c r="S62" s="103">
        <v>23</v>
      </c>
      <c r="T62" s="103">
        <f t="shared" si="6"/>
        <v>26</v>
      </c>
      <c r="U62" s="103">
        <v>11</v>
      </c>
      <c r="V62" s="103">
        <f t="shared" si="7"/>
        <v>14</v>
      </c>
      <c r="W62" s="103">
        <v>2</v>
      </c>
      <c r="X62" s="103">
        <f t="shared" si="8"/>
        <v>8</v>
      </c>
      <c r="Y62" s="104">
        <f t="shared" si="9"/>
        <v>8</v>
      </c>
      <c r="Z62" s="84"/>
      <c r="AA62" s="84"/>
    </row>
    <row r="63" spans="1:27" x14ac:dyDescent="0.25">
      <c r="A63" s="84"/>
      <c r="B63" s="239" t="s">
        <v>69</v>
      </c>
      <c r="C63" s="93" t="s">
        <v>58</v>
      </c>
      <c r="D63" s="94">
        <v>50</v>
      </c>
      <c r="E63" s="95">
        <v>0</v>
      </c>
      <c r="F63" s="95">
        <v>50</v>
      </c>
      <c r="G63" s="95">
        <v>0</v>
      </c>
      <c r="H63" s="95">
        <v>12</v>
      </c>
      <c r="I63" s="95">
        <f t="shared" si="2"/>
        <v>12</v>
      </c>
      <c r="J63" s="95">
        <v>5</v>
      </c>
      <c r="K63" s="95">
        <f t="shared" si="3"/>
        <v>5</v>
      </c>
      <c r="L63" s="95">
        <v>0</v>
      </c>
      <c r="M63" s="95">
        <f t="shared" si="4"/>
        <v>38</v>
      </c>
      <c r="N63" s="96">
        <f t="shared" si="5"/>
        <v>38</v>
      </c>
      <c r="O63" s="129">
        <v>50</v>
      </c>
      <c r="P63" s="95">
        <v>0</v>
      </c>
      <c r="Q63" s="95">
        <v>50</v>
      </c>
      <c r="R63" s="95">
        <v>0</v>
      </c>
      <c r="S63" s="95">
        <v>0</v>
      </c>
      <c r="T63" s="95">
        <f t="shared" si="6"/>
        <v>0</v>
      </c>
      <c r="U63" s="95">
        <v>0</v>
      </c>
      <c r="V63" s="95">
        <f t="shared" si="7"/>
        <v>0</v>
      </c>
      <c r="W63" s="95">
        <v>0</v>
      </c>
      <c r="X63" s="95">
        <f t="shared" si="8"/>
        <v>50</v>
      </c>
      <c r="Y63" s="96">
        <f t="shared" si="9"/>
        <v>50</v>
      </c>
      <c r="Z63" s="84"/>
      <c r="AA63" s="84"/>
    </row>
    <row r="64" spans="1:27" x14ac:dyDescent="0.25">
      <c r="A64" s="84"/>
      <c r="B64" s="241"/>
      <c r="C64" s="101" t="s">
        <v>66</v>
      </c>
      <c r="D64" s="102">
        <v>25</v>
      </c>
      <c r="E64" s="103">
        <v>0</v>
      </c>
      <c r="F64" s="103">
        <v>25</v>
      </c>
      <c r="G64" s="103">
        <v>0</v>
      </c>
      <c r="H64" s="103">
        <v>14</v>
      </c>
      <c r="I64" s="103">
        <f t="shared" si="2"/>
        <v>14</v>
      </c>
      <c r="J64" s="103">
        <v>11</v>
      </c>
      <c r="K64" s="103">
        <f t="shared" si="3"/>
        <v>11</v>
      </c>
      <c r="L64" s="103">
        <v>0</v>
      </c>
      <c r="M64" s="103">
        <f t="shared" si="4"/>
        <v>11</v>
      </c>
      <c r="N64" s="104">
        <f t="shared" si="5"/>
        <v>11</v>
      </c>
      <c r="O64" s="128">
        <v>25</v>
      </c>
      <c r="P64" s="103">
        <v>0</v>
      </c>
      <c r="Q64" s="103">
        <v>25</v>
      </c>
      <c r="R64" s="103">
        <v>0</v>
      </c>
      <c r="S64" s="103">
        <v>0</v>
      </c>
      <c r="T64" s="103">
        <f t="shared" si="6"/>
        <v>0</v>
      </c>
      <c r="U64" s="103">
        <v>0</v>
      </c>
      <c r="V64" s="103">
        <f t="shared" si="7"/>
        <v>0</v>
      </c>
      <c r="W64" s="103">
        <v>0</v>
      </c>
      <c r="X64" s="103">
        <f t="shared" si="8"/>
        <v>25</v>
      </c>
      <c r="Y64" s="104">
        <f t="shared" si="9"/>
        <v>25</v>
      </c>
      <c r="Z64" s="84"/>
      <c r="AA64" s="84"/>
    </row>
    <row r="65" spans="1:27" x14ac:dyDescent="0.25">
      <c r="A65" s="84"/>
      <c r="B65" s="239" t="s">
        <v>138</v>
      </c>
      <c r="C65" s="93" t="s">
        <v>52</v>
      </c>
      <c r="D65" s="94">
        <v>29</v>
      </c>
      <c r="E65" s="95">
        <v>22</v>
      </c>
      <c r="F65" s="95">
        <v>30</v>
      </c>
      <c r="G65" s="95">
        <v>24</v>
      </c>
      <c r="H65" s="95">
        <v>7</v>
      </c>
      <c r="I65" s="95">
        <f t="shared" si="2"/>
        <v>31</v>
      </c>
      <c r="J65" s="95">
        <v>8</v>
      </c>
      <c r="K65" s="95">
        <f t="shared" si="3"/>
        <v>32</v>
      </c>
      <c r="L65" s="95">
        <v>27</v>
      </c>
      <c r="M65" s="95">
        <f t="shared" si="4"/>
        <v>-1</v>
      </c>
      <c r="N65" s="96">
        <f t="shared" si="5"/>
        <v>0</v>
      </c>
      <c r="O65" s="94">
        <v>27</v>
      </c>
      <c r="P65" s="95">
        <v>10</v>
      </c>
      <c r="Q65" s="95">
        <v>25</v>
      </c>
      <c r="R65" s="95">
        <v>8</v>
      </c>
      <c r="S65" s="95">
        <v>13</v>
      </c>
      <c r="T65" s="95">
        <f t="shared" si="6"/>
        <v>21</v>
      </c>
      <c r="U65" s="95">
        <v>8</v>
      </c>
      <c r="V65" s="95">
        <f t="shared" si="7"/>
        <v>16</v>
      </c>
      <c r="W65" s="95">
        <v>4</v>
      </c>
      <c r="X65" s="95">
        <f t="shared" si="8"/>
        <v>4</v>
      </c>
      <c r="Y65" s="96">
        <f t="shared" si="9"/>
        <v>4</v>
      </c>
      <c r="Z65" s="84"/>
      <c r="AA65" s="84"/>
    </row>
    <row r="66" spans="1:27" x14ac:dyDescent="0.25">
      <c r="A66" s="84"/>
      <c r="B66" s="240"/>
      <c r="C66" s="97" t="s">
        <v>57</v>
      </c>
      <c r="D66" s="98">
        <v>34</v>
      </c>
      <c r="E66" s="99">
        <v>0</v>
      </c>
      <c r="F66" s="99">
        <v>34</v>
      </c>
      <c r="G66" s="99">
        <v>0</v>
      </c>
      <c r="H66" s="99">
        <v>31</v>
      </c>
      <c r="I66" s="99">
        <f t="shared" si="2"/>
        <v>31</v>
      </c>
      <c r="J66" s="99">
        <v>20</v>
      </c>
      <c r="K66" s="99">
        <f t="shared" si="3"/>
        <v>20</v>
      </c>
      <c r="L66" s="99">
        <v>7</v>
      </c>
      <c r="M66" s="99">
        <f t="shared" si="4"/>
        <v>3</v>
      </c>
      <c r="N66" s="100">
        <f t="shared" si="5"/>
        <v>3</v>
      </c>
      <c r="O66" s="117">
        <v>0</v>
      </c>
      <c r="P66" s="118">
        <v>0</v>
      </c>
      <c r="Q66" s="118">
        <v>0</v>
      </c>
      <c r="R66" s="118">
        <v>0</v>
      </c>
      <c r="S66" s="118">
        <v>0</v>
      </c>
      <c r="T66" s="118">
        <f t="shared" si="6"/>
        <v>0</v>
      </c>
      <c r="U66" s="118">
        <v>0</v>
      </c>
      <c r="V66" s="118">
        <f t="shared" si="7"/>
        <v>0</v>
      </c>
      <c r="W66" s="118">
        <v>0</v>
      </c>
      <c r="X66" s="118">
        <f t="shared" si="8"/>
        <v>0</v>
      </c>
      <c r="Y66" s="119">
        <f t="shared" si="9"/>
        <v>0</v>
      </c>
      <c r="Z66" s="84"/>
      <c r="AA66" s="84"/>
    </row>
    <row r="67" spans="1:27" x14ac:dyDescent="0.25">
      <c r="A67" s="84"/>
      <c r="B67" s="240"/>
      <c r="C67" s="97" t="s">
        <v>46</v>
      </c>
      <c r="D67" s="121">
        <v>59</v>
      </c>
      <c r="E67" s="122">
        <v>21</v>
      </c>
      <c r="F67" s="122">
        <v>64</v>
      </c>
      <c r="G67" s="122">
        <v>27</v>
      </c>
      <c r="H67" s="122">
        <v>37</v>
      </c>
      <c r="I67" s="122">
        <f t="shared" si="2"/>
        <v>64</v>
      </c>
      <c r="J67" s="122">
        <v>24</v>
      </c>
      <c r="K67" s="122">
        <f t="shared" si="3"/>
        <v>51</v>
      </c>
      <c r="L67" s="122">
        <v>27</v>
      </c>
      <c r="M67" s="122">
        <f t="shared" si="4"/>
        <v>0</v>
      </c>
      <c r="N67" s="123">
        <f t="shared" si="5"/>
        <v>1</v>
      </c>
      <c r="O67" s="121">
        <v>64</v>
      </c>
      <c r="P67" s="122">
        <v>21</v>
      </c>
      <c r="Q67" s="122">
        <v>60</v>
      </c>
      <c r="R67" s="122">
        <v>15</v>
      </c>
      <c r="S67" s="122">
        <v>40</v>
      </c>
      <c r="T67" s="122">
        <f t="shared" si="6"/>
        <v>55</v>
      </c>
      <c r="U67" s="122">
        <v>25</v>
      </c>
      <c r="V67" s="122">
        <f t="shared" si="7"/>
        <v>40</v>
      </c>
      <c r="W67" s="122">
        <v>9</v>
      </c>
      <c r="X67" s="122">
        <f t="shared" si="8"/>
        <v>5</v>
      </c>
      <c r="Y67" s="123">
        <f t="shared" si="9"/>
        <v>3</v>
      </c>
      <c r="Z67" s="84"/>
      <c r="AA67" s="84"/>
    </row>
    <row r="68" spans="1:27" x14ac:dyDescent="0.25">
      <c r="A68" s="84"/>
      <c r="B68" s="240"/>
      <c r="C68" s="97" t="s">
        <v>53</v>
      </c>
      <c r="D68" s="98">
        <v>21</v>
      </c>
      <c r="E68" s="99">
        <v>21</v>
      </c>
      <c r="F68" s="99">
        <v>20</v>
      </c>
      <c r="G68" s="99">
        <v>19</v>
      </c>
      <c r="H68" s="99">
        <v>3</v>
      </c>
      <c r="I68" s="99">
        <f t="shared" si="2"/>
        <v>22</v>
      </c>
      <c r="J68" s="99">
        <v>3</v>
      </c>
      <c r="K68" s="99">
        <f t="shared" si="3"/>
        <v>22</v>
      </c>
      <c r="L68" s="99">
        <v>22</v>
      </c>
      <c r="M68" s="99">
        <f t="shared" si="4"/>
        <v>-2</v>
      </c>
      <c r="N68" s="100">
        <f t="shared" si="5"/>
        <v>-3</v>
      </c>
      <c r="O68" s="98">
        <v>33</v>
      </c>
      <c r="P68" s="99">
        <v>0</v>
      </c>
      <c r="Q68" s="99">
        <v>34</v>
      </c>
      <c r="R68" s="99">
        <v>1</v>
      </c>
      <c r="S68" s="99">
        <v>29</v>
      </c>
      <c r="T68" s="99">
        <f t="shared" si="6"/>
        <v>30</v>
      </c>
      <c r="U68" s="99">
        <v>18</v>
      </c>
      <c r="V68" s="99">
        <f t="shared" si="7"/>
        <v>19</v>
      </c>
      <c r="W68" s="99">
        <v>3</v>
      </c>
      <c r="X68" s="99">
        <f t="shared" si="8"/>
        <v>4</v>
      </c>
      <c r="Y68" s="100">
        <f t="shared" si="9"/>
        <v>4</v>
      </c>
      <c r="Z68" s="84"/>
      <c r="AA68" s="84"/>
    </row>
    <row r="69" spans="1:27" x14ac:dyDescent="0.25">
      <c r="A69" s="84"/>
      <c r="B69" s="240"/>
      <c r="C69" s="97" t="s">
        <v>47</v>
      </c>
      <c r="D69" s="98">
        <v>31</v>
      </c>
      <c r="E69" s="99">
        <v>28</v>
      </c>
      <c r="F69" s="99">
        <v>30</v>
      </c>
      <c r="G69" s="99">
        <v>30</v>
      </c>
      <c r="H69" s="99">
        <v>3</v>
      </c>
      <c r="I69" s="99">
        <f t="shared" si="2"/>
        <v>33</v>
      </c>
      <c r="J69" s="99">
        <v>2</v>
      </c>
      <c r="K69" s="99">
        <f t="shared" si="3"/>
        <v>32</v>
      </c>
      <c r="L69" s="99">
        <v>37</v>
      </c>
      <c r="M69" s="99">
        <f t="shared" si="4"/>
        <v>-3</v>
      </c>
      <c r="N69" s="100">
        <f t="shared" si="5"/>
        <v>0</v>
      </c>
      <c r="O69" s="121">
        <v>62</v>
      </c>
      <c r="P69" s="122">
        <v>17</v>
      </c>
      <c r="Q69" s="122">
        <v>60</v>
      </c>
      <c r="R69" s="122">
        <v>16</v>
      </c>
      <c r="S69" s="122">
        <v>33</v>
      </c>
      <c r="T69" s="122">
        <f t="shared" si="6"/>
        <v>49</v>
      </c>
      <c r="U69" s="122">
        <v>19</v>
      </c>
      <c r="V69" s="122">
        <f t="shared" si="7"/>
        <v>35</v>
      </c>
      <c r="W69" s="122">
        <v>1</v>
      </c>
      <c r="X69" s="122">
        <f t="shared" ref="X69:X86" si="10">+Q69-T69</f>
        <v>11</v>
      </c>
      <c r="Y69" s="123">
        <f t="shared" ref="Y69:Y86" si="11">+IFERROR(O69-P69-S69,0)</f>
        <v>12</v>
      </c>
      <c r="Z69" s="84"/>
      <c r="AA69" s="84"/>
    </row>
    <row r="70" spans="1:27" x14ac:dyDescent="0.25">
      <c r="A70" s="84"/>
      <c r="B70" s="240"/>
      <c r="C70" s="97" t="s">
        <v>55</v>
      </c>
      <c r="D70" s="98">
        <v>34</v>
      </c>
      <c r="E70" s="99">
        <v>0</v>
      </c>
      <c r="F70" s="99">
        <v>34</v>
      </c>
      <c r="G70" s="99">
        <v>0</v>
      </c>
      <c r="H70" s="99">
        <v>29</v>
      </c>
      <c r="I70" s="99">
        <f t="shared" si="2"/>
        <v>29</v>
      </c>
      <c r="J70" s="99">
        <v>20</v>
      </c>
      <c r="K70" s="99">
        <f t="shared" ref="K70:K86" si="12">+G70+J70</f>
        <v>20</v>
      </c>
      <c r="L70" s="99">
        <v>5</v>
      </c>
      <c r="M70" s="99">
        <f t="shared" ref="M70:M86" si="13">+F70-I70</f>
        <v>5</v>
      </c>
      <c r="N70" s="100">
        <f t="shared" ref="N70:N86" si="14">+IFERROR(D70-E70-H70,0)</f>
        <v>5</v>
      </c>
      <c r="O70" s="117">
        <v>0</v>
      </c>
      <c r="P70" s="118">
        <v>0</v>
      </c>
      <c r="Q70" s="118">
        <v>0</v>
      </c>
      <c r="R70" s="118">
        <v>0</v>
      </c>
      <c r="S70" s="118">
        <v>0</v>
      </c>
      <c r="T70" s="118">
        <f t="shared" si="6"/>
        <v>0</v>
      </c>
      <c r="U70" s="118">
        <v>0</v>
      </c>
      <c r="V70" s="118">
        <f t="shared" ref="V70:V86" si="15">+R70+U70</f>
        <v>0</v>
      </c>
      <c r="W70" s="118">
        <v>2</v>
      </c>
      <c r="X70" s="118">
        <f t="shared" si="10"/>
        <v>0</v>
      </c>
      <c r="Y70" s="119">
        <f t="shared" si="11"/>
        <v>0</v>
      </c>
      <c r="Z70" s="84"/>
      <c r="AA70" s="84"/>
    </row>
    <row r="71" spans="1:27" x14ac:dyDescent="0.25">
      <c r="A71" s="84"/>
      <c r="B71" s="240"/>
      <c r="C71" s="97" t="s">
        <v>54</v>
      </c>
      <c r="D71" s="98">
        <v>34</v>
      </c>
      <c r="E71" s="99">
        <v>13</v>
      </c>
      <c r="F71" s="99">
        <v>34</v>
      </c>
      <c r="G71" s="99">
        <v>12</v>
      </c>
      <c r="H71" s="99">
        <v>22</v>
      </c>
      <c r="I71" s="99">
        <f t="shared" si="2"/>
        <v>34</v>
      </c>
      <c r="J71" s="99">
        <v>18</v>
      </c>
      <c r="K71" s="99">
        <f t="shared" si="12"/>
        <v>30</v>
      </c>
      <c r="L71" s="99">
        <v>22</v>
      </c>
      <c r="M71" s="99">
        <f t="shared" si="13"/>
        <v>0</v>
      </c>
      <c r="N71" s="100">
        <f t="shared" si="14"/>
        <v>-1</v>
      </c>
      <c r="O71" s="117">
        <v>1</v>
      </c>
      <c r="P71" s="118">
        <v>0</v>
      </c>
      <c r="Q71" s="118">
        <v>0</v>
      </c>
      <c r="R71" s="118">
        <v>0</v>
      </c>
      <c r="S71" s="118">
        <v>0</v>
      </c>
      <c r="T71" s="118">
        <f t="shared" si="6"/>
        <v>0</v>
      </c>
      <c r="U71" s="118">
        <v>0</v>
      </c>
      <c r="V71" s="118">
        <f t="shared" si="15"/>
        <v>0</v>
      </c>
      <c r="W71" s="118">
        <v>1</v>
      </c>
      <c r="X71" s="118">
        <f t="shared" si="10"/>
        <v>0</v>
      </c>
      <c r="Y71" s="119">
        <f t="shared" si="11"/>
        <v>1</v>
      </c>
      <c r="Z71" s="84"/>
      <c r="AA71" s="84"/>
    </row>
    <row r="72" spans="1:27" x14ac:dyDescent="0.25">
      <c r="A72" s="84"/>
      <c r="B72" s="240"/>
      <c r="C72" s="97" t="s">
        <v>51</v>
      </c>
      <c r="D72" s="98">
        <v>28</v>
      </c>
      <c r="E72" s="99">
        <v>20</v>
      </c>
      <c r="F72" s="99">
        <v>30</v>
      </c>
      <c r="G72" s="99">
        <v>26</v>
      </c>
      <c r="H72" s="99">
        <v>6</v>
      </c>
      <c r="I72" s="99">
        <f t="shared" ref="I72:I86" si="16">+G72+H72</f>
        <v>32</v>
      </c>
      <c r="J72" s="99">
        <v>6</v>
      </c>
      <c r="K72" s="99">
        <f t="shared" si="12"/>
        <v>32</v>
      </c>
      <c r="L72" s="99">
        <v>32</v>
      </c>
      <c r="M72" s="99">
        <f t="shared" si="13"/>
        <v>-2</v>
      </c>
      <c r="N72" s="100">
        <f t="shared" si="14"/>
        <v>2</v>
      </c>
      <c r="O72" s="98">
        <v>33</v>
      </c>
      <c r="P72" s="99">
        <v>14</v>
      </c>
      <c r="Q72" s="99">
        <v>28</v>
      </c>
      <c r="R72" s="99">
        <v>8</v>
      </c>
      <c r="S72" s="99">
        <v>20</v>
      </c>
      <c r="T72" s="99">
        <f t="shared" ref="T72:T86" si="17">+R72+S72</f>
        <v>28</v>
      </c>
      <c r="U72" s="99">
        <v>9</v>
      </c>
      <c r="V72" s="99">
        <f t="shared" si="15"/>
        <v>17</v>
      </c>
      <c r="W72" s="99">
        <v>7</v>
      </c>
      <c r="X72" s="99">
        <f t="shared" si="10"/>
        <v>0</v>
      </c>
      <c r="Y72" s="100">
        <f t="shared" si="11"/>
        <v>-1</v>
      </c>
      <c r="Z72" s="84"/>
      <c r="AA72" s="84"/>
    </row>
    <row r="73" spans="1:27" x14ac:dyDescent="0.25">
      <c r="A73" s="84"/>
      <c r="B73" s="241"/>
      <c r="C73" s="101" t="s">
        <v>45</v>
      </c>
      <c r="D73" s="102">
        <v>50</v>
      </c>
      <c r="E73" s="103">
        <v>0</v>
      </c>
      <c r="F73" s="103">
        <v>68</v>
      </c>
      <c r="G73" s="103">
        <v>16</v>
      </c>
      <c r="H73" s="103">
        <v>49</v>
      </c>
      <c r="I73" s="103">
        <f t="shared" si="16"/>
        <v>65</v>
      </c>
      <c r="J73" s="103">
        <v>36</v>
      </c>
      <c r="K73" s="103">
        <f t="shared" si="12"/>
        <v>52</v>
      </c>
      <c r="L73" s="103">
        <v>1</v>
      </c>
      <c r="M73" s="103">
        <f t="shared" si="13"/>
        <v>3</v>
      </c>
      <c r="N73" s="104">
        <f t="shared" si="14"/>
        <v>1</v>
      </c>
      <c r="O73" s="102">
        <v>54</v>
      </c>
      <c r="P73" s="103">
        <v>0</v>
      </c>
      <c r="Q73" s="103">
        <v>68</v>
      </c>
      <c r="R73" s="103">
        <v>12</v>
      </c>
      <c r="S73" s="103">
        <v>39</v>
      </c>
      <c r="T73" s="103">
        <f t="shared" si="17"/>
        <v>51</v>
      </c>
      <c r="U73" s="103">
        <v>27</v>
      </c>
      <c r="V73" s="103">
        <f t="shared" si="15"/>
        <v>39</v>
      </c>
      <c r="W73" s="103">
        <v>4</v>
      </c>
      <c r="X73" s="103">
        <f t="shared" si="10"/>
        <v>17</v>
      </c>
      <c r="Y73" s="104">
        <f t="shared" si="11"/>
        <v>15</v>
      </c>
      <c r="Z73" s="84"/>
      <c r="AA73" s="84"/>
    </row>
    <row r="74" spans="1:27" x14ac:dyDescent="0.25">
      <c r="A74" s="84"/>
      <c r="B74" s="239" t="s">
        <v>139</v>
      </c>
      <c r="C74" s="93" t="s">
        <v>52</v>
      </c>
      <c r="D74" s="94">
        <v>25</v>
      </c>
      <c r="E74" s="95">
        <v>20</v>
      </c>
      <c r="F74" s="95">
        <v>27</v>
      </c>
      <c r="G74" s="95">
        <v>19</v>
      </c>
      <c r="H74" s="95">
        <v>6</v>
      </c>
      <c r="I74" s="95">
        <f t="shared" si="16"/>
        <v>25</v>
      </c>
      <c r="J74" s="95">
        <v>3</v>
      </c>
      <c r="K74" s="95">
        <f t="shared" si="12"/>
        <v>22</v>
      </c>
      <c r="L74" s="95">
        <v>23</v>
      </c>
      <c r="M74" s="95">
        <f t="shared" si="13"/>
        <v>2</v>
      </c>
      <c r="N74" s="96">
        <f t="shared" si="14"/>
        <v>-1</v>
      </c>
      <c r="O74" s="94">
        <v>32</v>
      </c>
      <c r="P74" s="95">
        <v>18</v>
      </c>
      <c r="Q74" s="95">
        <v>28</v>
      </c>
      <c r="R74" s="95">
        <v>14</v>
      </c>
      <c r="S74" s="95">
        <v>8</v>
      </c>
      <c r="T74" s="95">
        <f t="shared" si="17"/>
        <v>22</v>
      </c>
      <c r="U74" s="95">
        <v>4</v>
      </c>
      <c r="V74" s="95">
        <f t="shared" si="15"/>
        <v>18</v>
      </c>
      <c r="W74" s="95">
        <v>7</v>
      </c>
      <c r="X74" s="95">
        <f t="shared" si="10"/>
        <v>6</v>
      </c>
      <c r="Y74" s="96">
        <f t="shared" si="11"/>
        <v>6</v>
      </c>
      <c r="Z74" s="84"/>
      <c r="AA74" s="84"/>
    </row>
    <row r="75" spans="1:27" x14ac:dyDescent="0.25">
      <c r="A75" s="84"/>
      <c r="B75" s="240"/>
      <c r="C75" s="97" t="s">
        <v>57</v>
      </c>
      <c r="D75" s="98">
        <v>34</v>
      </c>
      <c r="E75" s="99">
        <v>0</v>
      </c>
      <c r="F75" s="99">
        <v>34</v>
      </c>
      <c r="G75" s="99">
        <v>0</v>
      </c>
      <c r="H75" s="99">
        <v>19</v>
      </c>
      <c r="I75" s="99">
        <f t="shared" si="16"/>
        <v>19</v>
      </c>
      <c r="J75" s="99">
        <v>12</v>
      </c>
      <c r="K75" s="99">
        <f t="shared" si="12"/>
        <v>12</v>
      </c>
      <c r="L75" s="99">
        <v>6</v>
      </c>
      <c r="M75" s="99">
        <f t="shared" si="13"/>
        <v>15</v>
      </c>
      <c r="N75" s="100">
        <f t="shared" si="14"/>
        <v>15</v>
      </c>
      <c r="O75" s="117">
        <v>0</v>
      </c>
      <c r="P75" s="118">
        <v>0</v>
      </c>
      <c r="Q75" s="118">
        <v>0</v>
      </c>
      <c r="R75" s="118">
        <v>0</v>
      </c>
      <c r="S75" s="118">
        <v>0</v>
      </c>
      <c r="T75" s="118">
        <f t="shared" si="17"/>
        <v>0</v>
      </c>
      <c r="U75" s="118">
        <v>0</v>
      </c>
      <c r="V75" s="118">
        <f t="shared" si="15"/>
        <v>0</v>
      </c>
      <c r="W75" s="118">
        <v>0</v>
      </c>
      <c r="X75" s="118">
        <f t="shared" si="10"/>
        <v>0</v>
      </c>
      <c r="Y75" s="119">
        <f t="shared" si="11"/>
        <v>0</v>
      </c>
      <c r="Z75" s="84"/>
      <c r="AA75" s="84"/>
    </row>
    <row r="76" spans="1:27" x14ac:dyDescent="0.25">
      <c r="A76" s="84"/>
      <c r="B76" s="240"/>
      <c r="C76" s="97" t="s">
        <v>46</v>
      </c>
      <c r="D76" s="121">
        <v>89</v>
      </c>
      <c r="E76" s="122">
        <v>28</v>
      </c>
      <c r="F76" s="122">
        <v>88</v>
      </c>
      <c r="G76" s="122">
        <v>25</v>
      </c>
      <c r="H76" s="122">
        <v>58</v>
      </c>
      <c r="I76" s="122">
        <f t="shared" si="16"/>
        <v>83</v>
      </c>
      <c r="J76" s="122">
        <v>39</v>
      </c>
      <c r="K76" s="122">
        <f t="shared" si="12"/>
        <v>64</v>
      </c>
      <c r="L76" s="122">
        <v>26</v>
      </c>
      <c r="M76" s="122">
        <f t="shared" si="13"/>
        <v>5</v>
      </c>
      <c r="N76" s="123">
        <f t="shared" si="14"/>
        <v>3</v>
      </c>
      <c r="O76" s="121">
        <v>60</v>
      </c>
      <c r="P76" s="122">
        <v>22</v>
      </c>
      <c r="Q76" s="122">
        <v>56</v>
      </c>
      <c r="R76" s="122">
        <v>19</v>
      </c>
      <c r="S76" s="122">
        <v>36</v>
      </c>
      <c r="T76" s="122">
        <f t="shared" si="17"/>
        <v>55</v>
      </c>
      <c r="U76" s="122">
        <v>24</v>
      </c>
      <c r="V76" s="122">
        <f t="shared" si="15"/>
        <v>43</v>
      </c>
      <c r="W76" s="122">
        <v>8</v>
      </c>
      <c r="X76" s="122">
        <f t="shared" si="10"/>
        <v>1</v>
      </c>
      <c r="Y76" s="123">
        <f t="shared" si="11"/>
        <v>2</v>
      </c>
      <c r="Z76" s="84"/>
      <c r="AA76" s="84"/>
    </row>
    <row r="77" spans="1:27" x14ac:dyDescent="0.25">
      <c r="A77" s="84"/>
      <c r="B77" s="240"/>
      <c r="C77" s="97" t="s">
        <v>53</v>
      </c>
      <c r="D77" s="98">
        <v>30</v>
      </c>
      <c r="E77" s="99">
        <v>13</v>
      </c>
      <c r="F77" s="99">
        <v>30</v>
      </c>
      <c r="G77" s="99">
        <v>13</v>
      </c>
      <c r="H77" s="99">
        <v>18</v>
      </c>
      <c r="I77" s="99">
        <f t="shared" si="16"/>
        <v>31</v>
      </c>
      <c r="J77" s="99">
        <v>11</v>
      </c>
      <c r="K77" s="99">
        <f t="shared" si="12"/>
        <v>24</v>
      </c>
      <c r="L77" s="99">
        <v>28</v>
      </c>
      <c r="M77" s="99">
        <f t="shared" si="13"/>
        <v>-1</v>
      </c>
      <c r="N77" s="100">
        <f t="shared" si="14"/>
        <v>-1</v>
      </c>
      <c r="O77" s="117">
        <v>0</v>
      </c>
      <c r="P77" s="118">
        <v>0</v>
      </c>
      <c r="Q77" s="118">
        <v>0</v>
      </c>
      <c r="R77" s="118">
        <v>0</v>
      </c>
      <c r="S77" s="118">
        <v>0</v>
      </c>
      <c r="T77" s="118">
        <f t="shared" si="17"/>
        <v>0</v>
      </c>
      <c r="U77" s="118"/>
      <c r="V77" s="118">
        <f t="shared" si="15"/>
        <v>0</v>
      </c>
      <c r="W77" s="118">
        <v>5</v>
      </c>
      <c r="X77" s="118">
        <f t="shared" si="10"/>
        <v>0</v>
      </c>
      <c r="Y77" s="119">
        <f t="shared" si="11"/>
        <v>0</v>
      </c>
      <c r="Z77" s="84"/>
      <c r="AA77" s="84"/>
    </row>
    <row r="78" spans="1:27" x14ac:dyDescent="0.25">
      <c r="A78" s="84"/>
      <c r="B78" s="240"/>
      <c r="C78" s="97" t="s">
        <v>47</v>
      </c>
      <c r="D78" s="121">
        <v>59</v>
      </c>
      <c r="E78" s="122">
        <v>26</v>
      </c>
      <c r="F78" s="122">
        <v>61</v>
      </c>
      <c r="G78" s="122">
        <v>29</v>
      </c>
      <c r="H78" s="122">
        <v>32</v>
      </c>
      <c r="I78" s="122">
        <f t="shared" si="16"/>
        <v>61</v>
      </c>
      <c r="J78" s="122">
        <v>18</v>
      </c>
      <c r="K78" s="122">
        <f t="shared" si="12"/>
        <v>47</v>
      </c>
      <c r="L78" s="122">
        <v>19</v>
      </c>
      <c r="M78" s="122">
        <f t="shared" si="13"/>
        <v>0</v>
      </c>
      <c r="N78" s="123">
        <f t="shared" si="14"/>
        <v>1</v>
      </c>
      <c r="O78" s="98">
        <v>33</v>
      </c>
      <c r="P78" s="99">
        <v>23</v>
      </c>
      <c r="Q78" s="99">
        <v>30</v>
      </c>
      <c r="R78" s="99">
        <v>22</v>
      </c>
      <c r="S78" s="99">
        <v>8</v>
      </c>
      <c r="T78" s="99">
        <f t="shared" si="17"/>
        <v>30</v>
      </c>
      <c r="U78" s="99">
        <v>6</v>
      </c>
      <c r="V78" s="99">
        <f t="shared" si="15"/>
        <v>28</v>
      </c>
      <c r="W78" s="99">
        <v>16</v>
      </c>
      <c r="X78" s="99">
        <f t="shared" si="10"/>
        <v>0</v>
      </c>
      <c r="Y78" s="100">
        <f t="shared" si="11"/>
        <v>2</v>
      </c>
      <c r="Z78" s="84"/>
      <c r="AA78" s="84"/>
    </row>
    <row r="79" spans="1:27" x14ac:dyDescent="0.25">
      <c r="A79" s="84"/>
      <c r="B79" s="240"/>
      <c r="C79" s="97" t="s">
        <v>55</v>
      </c>
      <c r="D79" s="98">
        <v>34</v>
      </c>
      <c r="E79" s="99">
        <v>0</v>
      </c>
      <c r="F79" s="99">
        <v>34</v>
      </c>
      <c r="G79" s="99">
        <v>0</v>
      </c>
      <c r="H79" s="99">
        <v>32</v>
      </c>
      <c r="I79" s="99">
        <f t="shared" si="16"/>
        <v>32</v>
      </c>
      <c r="J79" s="99">
        <v>19</v>
      </c>
      <c r="K79" s="99">
        <f t="shared" si="12"/>
        <v>19</v>
      </c>
      <c r="L79" s="99">
        <v>8</v>
      </c>
      <c r="M79" s="99">
        <f t="shared" si="13"/>
        <v>2</v>
      </c>
      <c r="N79" s="100">
        <f t="shared" si="14"/>
        <v>2</v>
      </c>
      <c r="O79" s="117">
        <v>0</v>
      </c>
      <c r="P79" s="118">
        <v>0</v>
      </c>
      <c r="Q79" s="118">
        <v>0</v>
      </c>
      <c r="R79" s="118">
        <v>0</v>
      </c>
      <c r="S79" s="118">
        <v>0</v>
      </c>
      <c r="T79" s="118">
        <f t="shared" si="17"/>
        <v>0</v>
      </c>
      <c r="U79" s="118">
        <v>0</v>
      </c>
      <c r="V79" s="118">
        <f t="shared" si="15"/>
        <v>0</v>
      </c>
      <c r="W79" s="118">
        <v>0</v>
      </c>
      <c r="X79" s="118">
        <f t="shared" si="10"/>
        <v>0</v>
      </c>
      <c r="Y79" s="119">
        <f t="shared" si="11"/>
        <v>0</v>
      </c>
      <c r="Z79" s="84"/>
      <c r="AA79" s="84"/>
    </row>
    <row r="80" spans="1:27" x14ac:dyDescent="0.25">
      <c r="A80" s="84"/>
      <c r="B80" s="240"/>
      <c r="C80" s="97" t="s">
        <v>54</v>
      </c>
      <c r="D80" s="98">
        <v>25</v>
      </c>
      <c r="E80" s="99">
        <v>18</v>
      </c>
      <c r="F80" s="99">
        <v>25</v>
      </c>
      <c r="G80" s="99">
        <v>18</v>
      </c>
      <c r="H80" s="99">
        <v>6</v>
      </c>
      <c r="I80" s="99">
        <f t="shared" si="16"/>
        <v>24</v>
      </c>
      <c r="J80" s="99">
        <v>3</v>
      </c>
      <c r="K80" s="99">
        <f t="shared" si="12"/>
        <v>21</v>
      </c>
      <c r="L80" s="99">
        <v>19</v>
      </c>
      <c r="M80" s="99">
        <f t="shared" si="13"/>
        <v>1</v>
      </c>
      <c r="N80" s="100">
        <f t="shared" si="14"/>
        <v>1</v>
      </c>
      <c r="O80" s="98">
        <v>34</v>
      </c>
      <c r="P80" s="99">
        <v>0</v>
      </c>
      <c r="Q80" s="99">
        <v>34</v>
      </c>
      <c r="R80" s="99">
        <v>0</v>
      </c>
      <c r="S80" s="99">
        <v>8</v>
      </c>
      <c r="T80" s="99">
        <f t="shared" si="17"/>
        <v>8</v>
      </c>
      <c r="U80" s="99">
        <v>7</v>
      </c>
      <c r="V80" s="99">
        <f t="shared" si="15"/>
        <v>7</v>
      </c>
      <c r="W80" s="99">
        <v>1</v>
      </c>
      <c r="X80" s="99">
        <f t="shared" si="10"/>
        <v>26</v>
      </c>
      <c r="Y80" s="100">
        <f t="shared" si="11"/>
        <v>26</v>
      </c>
      <c r="Z80" s="84"/>
      <c r="AA80" s="84"/>
    </row>
    <row r="81" spans="1:27" x14ac:dyDescent="0.25">
      <c r="A81" s="84"/>
      <c r="B81" s="240"/>
      <c r="C81" s="97" t="s">
        <v>51</v>
      </c>
      <c r="D81" s="98">
        <v>29</v>
      </c>
      <c r="E81" s="99">
        <v>24</v>
      </c>
      <c r="F81" s="99">
        <v>30</v>
      </c>
      <c r="G81" s="99">
        <v>24</v>
      </c>
      <c r="H81" s="99">
        <v>5</v>
      </c>
      <c r="I81" s="99">
        <f t="shared" si="16"/>
        <v>29</v>
      </c>
      <c r="J81" s="99">
        <v>4</v>
      </c>
      <c r="K81" s="99">
        <f t="shared" si="12"/>
        <v>28</v>
      </c>
      <c r="L81" s="99">
        <v>42</v>
      </c>
      <c r="M81" s="99">
        <f t="shared" si="13"/>
        <v>1</v>
      </c>
      <c r="N81" s="100">
        <f t="shared" si="14"/>
        <v>0</v>
      </c>
      <c r="O81" s="98">
        <v>32</v>
      </c>
      <c r="P81" s="99">
        <v>12</v>
      </c>
      <c r="Q81" s="99">
        <v>30</v>
      </c>
      <c r="R81" s="99">
        <v>10</v>
      </c>
      <c r="S81" s="99">
        <v>17</v>
      </c>
      <c r="T81" s="99">
        <f t="shared" si="17"/>
        <v>27</v>
      </c>
      <c r="U81" s="99">
        <v>10</v>
      </c>
      <c r="V81" s="99">
        <f t="shared" si="15"/>
        <v>20</v>
      </c>
      <c r="W81" s="99">
        <v>2</v>
      </c>
      <c r="X81" s="99">
        <f t="shared" si="10"/>
        <v>3</v>
      </c>
      <c r="Y81" s="100">
        <f t="shared" si="11"/>
        <v>3</v>
      </c>
      <c r="Z81" s="84"/>
      <c r="AA81" s="84"/>
    </row>
    <row r="82" spans="1:27" x14ac:dyDescent="0.25">
      <c r="A82" s="84"/>
      <c r="B82" s="241"/>
      <c r="C82" s="101" t="s">
        <v>45</v>
      </c>
      <c r="D82" s="125">
        <v>53</v>
      </c>
      <c r="E82" s="126">
        <v>16</v>
      </c>
      <c r="F82" s="126">
        <v>57</v>
      </c>
      <c r="G82" s="126">
        <v>19</v>
      </c>
      <c r="H82" s="126">
        <v>34</v>
      </c>
      <c r="I82" s="126">
        <f t="shared" si="16"/>
        <v>53</v>
      </c>
      <c r="J82" s="126">
        <v>31</v>
      </c>
      <c r="K82" s="126">
        <f t="shared" si="12"/>
        <v>50</v>
      </c>
      <c r="L82" s="126">
        <v>63</v>
      </c>
      <c r="M82" s="126">
        <f t="shared" si="13"/>
        <v>4</v>
      </c>
      <c r="N82" s="127">
        <f t="shared" si="14"/>
        <v>3</v>
      </c>
      <c r="O82" s="125">
        <v>66</v>
      </c>
      <c r="P82" s="126">
        <v>20</v>
      </c>
      <c r="Q82" s="126">
        <v>64</v>
      </c>
      <c r="R82" s="126">
        <v>18</v>
      </c>
      <c r="S82" s="126">
        <v>45</v>
      </c>
      <c r="T82" s="126">
        <f t="shared" si="17"/>
        <v>63</v>
      </c>
      <c r="U82" s="126">
        <v>26</v>
      </c>
      <c r="V82" s="126">
        <f t="shared" si="15"/>
        <v>44</v>
      </c>
      <c r="W82" s="126">
        <v>19</v>
      </c>
      <c r="X82" s="126">
        <f t="shared" si="10"/>
        <v>1</v>
      </c>
      <c r="Y82" s="127">
        <f t="shared" si="11"/>
        <v>1</v>
      </c>
      <c r="Z82" s="84"/>
      <c r="AA82" s="84"/>
    </row>
    <row r="83" spans="1:27" x14ac:dyDescent="0.25">
      <c r="A83" s="84"/>
      <c r="B83" s="239" t="s">
        <v>140</v>
      </c>
      <c r="C83" s="93" t="s">
        <v>52</v>
      </c>
      <c r="D83" s="94">
        <v>25</v>
      </c>
      <c r="E83" s="95">
        <v>14</v>
      </c>
      <c r="F83" s="95">
        <v>24</v>
      </c>
      <c r="G83" s="95">
        <v>13</v>
      </c>
      <c r="H83" s="95">
        <v>7</v>
      </c>
      <c r="I83" s="95">
        <f t="shared" si="16"/>
        <v>20</v>
      </c>
      <c r="J83" s="95">
        <v>7</v>
      </c>
      <c r="K83" s="95">
        <f t="shared" si="12"/>
        <v>20</v>
      </c>
      <c r="L83" s="95">
        <v>1</v>
      </c>
      <c r="M83" s="95">
        <f t="shared" si="13"/>
        <v>4</v>
      </c>
      <c r="N83" s="96">
        <f t="shared" si="14"/>
        <v>4</v>
      </c>
      <c r="O83" s="129">
        <v>0</v>
      </c>
      <c r="P83" s="95">
        <v>0</v>
      </c>
      <c r="Q83" s="95">
        <v>0</v>
      </c>
      <c r="R83" s="95">
        <v>0</v>
      </c>
      <c r="S83" s="95">
        <v>0</v>
      </c>
      <c r="T83" s="95">
        <f t="shared" si="17"/>
        <v>0</v>
      </c>
      <c r="U83" s="95">
        <v>0</v>
      </c>
      <c r="V83" s="95">
        <f t="shared" si="15"/>
        <v>0</v>
      </c>
      <c r="W83" s="95">
        <v>0</v>
      </c>
      <c r="X83" s="95">
        <f t="shared" si="10"/>
        <v>0</v>
      </c>
      <c r="Y83" s="96">
        <f t="shared" si="11"/>
        <v>0</v>
      </c>
      <c r="Z83" s="84"/>
      <c r="AA83" s="84"/>
    </row>
    <row r="84" spans="1:27" x14ac:dyDescent="0.25">
      <c r="A84" s="84"/>
      <c r="B84" s="240"/>
      <c r="C84" s="97" t="s">
        <v>46</v>
      </c>
      <c r="D84" s="98">
        <v>0</v>
      </c>
      <c r="E84" s="99">
        <v>0</v>
      </c>
      <c r="F84" s="99">
        <v>0</v>
      </c>
      <c r="G84" s="99">
        <v>0</v>
      </c>
      <c r="H84" s="99">
        <v>0</v>
      </c>
      <c r="I84" s="99">
        <f t="shared" si="16"/>
        <v>0</v>
      </c>
      <c r="J84" s="99">
        <v>0</v>
      </c>
      <c r="K84" s="99">
        <f t="shared" si="12"/>
        <v>0</v>
      </c>
      <c r="L84" s="99">
        <v>0</v>
      </c>
      <c r="M84" s="99">
        <f t="shared" si="13"/>
        <v>0</v>
      </c>
      <c r="N84" s="100">
        <f t="shared" si="14"/>
        <v>0</v>
      </c>
      <c r="O84" s="98">
        <v>49</v>
      </c>
      <c r="P84" s="99">
        <v>0</v>
      </c>
      <c r="Q84" s="99">
        <v>50</v>
      </c>
      <c r="R84" s="99">
        <v>1</v>
      </c>
      <c r="S84" s="99">
        <v>43</v>
      </c>
      <c r="T84" s="99">
        <f t="shared" si="17"/>
        <v>44</v>
      </c>
      <c r="U84" s="99">
        <v>37</v>
      </c>
      <c r="V84" s="99">
        <f t="shared" si="15"/>
        <v>38</v>
      </c>
      <c r="W84" s="99">
        <v>8</v>
      </c>
      <c r="X84" s="99">
        <f t="shared" si="10"/>
        <v>6</v>
      </c>
      <c r="Y84" s="100">
        <f t="shared" si="11"/>
        <v>6</v>
      </c>
      <c r="Z84" s="84"/>
      <c r="AA84" s="84"/>
    </row>
    <row r="85" spans="1:27" x14ac:dyDescent="0.25">
      <c r="A85" s="84"/>
      <c r="B85" s="240"/>
      <c r="C85" s="97" t="s">
        <v>47</v>
      </c>
      <c r="D85" s="98">
        <v>51</v>
      </c>
      <c r="E85" s="99">
        <v>31</v>
      </c>
      <c r="F85" s="99">
        <v>50</v>
      </c>
      <c r="G85" s="99">
        <v>29</v>
      </c>
      <c r="H85" s="130">
        <v>15</v>
      </c>
      <c r="I85" s="99">
        <f>+G85+H85</f>
        <v>44</v>
      </c>
      <c r="J85" s="99">
        <v>13</v>
      </c>
      <c r="K85" s="99">
        <f>+G85+J85</f>
        <v>42</v>
      </c>
      <c r="L85" s="99">
        <v>1</v>
      </c>
      <c r="M85" s="99">
        <f t="shared" si="13"/>
        <v>6</v>
      </c>
      <c r="N85" s="100">
        <f t="shared" si="14"/>
        <v>5</v>
      </c>
      <c r="O85" s="120">
        <v>29</v>
      </c>
      <c r="P85" s="99">
        <v>19</v>
      </c>
      <c r="Q85" s="99">
        <v>24</v>
      </c>
      <c r="R85" s="99">
        <v>14</v>
      </c>
      <c r="S85" s="99">
        <v>1</v>
      </c>
      <c r="T85" s="99">
        <f t="shared" si="17"/>
        <v>15</v>
      </c>
      <c r="U85" s="99">
        <v>0</v>
      </c>
      <c r="V85" s="99">
        <f t="shared" si="15"/>
        <v>14</v>
      </c>
      <c r="W85" s="99">
        <v>2</v>
      </c>
      <c r="X85" s="99">
        <f t="shared" si="10"/>
        <v>9</v>
      </c>
      <c r="Y85" s="100">
        <f t="shared" si="11"/>
        <v>9</v>
      </c>
      <c r="Z85" s="84"/>
      <c r="AA85" s="84"/>
    </row>
    <row r="86" spans="1:27" x14ac:dyDescent="0.25">
      <c r="A86" s="84"/>
      <c r="B86" s="242"/>
      <c r="C86" s="131" t="s">
        <v>51</v>
      </c>
      <c r="D86" s="132">
        <v>25</v>
      </c>
      <c r="E86" s="133">
        <v>18</v>
      </c>
      <c r="F86" s="133">
        <v>25</v>
      </c>
      <c r="G86" s="133">
        <v>17</v>
      </c>
      <c r="H86" s="133">
        <v>7</v>
      </c>
      <c r="I86" s="133">
        <f t="shared" si="16"/>
        <v>24</v>
      </c>
      <c r="J86" s="133">
        <v>6</v>
      </c>
      <c r="K86" s="133">
        <f t="shared" si="12"/>
        <v>23</v>
      </c>
      <c r="L86" s="133">
        <v>2</v>
      </c>
      <c r="M86" s="133">
        <f t="shared" si="13"/>
        <v>1</v>
      </c>
      <c r="N86" s="134">
        <f t="shared" si="14"/>
        <v>0</v>
      </c>
      <c r="O86" s="132">
        <v>0</v>
      </c>
      <c r="P86" s="133">
        <v>0</v>
      </c>
      <c r="Q86" s="133">
        <v>0</v>
      </c>
      <c r="R86" s="133">
        <v>0</v>
      </c>
      <c r="S86" s="133">
        <v>0</v>
      </c>
      <c r="T86" s="133">
        <f t="shared" si="17"/>
        <v>0</v>
      </c>
      <c r="U86" s="133">
        <v>0</v>
      </c>
      <c r="V86" s="133">
        <f t="shared" si="15"/>
        <v>0</v>
      </c>
      <c r="W86" s="133">
        <v>0</v>
      </c>
      <c r="X86" s="133">
        <f t="shared" si="10"/>
        <v>0</v>
      </c>
      <c r="Y86" s="134">
        <f t="shared" si="11"/>
        <v>0</v>
      </c>
      <c r="Z86" s="84"/>
      <c r="AA86" s="84"/>
    </row>
    <row r="87" spans="1:27" x14ac:dyDescent="0.25">
      <c r="A87" s="84"/>
      <c r="B87" s="84"/>
      <c r="C87" s="84"/>
      <c r="D87" s="135">
        <f>+SUM(D5:D86)</f>
        <v>2585</v>
      </c>
      <c r="E87" s="135">
        <f t="shared" ref="E87:Y87" si="18">+SUM(E5:E86)</f>
        <v>858</v>
      </c>
      <c r="F87" s="135">
        <f t="shared" si="18"/>
        <v>2740</v>
      </c>
      <c r="G87" s="135">
        <f t="shared" si="18"/>
        <v>976</v>
      </c>
      <c r="H87" s="135">
        <f>+SUM(H5:H86)</f>
        <v>1549</v>
      </c>
      <c r="I87" s="135">
        <f>+SUM(I5:I86)</f>
        <v>2518</v>
      </c>
      <c r="J87" s="135">
        <f>+SUM(J5:J86)</f>
        <v>1127</v>
      </c>
      <c r="K87" s="135">
        <f>+SUM(K5:K86)</f>
        <v>2103</v>
      </c>
      <c r="L87" s="135">
        <f>+SUM(L5:L86)</f>
        <v>1478</v>
      </c>
      <c r="M87" s="135">
        <f t="shared" si="18"/>
        <v>222</v>
      </c>
      <c r="N87" s="135">
        <f t="shared" si="18"/>
        <v>178</v>
      </c>
      <c r="O87" s="135">
        <f t="shared" si="18"/>
        <v>2217</v>
      </c>
      <c r="P87" s="135">
        <f t="shared" si="18"/>
        <v>423</v>
      </c>
      <c r="Q87" s="135">
        <f t="shared" si="18"/>
        <v>2241</v>
      </c>
      <c r="R87" s="135">
        <f t="shared" si="18"/>
        <v>371</v>
      </c>
      <c r="S87" s="135">
        <f>+SUM(S5:S86)</f>
        <v>1264</v>
      </c>
      <c r="T87" s="135">
        <f t="shared" si="18"/>
        <v>1635</v>
      </c>
      <c r="U87" s="135">
        <f t="shared" si="18"/>
        <v>855</v>
      </c>
      <c r="V87" s="135">
        <f>SUM(V5:V86)</f>
        <v>1226</v>
      </c>
      <c r="W87" s="135">
        <f t="shared" si="18"/>
        <v>292</v>
      </c>
      <c r="X87" s="135">
        <f t="shared" si="18"/>
        <v>606</v>
      </c>
      <c r="Y87" s="135">
        <f t="shared" si="18"/>
        <v>530</v>
      </c>
      <c r="Z87" s="84"/>
      <c r="AA87" s="84"/>
    </row>
    <row r="88" spans="1:27" x14ac:dyDescent="0.25">
      <c r="A88" s="84"/>
      <c r="B88" s="84"/>
      <c r="C88" s="84"/>
      <c r="D88" s="84"/>
      <c r="E88" s="84"/>
      <c r="F88" s="84"/>
      <c r="G88" s="84"/>
      <c r="H88" s="84"/>
      <c r="I88" s="84"/>
      <c r="J88" s="84"/>
      <c r="K88" s="84"/>
      <c r="L88" s="84"/>
      <c r="M88" s="84"/>
      <c r="N88" s="84"/>
      <c r="O88" s="84"/>
      <c r="P88" s="84"/>
      <c r="Q88" s="84"/>
      <c r="R88" s="84"/>
      <c r="S88" s="84"/>
      <c r="T88" s="84"/>
      <c r="U88" s="84"/>
      <c r="V88" s="84"/>
      <c r="W88" s="84"/>
      <c r="X88" s="84"/>
      <c r="Y88" s="84"/>
      <c r="Z88" s="84"/>
      <c r="AA88" s="84"/>
    </row>
    <row r="89" spans="1:27" x14ac:dyDescent="0.25">
      <c r="A89" s="84"/>
      <c r="B89" s="84"/>
      <c r="C89" s="84"/>
      <c r="D89" s="84"/>
      <c r="E89" s="84"/>
      <c r="F89" s="84"/>
      <c r="G89" s="84"/>
      <c r="H89" s="84"/>
      <c r="I89" s="84"/>
      <c r="J89" s="84"/>
      <c r="K89" s="84"/>
      <c r="L89" s="84"/>
      <c r="M89" s="84"/>
      <c r="N89" s="84"/>
      <c r="O89" s="84"/>
      <c r="P89" s="84"/>
      <c r="Q89" s="84"/>
      <c r="R89" s="84"/>
      <c r="S89" s="84"/>
      <c r="T89" s="84"/>
      <c r="U89" s="84"/>
      <c r="V89" s="84"/>
      <c r="W89" s="84"/>
      <c r="X89" s="84"/>
      <c r="Y89" s="84"/>
      <c r="Z89" s="84"/>
      <c r="AA89" s="84"/>
    </row>
    <row r="90" spans="1:27" x14ac:dyDescent="0.25">
      <c r="A90" s="84"/>
      <c r="B90" s="84"/>
      <c r="C90" s="84"/>
      <c r="F90" s="84"/>
      <c r="G90" s="84"/>
      <c r="H90" s="84"/>
      <c r="I90" s="84"/>
      <c r="J90" s="84"/>
      <c r="K90" s="84"/>
      <c r="L90" s="84"/>
      <c r="M90" s="84"/>
      <c r="N90" s="84"/>
      <c r="O90" s="84"/>
      <c r="P90" s="84"/>
      <c r="Q90" s="84"/>
      <c r="R90" s="84"/>
      <c r="S90" s="84"/>
      <c r="T90" s="84"/>
      <c r="U90" s="84"/>
      <c r="V90" s="84"/>
      <c r="W90" s="84"/>
      <c r="X90" s="84"/>
      <c r="Y90" s="84"/>
      <c r="Z90" s="84"/>
      <c r="AA90" s="84"/>
    </row>
    <row r="91" spans="1:27" x14ac:dyDescent="0.25">
      <c r="A91" s="84"/>
      <c r="B91" s="84"/>
      <c r="C91" s="84"/>
      <c r="F91" s="84"/>
      <c r="G91" s="84"/>
      <c r="H91" s="84"/>
      <c r="I91" s="84"/>
      <c r="J91" s="84"/>
      <c r="K91" s="84"/>
      <c r="L91" s="84"/>
      <c r="M91" s="84"/>
      <c r="N91" s="84"/>
      <c r="O91" s="84"/>
      <c r="P91" s="84"/>
      <c r="Q91" s="84"/>
      <c r="R91" s="84"/>
      <c r="S91" s="84"/>
      <c r="T91" s="84"/>
      <c r="U91" s="84"/>
      <c r="V91" s="84"/>
      <c r="W91" s="84"/>
      <c r="X91" s="84"/>
      <c r="Y91" s="84"/>
      <c r="Z91" s="84"/>
      <c r="AA91" s="84"/>
    </row>
    <row r="92" spans="1:27" x14ac:dyDescent="0.25">
      <c r="A92" s="84"/>
      <c r="B92" s="84"/>
      <c r="C92" s="84"/>
      <c r="F92" s="84"/>
      <c r="G92" s="84"/>
      <c r="H92" s="84"/>
      <c r="I92" s="84"/>
      <c r="J92" s="84"/>
      <c r="K92" s="84"/>
      <c r="L92" s="84"/>
      <c r="M92" s="84"/>
      <c r="N92" s="84"/>
      <c r="O92" s="84"/>
      <c r="P92" s="84"/>
      <c r="Q92" s="84"/>
      <c r="R92" s="84"/>
      <c r="S92" s="84"/>
      <c r="T92" s="84"/>
      <c r="U92" s="84"/>
      <c r="V92" s="84"/>
      <c r="W92" s="84"/>
      <c r="X92" s="84"/>
      <c r="Y92" s="84"/>
      <c r="Z92" s="84"/>
      <c r="AA92" s="84"/>
    </row>
    <row r="93" spans="1:27" x14ac:dyDescent="0.25">
      <c r="A93" s="84"/>
      <c r="B93" s="84"/>
      <c r="C93" s="84"/>
      <c r="D93" s="84"/>
      <c r="E93" s="84"/>
      <c r="F93" s="84"/>
      <c r="G93" s="84"/>
      <c r="H93" s="84"/>
      <c r="I93" s="84"/>
      <c r="J93" s="84"/>
      <c r="K93" s="84"/>
      <c r="L93" s="84"/>
      <c r="M93" s="84"/>
      <c r="N93" s="84"/>
      <c r="O93" s="84"/>
      <c r="P93" s="84"/>
      <c r="Q93" s="84"/>
      <c r="R93" s="84"/>
      <c r="S93" s="84"/>
      <c r="T93" s="84"/>
      <c r="U93" s="84"/>
      <c r="V93" s="84"/>
      <c r="W93" s="84"/>
      <c r="X93" s="84"/>
      <c r="Y93" s="84"/>
      <c r="Z93" s="84"/>
      <c r="AA93" s="84"/>
    </row>
    <row r="94" spans="1:27" x14ac:dyDescent="0.25">
      <c r="A94" s="84"/>
      <c r="B94" s="84"/>
      <c r="C94" s="84"/>
      <c r="D94" s="84"/>
      <c r="E94" s="84"/>
      <c r="F94" s="84"/>
      <c r="G94" s="84"/>
      <c r="H94" s="84"/>
      <c r="I94" s="84"/>
      <c r="J94" s="84"/>
      <c r="K94" s="84"/>
      <c r="L94" s="84"/>
      <c r="M94" s="84"/>
      <c r="N94" s="84"/>
      <c r="O94" s="84"/>
      <c r="P94" s="84"/>
      <c r="Q94" s="84"/>
      <c r="R94" s="84"/>
      <c r="S94" s="84"/>
      <c r="T94" s="84"/>
      <c r="U94" s="84"/>
      <c r="V94" s="84"/>
      <c r="W94" s="84"/>
      <c r="X94" s="84"/>
      <c r="Y94" s="84"/>
      <c r="Z94" s="84"/>
      <c r="AA94" s="84"/>
    </row>
    <row r="95" spans="1:27" x14ac:dyDescent="0.25">
      <c r="I95" s="84"/>
      <c r="J95" s="84"/>
      <c r="K95" s="84"/>
      <c r="T95" s="84"/>
      <c r="U95" s="84"/>
      <c r="V95" s="84"/>
    </row>
    <row r="96" spans="1:27" x14ac:dyDescent="0.25">
      <c r="I96" s="84"/>
      <c r="J96" s="84"/>
      <c r="K96" s="84"/>
      <c r="T96" s="84"/>
      <c r="U96" s="84"/>
      <c r="V96" s="84"/>
    </row>
    <row r="97" spans="9:22" x14ac:dyDescent="0.25">
      <c r="I97" s="84"/>
      <c r="J97" s="84"/>
      <c r="K97" s="84"/>
      <c r="T97" s="84"/>
      <c r="U97" s="84"/>
      <c r="V97" s="84"/>
    </row>
    <row r="98" spans="9:22" x14ac:dyDescent="0.25">
      <c r="I98" s="84"/>
      <c r="J98" s="84"/>
      <c r="K98" s="84"/>
      <c r="T98" s="84"/>
      <c r="U98" s="84"/>
      <c r="V98" s="84"/>
    </row>
    <row r="99" spans="9:22" x14ac:dyDescent="0.25">
      <c r="I99" s="84"/>
      <c r="J99" s="84"/>
      <c r="K99" s="84"/>
      <c r="T99" s="84"/>
      <c r="U99" s="84"/>
      <c r="V99" s="84"/>
    </row>
    <row r="100" spans="9:22" x14ac:dyDescent="0.25">
      <c r="I100" s="84"/>
      <c r="J100" s="84"/>
      <c r="K100" s="84"/>
      <c r="T100" s="84"/>
      <c r="U100" s="84"/>
      <c r="V100" s="84"/>
    </row>
    <row r="101" spans="9:22" x14ac:dyDescent="0.25">
      <c r="I101" s="84"/>
      <c r="J101" s="84"/>
      <c r="K101" s="84"/>
      <c r="T101" s="84"/>
      <c r="U101" s="84"/>
      <c r="V101" s="84"/>
    </row>
    <row r="102" spans="9:22" x14ac:dyDescent="0.25">
      <c r="I102" s="84"/>
      <c r="J102" s="84"/>
      <c r="K102" s="84"/>
      <c r="T102" s="84"/>
      <c r="U102" s="84"/>
      <c r="V102" s="84"/>
    </row>
    <row r="103" spans="9:22" x14ac:dyDescent="0.25">
      <c r="I103" s="84"/>
      <c r="J103" s="84"/>
      <c r="K103" s="84"/>
      <c r="T103" s="84"/>
      <c r="U103" s="84"/>
      <c r="V103" s="84"/>
    </row>
    <row r="104" spans="9:22" x14ac:dyDescent="0.25">
      <c r="I104" s="84"/>
      <c r="J104" s="84"/>
      <c r="K104" s="84"/>
      <c r="T104" s="84"/>
      <c r="U104" s="84"/>
      <c r="V104" s="84"/>
    </row>
    <row r="105" spans="9:22" x14ac:dyDescent="0.25">
      <c r="I105" s="84"/>
      <c r="J105" s="84"/>
      <c r="K105" s="84"/>
      <c r="T105" s="84"/>
      <c r="U105" s="84"/>
      <c r="V105" s="84"/>
    </row>
    <row r="106" spans="9:22" x14ac:dyDescent="0.25">
      <c r="I106" s="84"/>
      <c r="J106" s="84"/>
      <c r="K106" s="84"/>
    </row>
    <row r="107" spans="9:22" x14ac:dyDescent="0.25">
      <c r="I107" s="84"/>
      <c r="J107" s="84"/>
      <c r="K107" s="84"/>
    </row>
    <row r="111" spans="9:22" ht="15" customHeight="1" x14ac:dyDescent="0.25">
      <c r="P111" s="307"/>
    </row>
  </sheetData>
  <autoFilter ref="D4:Y4" xr:uid="{9024ED6E-8112-4501-80E8-773363E8A662}"/>
  <mergeCells count="14">
    <mergeCell ref="B83:B86"/>
    <mergeCell ref="B63:B64"/>
    <mergeCell ref="B23:B31"/>
    <mergeCell ref="B32:B40"/>
    <mergeCell ref="B41:B49"/>
    <mergeCell ref="B50:B62"/>
    <mergeCell ref="B65:B73"/>
    <mergeCell ref="B74:B82"/>
    <mergeCell ref="B18:B22"/>
    <mergeCell ref="D3:N3"/>
    <mergeCell ref="O3:Y3"/>
    <mergeCell ref="B5:B9"/>
    <mergeCell ref="B10:B14"/>
    <mergeCell ref="B15:B17"/>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E0F1E-BF3F-443F-BDF1-89A72C3FCC83}">
  <dimension ref="A2:R29"/>
  <sheetViews>
    <sheetView workbookViewId="0">
      <selection activeCell="K12" sqref="K12"/>
    </sheetView>
  </sheetViews>
  <sheetFormatPr baseColWidth="10" defaultColWidth="11.42578125" defaultRowHeight="15" x14ac:dyDescent="0.25"/>
  <cols>
    <col min="1" max="1" width="14.140625" bestFit="1" customWidth="1"/>
    <col min="2" max="2" width="11.42578125" customWidth="1"/>
    <col min="3" max="3" width="12.42578125" customWidth="1"/>
    <col min="4" max="4" width="11.42578125" customWidth="1"/>
    <col min="6" max="6" width="12.85546875" customWidth="1"/>
    <col min="7" max="8" width="12.5703125" customWidth="1"/>
    <col min="9" max="12" width="11.42578125" customWidth="1"/>
    <col min="13" max="13" width="15.42578125" customWidth="1"/>
  </cols>
  <sheetData>
    <row r="2" spans="1:16" ht="36" x14ac:dyDescent="0.25">
      <c r="A2" s="57" t="s">
        <v>1</v>
      </c>
      <c r="B2" s="57" t="s">
        <v>157</v>
      </c>
      <c r="C2" s="57" t="s">
        <v>158</v>
      </c>
      <c r="D2" s="57" t="s">
        <v>159</v>
      </c>
      <c r="E2" s="57" t="s">
        <v>160</v>
      </c>
      <c r="F2" s="57" t="s">
        <v>161</v>
      </c>
      <c r="G2" s="57" t="s">
        <v>162</v>
      </c>
      <c r="H2" s="57" t="s">
        <v>163</v>
      </c>
      <c r="I2" s="57" t="s">
        <v>164</v>
      </c>
      <c r="J2" s="57" t="s">
        <v>165</v>
      </c>
      <c r="K2" s="57" t="s">
        <v>166</v>
      </c>
      <c r="L2" s="158" t="s">
        <v>167</v>
      </c>
      <c r="M2" s="158" t="s">
        <v>168</v>
      </c>
      <c r="P2">
        <f>71/182</f>
        <v>0.39010989010989011</v>
      </c>
    </row>
    <row r="3" spans="1:16" x14ac:dyDescent="0.25">
      <c r="A3" s="58" t="s">
        <v>132</v>
      </c>
      <c r="B3" s="154">
        <v>96</v>
      </c>
      <c r="C3" s="154">
        <v>84</v>
      </c>
      <c r="D3" s="154">
        <v>0</v>
      </c>
      <c r="E3" s="154">
        <v>1</v>
      </c>
      <c r="F3" s="154">
        <v>0</v>
      </c>
      <c r="G3" s="154">
        <v>0</v>
      </c>
      <c r="H3" s="154">
        <v>7</v>
      </c>
      <c r="I3" s="154">
        <v>7</v>
      </c>
      <c r="J3" s="154">
        <v>42</v>
      </c>
      <c r="K3" s="154">
        <f>SUM(C3,F3:H3)</f>
        <v>91</v>
      </c>
      <c r="L3" s="154">
        <v>3</v>
      </c>
      <c r="M3" s="154">
        <v>1</v>
      </c>
      <c r="N3" t="s">
        <v>169</v>
      </c>
      <c r="P3">
        <v>84</v>
      </c>
    </row>
    <row r="4" spans="1:16" x14ac:dyDescent="0.25">
      <c r="A4" s="61" t="s">
        <v>133</v>
      </c>
      <c r="B4" s="155">
        <v>196</v>
      </c>
      <c r="C4" s="155">
        <v>161</v>
      </c>
      <c r="D4" s="155">
        <v>1</v>
      </c>
      <c r="E4" s="155">
        <v>17</v>
      </c>
      <c r="F4" s="155">
        <v>31</v>
      </c>
      <c r="G4" s="155">
        <f>6+15</f>
        <v>21</v>
      </c>
      <c r="H4" s="155"/>
      <c r="I4" s="155">
        <v>2</v>
      </c>
      <c r="J4" s="155">
        <v>7</v>
      </c>
      <c r="K4" s="155">
        <f t="shared" ref="K4:K9" si="0">SUM(C4:F4)</f>
        <v>210</v>
      </c>
      <c r="L4" s="155">
        <v>5</v>
      </c>
      <c r="M4" s="155"/>
      <c r="N4" t="s">
        <v>170</v>
      </c>
      <c r="P4">
        <v>161</v>
      </c>
    </row>
    <row r="5" spans="1:16" x14ac:dyDescent="0.25">
      <c r="A5" s="58" t="s">
        <v>134</v>
      </c>
      <c r="B5" s="154">
        <v>93</v>
      </c>
      <c r="C5" s="154">
        <v>82</v>
      </c>
      <c r="D5" s="154">
        <v>0</v>
      </c>
      <c r="E5" s="154">
        <v>10</v>
      </c>
      <c r="F5" s="154">
        <v>9</v>
      </c>
      <c r="G5" s="154">
        <v>3</v>
      </c>
      <c r="H5" s="154"/>
      <c r="I5" s="154">
        <v>1</v>
      </c>
      <c r="J5" s="154">
        <v>7</v>
      </c>
      <c r="K5" s="154">
        <f t="shared" si="0"/>
        <v>101</v>
      </c>
      <c r="L5" s="154"/>
      <c r="M5" s="154"/>
      <c r="N5" t="s">
        <v>171</v>
      </c>
      <c r="P5">
        <v>81</v>
      </c>
    </row>
    <row r="6" spans="1:16" x14ac:dyDescent="0.25">
      <c r="A6" s="61" t="s">
        <v>136</v>
      </c>
      <c r="B6" s="155">
        <v>346</v>
      </c>
      <c r="C6" s="155">
        <v>309</v>
      </c>
      <c r="D6" s="155">
        <v>15</v>
      </c>
      <c r="E6" s="155">
        <v>0</v>
      </c>
      <c r="F6" s="155">
        <v>91</v>
      </c>
      <c r="G6" s="155">
        <v>74</v>
      </c>
      <c r="H6" s="155">
        <v>35</v>
      </c>
      <c r="I6" s="155">
        <f>11+29</f>
        <v>40</v>
      </c>
      <c r="J6" s="155">
        <v>32</v>
      </c>
      <c r="K6" s="155">
        <f t="shared" si="0"/>
        <v>415</v>
      </c>
      <c r="L6" s="155">
        <v>35</v>
      </c>
      <c r="M6" s="155">
        <v>6</v>
      </c>
      <c r="N6" t="s">
        <v>172</v>
      </c>
      <c r="P6">
        <v>309</v>
      </c>
    </row>
    <row r="7" spans="1:16" x14ac:dyDescent="0.25">
      <c r="A7" s="58" t="s">
        <v>137</v>
      </c>
      <c r="B7" s="154">
        <v>433</v>
      </c>
      <c r="C7" s="154">
        <v>389</v>
      </c>
      <c r="D7" s="154">
        <v>8</v>
      </c>
      <c r="E7" s="154">
        <v>7</v>
      </c>
      <c r="F7" s="154">
        <v>61</v>
      </c>
      <c r="G7" s="154">
        <v>34</v>
      </c>
      <c r="H7" s="154"/>
      <c r="I7" s="154">
        <v>22</v>
      </c>
      <c r="J7" s="154">
        <v>73</v>
      </c>
      <c r="K7" s="154">
        <f t="shared" si="0"/>
        <v>465</v>
      </c>
      <c r="L7" s="154"/>
      <c r="M7" s="154"/>
      <c r="N7" t="s">
        <v>173</v>
      </c>
      <c r="P7">
        <v>389</v>
      </c>
    </row>
    <row r="8" spans="1:16" x14ac:dyDescent="0.25">
      <c r="A8" s="61" t="s">
        <v>88</v>
      </c>
      <c r="B8" s="155">
        <v>382</v>
      </c>
      <c r="C8" s="155">
        <v>228</v>
      </c>
      <c r="D8" s="155">
        <v>27</v>
      </c>
      <c r="E8" s="155">
        <v>1</v>
      </c>
      <c r="F8" s="155">
        <v>126</v>
      </c>
      <c r="G8" s="155">
        <v>0</v>
      </c>
      <c r="H8" s="155"/>
      <c r="I8" s="155">
        <v>28</v>
      </c>
      <c r="J8" s="155">
        <v>21</v>
      </c>
      <c r="K8" s="155">
        <f t="shared" si="0"/>
        <v>382</v>
      </c>
      <c r="L8" s="155"/>
      <c r="M8" s="155"/>
      <c r="N8" t="s">
        <v>174</v>
      </c>
      <c r="P8">
        <v>208</v>
      </c>
    </row>
    <row r="9" spans="1:16" x14ac:dyDescent="0.25">
      <c r="A9" s="58" t="s">
        <v>91</v>
      </c>
      <c r="B9" s="154">
        <v>464</v>
      </c>
      <c r="C9" s="154">
        <v>298</v>
      </c>
      <c r="D9" s="154">
        <v>5</v>
      </c>
      <c r="E9" s="154">
        <v>50</v>
      </c>
      <c r="F9" s="154">
        <v>139</v>
      </c>
      <c r="G9" s="154">
        <v>33</v>
      </c>
      <c r="H9" s="154"/>
      <c r="I9" s="154">
        <v>21</v>
      </c>
      <c r="J9" s="154">
        <v>21</v>
      </c>
      <c r="K9" s="154">
        <f t="shared" si="0"/>
        <v>492</v>
      </c>
      <c r="L9" s="154"/>
      <c r="M9" s="154">
        <v>11</v>
      </c>
      <c r="N9" t="s">
        <v>175</v>
      </c>
      <c r="P9">
        <v>277</v>
      </c>
    </row>
    <row r="10" spans="1:16" x14ac:dyDescent="0.25">
      <c r="A10" s="61" t="s">
        <v>69</v>
      </c>
      <c r="B10" s="155">
        <v>16</v>
      </c>
      <c r="C10" s="155">
        <v>10</v>
      </c>
      <c r="D10" s="155"/>
      <c r="E10" s="155">
        <v>1</v>
      </c>
      <c r="F10" s="155"/>
      <c r="G10" s="155"/>
      <c r="H10" s="155"/>
      <c r="I10" s="155"/>
      <c r="J10" s="155"/>
      <c r="K10" s="155">
        <f t="shared" ref="K10:K11" si="1">SUM(C10:F10)</f>
        <v>11</v>
      </c>
      <c r="L10" s="155"/>
      <c r="M10" s="155"/>
      <c r="P10">
        <v>10</v>
      </c>
    </row>
    <row r="11" spans="1:16" x14ac:dyDescent="0.25">
      <c r="A11" s="58" t="s">
        <v>138</v>
      </c>
      <c r="B11" s="154">
        <v>273</v>
      </c>
      <c r="C11" s="154">
        <v>229</v>
      </c>
      <c r="D11" s="154">
        <v>5</v>
      </c>
      <c r="E11" s="154">
        <v>7</v>
      </c>
      <c r="F11" s="154">
        <v>40</v>
      </c>
      <c r="G11" s="154">
        <v>8</v>
      </c>
      <c r="H11" s="154">
        <v>16</v>
      </c>
      <c r="I11" s="154">
        <f>+F11-G11</f>
        <v>32</v>
      </c>
      <c r="J11" s="154">
        <v>15</v>
      </c>
      <c r="K11" s="154">
        <f t="shared" si="1"/>
        <v>281</v>
      </c>
      <c r="L11" s="154"/>
      <c r="M11" s="154">
        <v>2</v>
      </c>
      <c r="N11" t="s">
        <v>176</v>
      </c>
      <c r="P11">
        <v>229</v>
      </c>
    </row>
    <row r="12" spans="1:16" x14ac:dyDescent="0.25">
      <c r="A12" s="61" t="s">
        <v>139</v>
      </c>
      <c r="B12" s="155">
        <v>280</v>
      </c>
      <c r="C12" s="155">
        <v>252</v>
      </c>
      <c r="D12" s="155">
        <v>30</v>
      </c>
      <c r="E12" s="155">
        <v>2</v>
      </c>
      <c r="F12" s="155">
        <v>29</v>
      </c>
      <c r="G12" s="155">
        <v>25</v>
      </c>
      <c r="H12" s="155"/>
      <c r="I12" s="155">
        <v>2</v>
      </c>
      <c r="J12" s="155">
        <v>16</v>
      </c>
      <c r="K12" s="155">
        <v>244</v>
      </c>
      <c r="L12" s="155">
        <v>26</v>
      </c>
      <c r="M12" s="155">
        <v>2</v>
      </c>
      <c r="O12" t="s">
        <v>177</v>
      </c>
      <c r="P12">
        <v>234</v>
      </c>
    </row>
    <row r="13" spans="1:16" x14ac:dyDescent="0.25">
      <c r="A13" s="58" t="s">
        <v>140</v>
      </c>
      <c r="B13" s="154">
        <f>46+15</f>
        <v>61</v>
      </c>
      <c r="C13" s="154">
        <v>60</v>
      </c>
      <c r="D13" s="154"/>
      <c r="E13" s="154">
        <v>8</v>
      </c>
      <c r="F13" s="154">
        <v>15</v>
      </c>
      <c r="G13" s="154">
        <v>12</v>
      </c>
      <c r="H13" s="154"/>
      <c r="I13" s="154">
        <v>0</v>
      </c>
      <c r="J13" s="154">
        <v>3</v>
      </c>
      <c r="K13" s="154">
        <f>SUM(C13,D13,J13)</f>
        <v>63</v>
      </c>
      <c r="L13" s="154"/>
      <c r="M13" s="154"/>
      <c r="N13" t="s">
        <v>178</v>
      </c>
      <c r="P13">
        <v>59</v>
      </c>
    </row>
    <row r="14" spans="1:16" x14ac:dyDescent="0.25">
      <c r="A14" s="57" t="s">
        <v>141</v>
      </c>
      <c r="B14" s="57">
        <f t="shared" ref="B14:K14" si="2">SUM(B3:B13)</f>
        <v>2640</v>
      </c>
      <c r="C14" s="57">
        <f t="shared" si="2"/>
        <v>2102</v>
      </c>
      <c r="D14" s="57">
        <f t="shared" si="2"/>
        <v>91</v>
      </c>
      <c r="E14" s="57">
        <f t="shared" si="2"/>
        <v>104</v>
      </c>
      <c r="F14" s="57">
        <f t="shared" si="2"/>
        <v>541</v>
      </c>
      <c r="G14" s="57">
        <f t="shared" si="2"/>
        <v>210</v>
      </c>
      <c r="H14" s="57"/>
      <c r="I14" s="57">
        <f t="shared" si="2"/>
        <v>155</v>
      </c>
      <c r="J14" s="57">
        <f t="shared" si="2"/>
        <v>237</v>
      </c>
      <c r="K14" s="57">
        <f t="shared" si="2"/>
        <v>2755</v>
      </c>
      <c r="L14" s="57"/>
      <c r="M14" s="57"/>
    </row>
    <row r="15" spans="1:16" x14ac:dyDescent="0.25">
      <c r="D15" s="156"/>
    </row>
    <row r="17" spans="1:18" ht="36" x14ac:dyDescent="0.25">
      <c r="A17" s="57" t="s">
        <v>1</v>
      </c>
      <c r="B17" s="57" t="s">
        <v>179</v>
      </c>
      <c r="C17" s="57" t="s">
        <v>179</v>
      </c>
      <c r="D17" s="57" t="s">
        <v>180</v>
      </c>
      <c r="E17" s="57" t="s">
        <v>181</v>
      </c>
      <c r="F17" s="57" t="s">
        <v>182</v>
      </c>
      <c r="G17" s="158" t="s">
        <v>183</v>
      </c>
      <c r="H17" s="158" t="s">
        <v>184</v>
      </c>
    </row>
    <row r="18" spans="1:18" x14ac:dyDescent="0.25">
      <c r="A18" s="58" t="s">
        <v>132</v>
      </c>
      <c r="B18" s="154">
        <f>+D18+E18+F18</f>
        <v>9</v>
      </c>
      <c r="C18" s="154">
        <v>3</v>
      </c>
      <c r="D18" s="154">
        <v>3</v>
      </c>
      <c r="E18" s="154">
        <v>3</v>
      </c>
      <c r="F18" s="154">
        <v>3</v>
      </c>
      <c r="G18" s="198">
        <f>+D18/B18</f>
        <v>0.33333333333333331</v>
      </c>
      <c r="H18" s="198">
        <f>+(E18+F18)/B18</f>
        <v>0.66666666666666663</v>
      </c>
    </row>
    <row r="19" spans="1:18" x14ac:dyDescent="0.25">
      <c r="A19" s="61" t="s">
        <v>133</v>
      </c>
      <c r="B19" s="155">
        <f>+D19+E19+F19</f>
        <v>99</v>
      </c>
      <c r="C19" s="155">
        <v>99</v>
      </c>
      <c r="D19" s="155">
        <v>22</v>
      </c>
      <c r="E19" s="155">
        <v>27</v>
      </c>
      <c r="F19" s="155">
        <v>50</v>
      </c>
      <c r="G19" s="199">
        <f t="shared" ref="G19:G29" si="3">+D19/B19</f>
        <v>0.22222222222222221</v>
      </c>
      <c r="H19" s="199">
        <f t="shared" ref="H19:H29" si="4">+(E19+F19)/B19</f>
        <v>0.77777777777777779</v>
      </c>
    </row>
    <row r="20" spans="1:18" ht="14.45" customHeight="1" x14ac:dyDescent="0.25">
      <c r="A20" s="58" t="s">
        <v>134</v>
      </c>
      <c r="B20" s="154">
        <f t="shared" ref="B20:B29" si="5">+D20+E20+F20</f>
        <v>8</v>
      </c>
      <c r="C20" s="154">
        <v>8</v>
      </c>
      <c r="D20" s="154">
        <v>0</v>
      </c>
      <c r="E20" s="154">
        <v>6</v>
      </c>
      <c r="F20" s="167">
        <v>2</v>
      </c>
      <c r="G20" s="200">
        <f t="shared" si="3"/>
        <v>0</v>
      </c>
      <c r="H20" s="200">
        <f t="shared" si="4"/>
        <v>1</v>
      </c>
      <c r="I20" s="168" t="s">
        <v>185</v>
      </c>
      <c r="J20" s="168"/>
      <c r="K20" s="168"/>
      <c r="L20" s="168"/>
      <c r="M20" s="168"/>
      <c r="N20" s="168"/>
      <c r="O20" s="168"/>
      <c r="P20" s="168"/>
      <c r="Q20" s="168"/>
      <c r="R20" s="168"/>
    </row>
    <row r="21" spans="1:18" x14ac:dyDescent="0.25">
      <c r="A21" s="61" t="s">
        <v>136</v>
      </c>
      <c r="B21" s="155">
        <f t="shared" si="5"/>
        <v>213</v>
      </c>
      <c r="C21" s="155">
        <v>238</v>
      </c>
      <c r="D21" s="155">
        <v>94</v>
      </c>
      <c r="E21" s="155">
        <v>59</v>
      </c>
      <c r="F21" s="155">
        <v>60</v>
      </c>
      <c r="G21" s="199">
        <f t="shared" si="3"/>
        <v>0.44131455399061031</v>
      </c>
      <c r="H21" s="199">
        <f t="shared" si="4"/>
        <v>0.55868544600938963</v>
      </c>
      <c r="I21" s="166"/>
      <c r="J21" s="166"/>
      <c r="K21" s="166"/>
      <c r="L21" s="166"/>
      <c r="M21" s="166"/>
      <c r="N21" s="166"/>
      <c r="O21" s="166"/>
      <c r="P21" s="166"/>
      <c r="Q21" s="166"/>
    </row>
    <row r="22" spans="1:18" ht="14.45" customHeight="1" x14ac:dyDescent="0.25">
      <c r="A22" s="58" t="s">
        <v>137</v>
      </c>
      <c r="B22" s="154">
        <f t="shared" si="5"/>
        <v>216</v>
      </c>
      <c r="C22" s="154">
        <v>323</v>
      </c>
      <c r="D22" s="154">
        <v>138</v>
      </c>
      <c r="E22" s="154">
        <v>42</v>
      </c>
      <c r="F22" s="154">
        <v>36</v>
      </c>
      <c r="G22" s="198">
        <f t="shared" si="3"/>
        <v>0.63888888888888884</v>
      </c>
      <c r="H22" s="198">
        <f t="shared" si="4"/>
        <v>0.3611111111111111</v>
      </c>
      <c r="I22" s="166"/>
      <c r="J22" s="166"/>
      <c r="K22" s="166"/>
      <c r="L22" s="166"/>
      <c r="M22" s="166"/>
      <c r="N22" s="166"/>
      <c r="O22" s="166"/>
      <c r="P22" s="166"/>
      <c r="Q22" s="166"/>
    </row>
    <row r="23" spans="1:18" ht="14.45" customHeight="1" x14ac:dyDescent="0.25">
      <c r="A23" s="61" t="s">
        <v>88</v>
      </c>
      <c r="B23" s="155">
        <f t="shared" si="5"/>
        <v>125</v>
      </c>
      <c r="C23" s="155">
        <v>125</v>
      </c>
      <c r="D23" s="155">
        <v>71</v>
      </c>
      <c r="E23" s="155">
        <v>35</v>
      </c>
      <c r="F23" s="155">
        <v>19</v>
      </c>
      <c r="G23" s="199">
        <f t="shared" si="3"/>
        <v>0.56799999999999995</v>
      </c>
      <c r="H23" s="199">
        <f t="shared" si="4"/>
        <v>0.432</v>
      </c>
      <c r="I23" s="166"/>
      <c r="J23" s="166"/>
      <c r="K23" s="166"/>
      <c r="L23" s="166"/>
      <c r="M23" s="166"/>
      <c r="N23" s="166"/>
      <c r="O23" s="166"/>
      <c r="P23" s="166"/>
      <c r="Q23" s="166"/>
    </row>
    <row r="24" spans="1:18" x14ac:dyDescent="0.25">
      <c r="A24" s="58" t="s">
        <v>91</v>
      </c>
      <c r="B24" s="154">
        <f t="shared" si="5"/>
        <v>82</v>
      </c>
      <c r="C24" s="154">
        <v>160</v>
      </c>
      <c r="D24" s="154">
        <v>39</v>
      </c>
      <c r="E24" s="154">
        <v>29</v>
      </c>
      <c r="F24" s="154">
        <v>14</v>
      </c>
      <c r="G24" s="198">
        <f t="shared" si="3"/>
        <v>0.47560975609756095</v>
      </c>
      <c r="H24" s="198">
        <f t="shared" si="4"/>
        <v>0.52439024390243905</v>
      </c>
    </row>
    <row r="25" spans="1:18" hidden="1" x14ac:dyDescent="0.25">
      <c r="A25" s="61" t="s">
        <v>69</v>
      </c>
      <c r="B25" s="155">
        <f>+D25+E25+F25</f>
        <v>0</v>
      </c>
      <c r="C25" s="155"/>
      <c r="D25" s="155"/>
      <c r="E25" s="155"/>
      <c r="F25" s="155"/>
      <c r="G25" s="199"/>
      <c r="H25" s="199"/>
    </row>
    <row r="26" spans="1:18" x14ac:dyDescent="0.25">
      <c r="A26" s="58" t="s">
        <v>138</v>
      </c>
      <c r="B26" s="154">
        <f t="shared" si="5"/>
        <v>251</v>
      </c>
      <c r="C26" s="154">
        <v>251</v>
      </c>
      <c r="D26" s="154">
        <v>151</v>
      </c>
      <c r="E26" s="154">
        <v>34</v>
      </c>
      <c r="F26" s="154">
        <v>66</v>
      </c>
      <c r="G26" s="198">
        <f t="shared" si="3"/>
        <v>0.60159362549800799</v>
      </c>
      <c r="H26" s="198">
        <f t="shared" si="4"/>
        <v>0.39840637450199201</v>
      </c>
    </row>
    <row r="27" spans="1:18" x14ac:dyDescent="0.25">
      <c r="A27" s="61" t="s">
        <v>139</v>
      </c>
      <c r="B27" s="155">
        <f t="shared" si="5"/>
        <v>300</v>
      </c>
      <c r="C27" s="155">
        <v>300</v>
      </c>
      <c r="D27" s="155">
        <v>127</v>
      </c>
      <c r="E27" s="155">
        <v>26</v>
      </c>
      <c r="F27" s="155">
        <v>147</v>
      </c>
      <c r="G27" s="199">
        <f t="shared" si="3"/>
        <v>0.42333333333333334</v>
      </c>
      <c r="H27" s="199">
        <f t="shared" si="4"/>
        <v>0.57666666666666666</v>
      </c>
    </row>
    <row r="28" spans="1:18" hidden="1" x14ac:dyDescent="0.25">
      <c r="A28" s="58" t="s">
        <v>140</v>
      </c>
      <c r="B28" s="154">
        <f t="shared" si="5"/>
        <v>0</v>
      </c>
      <c r="C28" s="154"/>
      <c r="D28" s="154"/>
      <c r="E28" s="154"/>
      <c r="F28" s="154"/>
      <c r="G28" s="199" t="e">
        <f t="shared" si="3"/>
        <v>#DIV/0!</v>
      </c>
      <c r="H28" s="199" t="e">
        <f t="shared" si="4"/>
        <v>#DIV/0!</v>
      </c>
    </row>
    <row r="29" spans="1:18" x14ac:dyDescent="0.25">
      <c r="A29" s="57" t="s">
        <v>141</v>
      </c>
      <c r="B29" s="57">
        <f t="shared" si="5"/>
        <v>1303</v>
      </c>
      <c r="C29" s="57">
        <f>SUM(C18:C28)</f>
        <v>1507</v>
      </c>
      <c r="D29" s="57">
        <f t="shared" ref="D29:F29" si="6">SUM(D18:D28)</f>
        <v>645</v>
      </c>
      <c r="E29" s="57">
        <f t="shared" si="6"/>
        <v>261</v>
      </c>
      <c r="F29" s="57">
        <f t="shared" si="6"/>
        <v>397</v>
      </c>
      <c r="G29" s="64">
        <f t="shared" si="3"/>
        <v>0.49501151189562548</v>
      </c>
      <c r="H29" s="64">
        <f t="shared" si="4"/>
        <v>0.50498848810437447</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7DBD1-E486-4872-98C3-6004075384AF}">
  <dimension ref="B2:J14"/>
  <sheetViews>
    <sheetView workbookViewId="0">
      <selection activeCell="E13" sqref="E13"/>
    </sheetView>
  </sheetViews>
  <sheetFormatPr baseColWidth="10" defaultColWidth="11.42578125" defaultRowHeight="15" x14ac:dyDescent="0.25"/>
  <cols>
    <col min="2" max="2" width="34.42578125" bestFit="1" customWidth="1"/>
  </cols>
  <sheetData>
    <row r="2" spans="2:10" x14ac:dyDescent="0.25">
      <c r="B2" t="s">
        <v>186</v>
      </c>
      <c r="C2" t="s">
        <v>187</v>
      </c>
      <c r="D2" t="s">
        <v>188</v>
      </c>
      <c r="E2" t="s">
        <v>189</v>
      </c>
      <c r="F2" t="s">
        <v>190</v>
      </c>
      <c r="G2" t="s">
        <v>191</v>
      </c>
      <c r="H2" t="s">
        <v>192</v>
      </c>
      <c r="J2" t="s">
        <v>193</v>
      </c>
    </row>
    <row r="3" spans="2:10" x14ac:dyDescent="0.25">
      <c r="B3" t="s">
        <v>194</v>
      </c>
      <c r="C3">
        <v>12</v>
      </c>
    </row>
    <row r="4" spans="2:10" x14ac:dyDescent="0.25">
      <c r="B4" t="s">
        <v>195</v>
      </c>
      <c r="C4">
        <v>128</v>
      </c>
      <c r="D4">
        <v>24</v>
      </c>
      <c r="E4">
        <v>58</v>
      </c>
      <c r="F4">
        <v>27</v>
      </c>
      <c r="G4">
        <v>18</v>
      </c>
      <c r="H4">
        <v>1</v>
      </c>
      <c r="I4">
        <v>0</v>
      </c>
    </row>
    <row r="5" spans="2:10" x14ac:dyDescent="0.25">
      <c r="B5" t="s">
        <v>196</v>
      </c>
      <c r="C5">
        <v>3</v>
      </c>
      <c r="D5">
        <v>3</v>
      </c>
      <c r="E5">
        <v>2</v>
      </c>
    </row>
    <row r="6" spans="2:10" x14ac:dyDescent="0.25">
      <c r="B6" t="s">
        <v>197</v>
      </c>
      <c r="C6">
        <v>15</v>
      </c>
      <c r="F6">
        <v>15</v>
      </c>
    </row>
    <row r="7" spans="2:10" x14ac:dyDescent="0.25">
      <c r="B7" t="s">
        <v>198</v>
      </c>
      <c r="C7">
        <v>79</v>
      </c>
      <c r="D7">
        <v>31</v>
      </c>
      <c r="E7">
        <v>31</v>
      </c>
      <c r="F7">
        <v>29</v>
      </c>
      <c r="H7">
        <v>3</v>
      </c>
    </row>
    <row r="8" spans="2:10" x14ac:dyDescent="0.25">
      <c r="B8" t="s">
        <v>199</v>
      </c>
      <c r="C8">
        <v>127</v>
      </c>
      <c r="D8">
        <v>79</v>
      </c>
      <c r="E8">
        <v>39</v>
      </c>
      <c r="F8">
        <v>7</v>
      </c>
      <c r="H8">
        <v>2</v>
      </c>
    </row>
    <row r="9" spans="2:10" x14ac:dyDescent="0.25">
      <c r="B9" t="s">
        <v>200</v>
      </c>
      <c r="C9">
        <v>49</v>
      </c>
    </row>
    <row r="10" spans="2:10" x14ac:dyDescent="0.25">
      <c r="B10" t="s">
        <v>201</v>
      </c>
      <c r="C10">
        <v>201</v>
      </c>
      <c r="E10">
        <v>80</v>
      </c>
      <c r="F10">
        <v>75</v>
      </c>
      <c r="G10">
        <v>15</v>
      </c>
    </row>
    <row r="11" spans="2:10" x14ac:dyDescent="0.25">
      <c r="B11" t="s">
        <v>202</v>
      </c>
      <c r="C11">
        <v>89</v>
      </c>
      <c r="D11">
        <v>15</v>
      </c>
      <c r="E11">
        <v>29</v>
      </c>
      <c r="F11">
        <v>31</v>
      </c>
      <c r="G11">
        <v>4</v>
      </c>
      <c r="I11">
        <v>5</v>
      </c>
      <c r="J11">
        <v>3</v>
      </c>
    </row>
    <row r="12" spans="2:10" x14ac:dyDescent="0.25">
      <c r="B12" t="s">
        <v>203</v>
      </c>
      <c r="C12">
        <v>123</v>
      </c>
      <c r="D12">
        <v>6</v>
      </c>
      <c r="E12">
        <v>48</v>
      </c>
      <c r="F12">
        <v>61</v>
      </c>
      <c r="G12">
        <v>6</v>
      </c>
      <c r="I12">
        <v>2</v>
      </c>
    </row>
    <row r="13" spans="2:10" x14ac:dyDescent="0.25">
      <c r="B13" t="s">
        <v>204</v>
      </c>
      <c r="C13">
        <v>16</v>
      </c>
      <c r="D13">
        <v>3</v>
      </c>
      <c r="E13">
        <v>2</v>
      </c>
      <c r="F13">
        <v>7</v>
      </c>
      <c r="G13">
        <v>4</v>
      </c>
    </row>
    <row r="14" spans="2:10" x14ac:dyDescent="0.25">
      <c r="B14" t="s">
        <v>205</v>
      </c>
      <c r="C14">
        <v>842</v>
      </c>
      <c r="D14">
        <v>161</v>
      </c>
      <c r="E14">
        <v>289</v>
      </c>
      <c r="F14">
        <v>252</v>
      </c>
      <c r="G14">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B12BF-A1E0-4520-B2B2-54DFC05F1159}">
  <dimension ref="B2:N81"/>
  <sheetViews>
    <sheetView topLeftCell="B65" workbookViewId="0">
      <selection activeCell="L76" sqref="L76"/>
    </sheetView>
  </sheetViews>
  <sheetFormatPr baseColWidth="10" defaultColWidth="11.42578125" defaultRowHeight="15" x14ac:dyDescent="0.25"/>
  <cols>
    <col min="3" max="3" width="21.5703125" bestFit="1" customWidth="1"/>
    <col min="4" max="5" width="11.42578125" hidden="1" customWidth="1"/>
    <col min="6" max="6" width="14.7109375" bestFit="1" customWidth="1"/>
    <col min="7" max="7" width="14.5703125" bestFit="1" customWidth="1"/>
    <col min="8" max="8" width="24.5703125" customWidth="1"/>
  </cols>
  <sheetData>
    <row r="2" spans="2:14" ht="15.75" thickBot="1" x14ac:dyDescent="0.3"/>
    <row r="3" spans="2:14" ht="45.75" thickBot="1" x14ac:dyDescent="0.3">
      <c r="B3" s="47" t="s">
        <v>1</v>
      </c>
      <c r="C3" s="69" t="s">
        <v>2</v>
      </c>
      <c r="D3" s="69" t="s">
        <v>206</v>
      </c>
      <c r="E3" s="69" t="s">
        <v>207</v>
      </c>
      <c r="F3" s="138" t="s">
        <v>208</v>
      </c>
      <c r="G3" s="153" t="s">
        <v>209</v>
      </c>
      <c r="H3" s="48" t="s">
        <v>210</v>
      </c>
      <c r="L3" s="169" t="s">
        <v>211</v>
      </c>
      <c r="M3" s="170" t="s">
        <v>1</v>
      </c>
      <c r="N3" s="170" t="s">
        <v>212</v>
      </c>
    </row>
    <row r="4" spans="2:14" ht="45.75" thickBot="1" x14ac:dyDescent="0.3">
      <c r="B4" s="244" t="s">
        <v>213</v>
      </c>
      <c r="C4" s="143" t="s">
        <v>214</v>
      </c>
      <c r="D4" s="143">
        <v>1</v>
      </c>
      <c r="E4" s="143">
        <v>1</v>
      </c>
      <c r="F4" s="144">
        <v>1</v>
      </c>
      <c r="G4" s="144">
        <v>1</v>
      </c>
      <c r="H4" s="259" t="s">
        <v>215</v>
      </c>
      <c r="L4" s="171" t="s">
        <v>216</v>
      </c>
      <c r="M4" s="172" t="s">
        <v>93</v>
      </c>
      <c r="N4" s="172" t="s">
        <v>217</v>
      </c>
    </row>
    <row r="5" spans="2:14" ht="45.75" thickBot="1" x14ac:dyDescent="0.3">
      <c r="B5" s="244"/>
      <c r="C5" s="143" t="s">
        <v>38</v>
      </c>
      <c r="D5" s="143">
        <v>2</v>
      </c>
      <c r="E5" s="143">
        <v>2</v>
      </c>
      <c r="F5" s="144">
        <v>2</v>
      </c>
      <c r="G5" s="144">
        <v>1</v>
      </c>
      <c r="H5" s="259"/>
      <c r="L5" s="171" t="s">
        <v>218</v>
      </c>
      <c r="M5" s="172" t="s">
        <v>219</v>
      </c>
      <c r="N5" s="172" t="s">
        <v>217</v>
      </c>
    </row>
    <row r="6" spans="2:14" ht="45.75" thickBot="1" x14ac:dyDescent="0.3">
      <c r="B6" s="244"/>
      <c r="C6" s="143" t="s">
        <v>220</v>
      </c>
      <c r="D6" s="143">
        <v>1</v>
      </c>
      <c r="E6" s="143">
        <v>1</v>
      </c>
      <c r="F6" s="144">
        <v>1</v>
      </c>
      <c r="G6" s="144">
        <v>1</v>
      </c>
      <c r="H6" s="259"/>
      <c r="L6" s="171" t="s">
        <v>221</v>
      </c>
      <c r="M6" s="172" t="s">
        <v>137</v>
      </c>
      <c r="N6" s="172" t="s">
        <v>217</v>
      </c>
    </row>
    <row r="7" spans="2:14" ht="45.75" thickBot="1" x14ac:dyDescent="0.3">
      <c r="B7" s="245"/>
      <c r="C7" s="143" t="s">
        <v>41</v>
      </c>
      <c r="D7" s="143">
        <v>1</v>
      </c>
      <c r="E7" s="143">
        <v>1</v>
      </c>
      <c r="F7" s="145">
        <v>1</v>
      </c>
      <c r="G7" s="144">
        <v>1</v>
      </c>
      <c r="H7" s="260"/>
      <c r="L7" s="171" t="s">
        <v>222</v>
      </c>
      <c r="M7" s="172" t="s">
        <v>223</v>
      </c>
      <c r="N7" s="172" t="s">
        <v>217</v>
      </c>
    </row>
    <row r="8" spans="2:14" ht="45.75" thickBot="1" x14ac:dyDescent="0.3">
      <c r="B8" s="246" t="s">
        <v>43</v>
      </c>
      <c r="C8" s="10" t="s">
        <v>40</v>
      </c>
      <c r="D8" s="139">
        <v>1</v>
      </c>
      <c r="E8" s="139">
        <v>1</v>
      </c>
      <c r="F8" s="140">
        <v>2</v>
      </c>
      <c r="G8" s="80">
        <v>1</v>
      </c>
      <c r="H8" s="254" t="s">
        <v>224</v>
      </c>
      <c r="L8" s="171" t="s">
        <v>225</v>
      </c>
      <c r="M8" s="172" t="s">
        <v>226</v>
      </c>
      <c r="N8" s="172" t="s">
        <v>217</v>
      </c>
    </row>
    <row r="9" spans="2:14" ht="45.75" thickBot="1" x14ac:dyDescent="0.3">
      <c r="B9" s="246"/>
      <c r="C9" s="10" t="s">
        <v>41</v>
      </c>
      <c r="D9" s="139">
        <v>1</v>
      </c>
      <c r="E9" s="139">
        <v>1</v>
      </c>
      <c r="F9" s="140">
        <v>2</v>
      </c>
      <c r="G9" s="80">
        <v>1</v>
      </c>
      <c r="H9" s="254"/>
      <c r="L9" s="171" t="s">
        <v>227</v>
      </c>
      <c r="M9" s="172" t="s">
        <v>136</v>
      </c>
      <c r="N9" s="172" t="s">
        <v>217</v>
      </c>
    </row>
    <row r="10" spans="2:14" ht="45.75" thickBot="1" x14ac:dyDescent="0.3">
      <c r="B10" s="246"/>
      <c r="C10" s="10" t="s">
        <v>45</v>
      </c>
      <c r="D10" s="139">
        <v>0</v>
      </c>
      <c r="E10" s="141">
        <v>1</v>
      </c>
      <c r="F10" s="140">
        <v>1</v>
      </c>
      <c r="G10" s="80">
        <v>1</v>
      </c>
      <c r="H10" s="254"/>
      <c r="L10" s="171" t="s">
        <v>228</v>
      </c>
      <c r="M10" s="172" t="s">
        <v>91</v>
      </c>
      <c r="N10" s="172" t="s">
        <v>217</v>
      </c>
    </row>
    <row r="11" spans="2:14" ht="45.75" thickBot="1" x14ac:dyDescent="0.3">
      <c r="B11" s="246"/>
      <c r="C11" s="10" t="s">
        <v>46</v>
      </c>
      <c r="D11" s="139">
        <v>0</v>
      </c>
      <c r="E11" s="141">
        <v>1</v>
      </c>
      <c r="F11" s="140">
        <v>0</v>
      </c>
      <c r="G11" s="80">
        <v>1</v>
      </c>
      <c r="H11" s="254"/>
      <c r="L11" s="171" t="s">
        <v>229</v>
      </c>
      <c r="M11" s="172" t="s">
        <v>226</v>
      </c>
      <c r="N11" s="172" t="s">
        <v>217</v>
      </c>
    </row>
    <row r="12" spans="2:14" x14ac:dyDescent="0.25">
      <c r="B12" s="246"/>
      <c r="C12" s="10" t="s">
        <v>47</v>
      </c>
      <c r="D12" s="139">
        <v>0</v>
      </c>
      <c r="E12" s="141">
        <v>1</v>
      </c>
      <c r="F12" s="140">
        <v>0</v>
      </c>
      <c r="G12" s="80">
        <v>1</v>
      </c>
      <c r="H12" s="254"/>
    </row>
    <row r="13" spans="2:14" x14ac:dyDescent="0.25">
      <c r="B13" s="247" t="s">
        <v>48</v>
      </c>
      <c r="C13" s="146" t="s">
        <v>38</v>
      </c>
      <c r="D13" s="143">
        <v>0</v>
      </c>
      <c r="E13" s="143">
        <v>2</v>
      </c>
      <c r="F13" s="145">
        <v>2</v>
      </c>
      <c r="G13" s="147">
        <v>1</v>
      </c>
      <c r="H13" s="256" t="s">
        <v>230</v>
      </c>
    </row>
    <row r="14" spans="2:14" x14ac:dyDescent="0.25">
      <c r="B14" s="248"/>
      <c r="C14" s="146" t="s">
        <v>40</v>
      </c>
      <c r="D14" s="143">
        <v>2</v>
      </c>
      <c r="E14" s="143">
        <v>1</v>
      </c>
      <c r="F14" s="145">
        <v>1</v>
      </c>
      <c r="G14" s="147">
        <v>1</v>
      </c>
      <c r="H14" s="257"/>
    </row>
    <row r="15" spans="2:14" x14ac:dyDescent="0.25">
      <c r="B15" s="248"/>
      <c r="C15" s="146" t="s">
        <v>41</v>
      </c>
      <c r="D15" s="143">
        <v>2</v>
      </c>
      <c r="E15" s="143">
        <v>1</v>
      </c>
      <c r="F15" s="145">
        <v>1</v>
      </c>
      <c r="G15" s="147">
        <v>1</v>
      </c>
      <c r="H15" s="257"/>
    </row>
    <row r="16" spans="2:14" x14ac:dyDescent="0.25">
      <c r="B16" s="249"/>
      <c r="C16" s="146" t="s">
        <v>45</v>
      </c>
      <c r="D16" s="143"/>
      <c r="E16" s="143"/>
      <c r="F16" s="145"/>
      <c r="G16" s="147"/>
      <c r="H16" s="258"/>
    </row>
    <row r="17" spans="2:8" x14ac:dyDescent="0.25">
      <c r="B17" s="243" t="s">
        <v>50</v>
      </c>
      <c r="C17" s="10" t="s">
        <v>46</v>
      </c>
      <c r="D17" s="139">
        <v>2</v>
      </c>
      <c r="E17" s="139">
        <v>2</v>
      </c>
      <c r="F17" s="140">
        <v>3</v>
      </c>
      <c r="G17" s="80">
        <v>2</v>
      </c>
      <c r="H17" s="255" t="s">
        <v>231</v>
      </c>
    </row>
    <row r="18" spans="2:8" x14ac:dyDescent="0.25">
      <c r="B18" s="243"/>
      <c r="C18" s="10" t="s">
        <v>47</v>
      </c>
      <c r="D18" s="139">
        <v>1</v>
      </c>
      <c r="E18" s="141">
        <v>2</v>
      </c>
      <c r="F18" s="140">
        <v>2</v>
      </c>
      <c r="G18" s="80">
        <v>2</v>
      </c>
      <c r="H18" s="255"/>
    </row>
    <row r="19" spans="2:8" x14ac:dyDescent="0.25">
      <c r="B19" s="243"/>
      <c r="C19" s="10" t="s">
        <v>51</v>
      </c>
      <c r="D19" s="139">
        <v>1</v>
      </c>
      <c r="E19" s="139">
        <v>1</v>
      </c>
      <c r="F19" s="140">
        <v>1</v>
      </c>
      <c r="G19" s="80">
        <v>2</v>
      </c>
      <c r="H19" s="255"/>
    </row>
    <row r="20" spans="2:8" x14ac:dyDescent="0.25">
      <c r="B20" s="243"/>
      <c r="C20" s="10" t="s">
        <v>52</v>
      </c>
      <c r="D20" s="139">
        <v>0.5</v>
      </c>
      <c r="E20" s="139">
        <v>1</v>
      </c>
      <c r="F20" s="140">
        <v>1</v>
      </c>
      <c r="G20" s="80">
        <v>1</v>
      </c>
      <c r="H20" s="255"/>
    </row>
    <row r="21" spans="2:8" x14ac:dyDescent="0.25">
      <c r="B21" s="243"/>
      <c r="C21" s="10" t="s">
        <v>53</v>
      </c>
      <c r="D21" s="139">
        <v>0.5</v>
      </c>
      <c r="E21" s="139">
        <v>1</v>
      </c>
      <c r="F21" s="140">
        <v>1</v>
      </c>
      <c r="G21" s="80">
        <v>1</v>
      </c>
      <c r="H21" s="255"/>
    </row>
    <row r="22" spans="2:8" x14ac:dyDescent="0.25">
      <c r="B22" s="243"/>
      <c r="C22" s="10" t="s">
        <v>54</v>
      </c>
      <c r="D22" s="139">
        <v>0</v>
      </c>
      <c r="E22" s="141">
        <v>1</v>
      </c>
      <c r="F22" s="140">
        <v>1</v>
      </c>
      <c r="G22" s="80">
        <v>0</v>
      </c>
      <c r="H22" s="255"/>
    </row>
    <row r="23" spans="2:8" x14ac:dyDescent="0.25">
      <c r="B23" s="243"/>
      <c r="C23" s="10" t="s">
        <v>55</v>
      </c>
      <c r="D23" s="139">
        <v>0</v>
      </c>
      <c r="E23" s="141">
        <v>1</v>
      </c>
      <c r="F23" s="140">
        <v>1</v>
      </c>
      <c r="G23" s="80">
        <v>0</v>
      </c>
      <c r="H23" s="255"/>
    </row>
    <row r="24" spans="2:8" x14ac:dyDescent="0.25">
      <c r="B24" s="243"/>
      <c r="C24" s="10" t="s">
        <v>57</v>
      </c>
      <c r="D24" s="139">
        <v>0</v>
      </c>
      <c r="E24" s="141">
        <v>1</v>
      </c>
      <c r="F24" s="140">
        <v>1</v>
      </c>
      <c r="G24" s="80">
        <v>0</v>
      </c>
      <c r="H24" s="255"/>
    </row>
    <row r="25" spans="2:8" x14ac:dyDescent="0.25">
      <c r="B25" s="243"/>
      <c r="C25" s="10" t="s">
        <v>58</v>
      </c>
      <c r="D25" s="139">
        <v>0</v>
      </c>
      <c r="E25" s="141">
        <v>1</v>
      </c>
      <c r="F25" s="140">
        <v>0</v>
      </c>
      <c r="G25" s="80">
        <v>1</v>
      </c>
      <c r="H25" s="255"/>
    </row>
    <row r="26" spans="2:8" x14ac:dyDescent="0.25">
      <c r="B26" s="243" t="s">
        <v>59</v>
      </c>
      <c r="C26" s="10" t="s">
        <v>45</v>
      </c>
      <c r="D26" s="139"/>
      <c r="E26" s="141">
        <v>2</v>
      </c>
      <c r="F26" s="140">
        <v>2</v>
      </c>
      <c r="G26" s="80">
        <v>2</v>
      </c>
      <c r="H26" s="261" t="s">
        <v>232</v>
      </c>
    </row>
    <row r="27" spans="2:8" x14ac:dyDescent="0.25">
      <c r="B27" s="243"/>
      <c r="C27" s="10" t="s">
        <v>46</v>
      </c>
      <c r="D27" s="139">
        <v>1</v>
      </c>
      <c r="E27" s="139">
        <v>1</v>
      </c>
      <c r="F27" s="140">
        <v>1</v>
      </c>
      <c r="G27" s="80">
        <v>2</v>
      </c>
      <c r="H27" s="261"/>
    </row>
    <row r="28" spans="2:8" x14ac:dyDescent="0.25">
      <c r="B28" s="243"/>
      <c r="C28" s="10" t="s">
        <v>47</v>
      </c>
      <c r="D28" s="139">
        <v>1</v>
      </c>
      <c r="E28" s="141">
        <v>2</v>
      </c>
      <c r="F28" s="140">
        <v>2</v>
      </c>
      <c r="G28" s="80">
        <v>2</v>
      </c>
      <c r="H28" s="261"/>
    </row>
    <row r="29" spans="2:8" x14ac:dyDescent="0.25">
      <c r="B29" s="243"/>
      <c r="C29" s="10" t="s">
        <v>51</v>
      </c>
      <c r="D29" s="139">
        <v>1</v>
      </c>
      <c r="E29" s="139">
        <v>1</v>
      </c>
      <c r="F29" s="140">
        <v>1</v>
      </c>
      <c r="G29" s="80">
        <v>1</v>
      </c>
      <c r="H29" s="261"/>
    </row>
    <row r="30" spans="2:8" x14ac:dyDescent="0.25">
      <c r="B30" s="243"/>
      <c r="C30" s="10" t="s">
        <v>52</v>
      </c>
      <c r="D30" s="139">
        <v>0</v>
      </c>
      <c r="E30" s="141">
        <v>1</v>
      </c>
      <c r="F30" s="140">
        <v>1</v>
      </c>
      <c r="G30" s="80">
        <v>1</v>
      </c>
      <c r="H30" s="261"/>
    </row>
    <row r="31" spans="2:8" x14ac:dyDescent="0.25">
      <c r="B31" s="243"/>
      <c r="C31" s="10" t="s">
        <v>53</v>
      </c>
      <c r="D31" s="139">
        <v>0</v>
      </c>
      <c r="E31" s="141">
        <v>1</v>
      </c>
      <c r="F31" s="140">
        <v>1</v>
      </c>
      <c r="G31" s="80">
        <v>1</v>
      </c>
      <c r="H31" s="261"/>
    </row>
    <row r="32" spans="2:8" x14ac:dyDescent="0.25">
      <c r="B32" s="243"/>
      <c r="C32" s="10" t="s">
        <v>54</v>
      </c>
      <c r="D32" s="139">
        <v>0</v>
      </c>
      <c r="E32" s="141">
        <v>1</v>
      </c>
      <c r="F32" s="140">
        <v>1</v>
      </c>
      <c r="G32" s="80">
        <v>0</v>
      </c>
      <c r="H32" s="261"/>
    </row>
    <row r="33" spans="2:8" x14ac:dyDescent="0.25">
      <c r="B33" s="243"/>
      <c r="C33" s="10" t="s">
        <v>55</v>
      </c>
      <c r="D33" s="139">
        <v>0</v>
      </c>
      <c r="E33" s="141">
        <v>1</v>
      </c>
      <c r="F33" s="140">
        <v>1</v>
      </c>
      <c r="G33" s="80">
        <v>0</v>
      </c>
      <c r="H33" s="261"/>
    </row>
    <row r="34" spans="2:8" x14ac:dyDescent="0.25">
      <c r="B34" s="243"/>
      <c r="C34" s="10" t="s">
        <v>57</v>
      </c>
      <c r="D34" s="139">
        <v>0</v>
      </c>
      <c r="E34" s="141">
        <v>1</v>
      </c>
      <c r="F34" s="140">
        <v>1</v>
      </c>
      <c r="G34" s="80">
        <v>0</v>
      </c>
      <c r="H34" s="261"/>
    </row>
    <row r="35" spans="2:8" x14ac:dyDescent="0.25">
      <c r="B35" s="243" t="s">
        <v>60</v>
      </c>
      <c r="C35" s="10" t="s">
        <v>45</v>
      </c>
      <c r="D35" s="139">
        <v>1</v>
      </c>
      <c r="E35" s="141">
        <v>2</v>
      </c>
      <c r="F35" s="140">
        <v>2</v>
      </c>
      <c r="G35" s="80">
        <v>2</v>
      </c>
      <c r="H35" s="254" t="s">
        <v>233</v>
      </c>
    </row>
    <row r="36" spans="2:8" x14ac:dyDescent="0.25">
      <c r="B36" s="243"/>
      <c r="C36" s="10" t="s">
        <v>46</v>
      </c>
      <c r="D36" s="139">
        <v>2</v>
      </c>
      <c r="E36" s="139">
        <v>1</v>
      </c>
      <c r="F36" s="140">
        <v>1</v>
      </c>
      <c r="G36" s="80">
        <v>2</v>
      </c>
      <c r="H36" s="254"/>
    </row>
    <row r="37" spans="2:8" x14ac:dyDescent="0.25">
      <c r="B37" s="243"/>
      <c r="C37" s="10" t="s">
        <v>47</v>
      </c>
      <c r="D37" s="139">
        <v>1</v>
      </c>
      <c r="E37" s="139">
        <v>2</v>
      </c>
      <c r="F37" s="140">
        <v>2</v>
      </c>
      <c r="G37" s="80">
        <v>1</v>
      </c>
      <c r="H37" s="254"/>
    </row>
    <row r="38" spans="2:8" x14ac:dyDescent="0.25">
      <c r="B38" s="243"/>
      <c r="C38" s="10" t="s">
        <v>51</v>
      </c>
      <c r="D38" s="139">
        <v>1</v>
      </c>
      <c r="E38" s="139">
        <v>1</v>
      </c>
      <c r="F38" s="140">
        <v>1</v>
      </c>
      <c r="G38" s="80">
        <v>1</v>
      </c>
      <c r="H38" s="254"/>
    </row>
    <row r="39" spans="2:8" x14ac:dyDescent="0.25">
      <c r="B39" s="243"/>
      <c r="C39" s="10" t="s">
        <v>52</v>
      </c>
      <c r="D39" s="139">
        <v>0.5</v>
      </c>
      <c r="E39" s="139">
        <v>1</v>
      </c>
      <c r="F39" s="140">
        <v>1</v>
      </c>
      <c r="G39" s="80">
        <v>1</v>
      </c>
      <c r="H39" s="254"/>
    </row>
    <row r="40" spans="2:8" x14ac:dyDescent="0.25">
      <c r="B40" s="243"/>
      <c r="C40" s="10" t="s">
        <v>53</v>
      </c>
      <c r="D40" s="139">
        <v>0.5</v>
      </c>
      <c r="E40" s="141">
        <v>1</v>
      </c>
      <c r="F40" s="140">
        <v>1</v>
      </c>
      <c r="G40" s="80">
        <v>0</v>
      </c>
      <c r="H40" s="254"/>
    </row>
    <row r="41" spans="2:8" x14ac:dyDescent="0.25">
      <c r="B41" s="243"/>
      <c r="C41" s="10" t="s">
        <v>54</v>
      </c>
      <c r="D41" s="139">
        <v>0</v>
      </c>
      <c r="E41" s="141">
        <v>1</v>
      </c>
      <c r="F41" s="140">
        <v>1</v>
      </c>
      <c r="G41" s="80">
        <v>1</v>
      </c>
      <c r="H41" s="254"/>
    </row>
    <row r="42" spans="2:8" x14ac:dyDescent="0.25">
      <c r="B42" s="243"/>
      <c r="C42" s="10" t="s">
        <v>55</v>
      </c>
      <c r="D42" s="139">
        <v>0</v>
      </c>
      <c r="E42" s="141">
        <v>1</v>
      </c>
      <c r="F42" s="140">
        <v>1</v>
      </c>
      <c r="G42" s="80">
        <v>0</v>
      </c>
      <c r="H42" s="254"/>
    </row>
    <row r="43" spans="2:8" x14ac:dyDescent="0.25">
      <c r="B43" s="243"/>
      <c r="C43" s="10" t="s">
        <v>57</v>
      </c>
      <c r="D43" s="139">
        <v>0</v>
      </c>
      <c r="E43" s="141">
        <v>1</v>
      </c>
      <c r="F43" s="140">
        <v>1</v>
      </c>
      <c r="G43" s="80">
        <v>0</v>
      </c>
      <c r="H43" s="254"/>
    </row>
    <row r="44" spans="2:8" x14ac:dyDescent="0.25">
      <c r="B44" s="250" t="s">
        <v>62</v>
      </c>
      <c r="C44" s="10" t="s">
        <v>40</v>
      </c>
      <c r="D44" s="139">
        <v>0</v>
      </c>
      <c r="E44" s="141">
        <v>1</v>
      </c>
      <c r="F44" s="140">
        <v>1</v>
      </c>
      <c r="G44" s="220">
        <v>1</v>
      </c>
      <c r="H44" s="255" t="s">
        <v>234</v>
      </c>
    </row>
    <row r="45" spans="2:8" x14ac:dyDescent="0.25">
      <c r="B45" s="250"/>
      <c r="C45" s="10" t="s">
        <v>41</v>
      </c>
      <c r="D45" s="139">
        <v>0</v>
      </c>
      <c r="E45" s="141">
        <v>1</v>
      </c>
      <c r="F45" s="140">
        <v>1</v>
      </c>
      <c r="G45" s="220">
        <v>1</v>
      </c>
      <c r="H45" s="255"/>
    </row>
    <row r="46" spans="2:8" x14ac:dyDescent="0.25">
      <c r="B46" s="250"/>
      <c r="C46" s="10" t="s">
        <v>45</v>
      </c>
      <c r="D46" s="139">
        <v>0</v>
      </c>
      <c r="E46" s="141">
        <v>1</v>
      </c>
      <c r="F46" s="140">
        <v>1</v>
      </c>
      <c r="G46" s="80">
        <v>1</v>
      </c>
      <c r="H46" s="255"/>
    </row>
    <row r="47" spans="2:8" x14ac:dyDescent="0.25">
      <c r="B47" s="250"/>
      <c r="C47" s="10" t="s">
        <v>46</v>
      </c>
      <c r="D47" s="139">
        <v>0</v>
      </c>
      <c r="E47" s="141">
        <v>1</v>
      </c>
      <c r="F47" s="140">
        <v>1</v>
      </c>
      <c r="G47" s="80">
        <v>2</v>
      </c>
      <c r="H47" s="255"/>
    </row>
    <row r="48" spans="2:8" x14ac:dyDescent="0.25">
      <c r="B48" s="250"/>
      <c r="C48" s="10" t="s">
        <v>47</v>
      </c>
      <c r="D48" s="139">
        <v>0</v>
      </c>
      <c r="E48" s="141">
        <v>1</v>
      </c>
      <c r="F48" s="140">
        <v>1</v>
      </c>
      <c r="G48" s="80">
        <v>1</v>
      </c>
      <c r="H48" s="255"/>
    </row>
    <row r="49" spans="2:8" x14ac:dyDescent="0.25">
      <c r="B49" s="250"/>
      <c r="C49" s="10" t="s">
        <v>51</v>
      </c>
      <c r="D49" s="139">
        <v>0</v>
      </c>
      <c r="E49" s="141">
        <v>1</v>
      </c>
      <c r="F49" s="140">
        <v>1</v>
      </c>
      <c r="G49" s="80">
        <v>0</v>
      </c>
      <c r="H49" s="255"/>
    </row>
    <row r="50" spans="2:8" x14ac:dyDescent="0.25">
      <c r="B50" s="250"/>
      <c r="C50" s="10" t="s">
        <v>52</v>
      </c>
      <c r="D50" s="139">
        <v>0</v>
      </c>
      <c r="E50" s="141">
        <v>1</v>
      </c>
      <c r="F50" s="140">
        <v>1</v>
      </c>
      <c r="G50" s="80">
        <v>0</v>
      </c>
      <c r="H50" s="255"/>
    </row>
    <row r="51" spans="2:8" x14ac:dyDescent="0.25">
      <c r="B51" s="250"/>
      <c r="C51" s="10" t="s">
        <v>53</v>
      </c>
      <c r="D51" s="139">
        <v>0</v>
      </c>
      <c r="E51" s="141">
        <v>1</v>
      </c>
      <c r="F51" s="140">
        <v>1</v>
      </c>
      <c r="G51" s="80">
        <v>0</v>
      </c>
      <c r="H51" s="255"/>
    </row>
    <row r="52" spans="2:8" x14ac:dyDescent="0.25">
      <c r="B52" s="250"/>
      <c r="C52" s="10" t="s">
        <v>54</v>
      </c>
      <c r="D52" s="139">
        <v>0</v>
      </c>
      <c r="E52" s="141">
        <v>1</v>
      </c>
      <c r="F52" s="140">
        <v>1</v>
      </c>
      <c r="G52" s="220">
        <v>1</v>
      </c>
      <c r="H52" s="255"/>
    </row>
    <row r="53" spans="2:8" x14ac:dyDescent="0.25">
      <c r="B53" s="250"/>
      <c r="C53" s="10" t="s">
        <v>55</v>
      </c>
      <c r="D53" s="139">
        <v>0</v>
      </c>
      <c r="E53" s="141">
        <v>1</v>
      </c>
      <c r="F53" s="140">
        <v>1</v>
      </c>
      <c r="G53" s="80">
        <v>0</v>
      </c>
      <c r="H53" s="255"/>
    </row>
    <row r="54" spans="2:8" x14ac:dyDescent="0.25">
      <c r="B54" s="250"/>
      <c r="C54" s="10" t="s">
        <v>57</v>
      </c>
      <c r="D54" s="139">
        <v>1</v>
      </c>
      <c r="E54" s="141">
        <v>1</v>
      </c>
      <c r="F54" s="140">
        <v>1</v>
      </c>
      <c r="G54" s="80">
        <v>1</v>
      </c>
      <c r="H54" s="255"/>
    </row>
    <row r="55" spans="2:8" x14ac:dyDescent="0.25">
      <c r="B55" s="250"/>
      <c r="C55" s="10" t="s">
        <v>58</v>
      </c>
      <c r="D55" s="139">
        <v>1</v>
      </c>
      <c r="E55" s="141">
        <v>1</v>
      </c>
      <c r="F55" s="140">
        <v>1</v>
      </c>
      <c r="G55" s="80">
        <v>1</v>
      </c>
      <c r="H55" s="255"/>
    </row>
    <row r="56" spans="2:8" x14ac:dyDescent="0.25">
      <c r="B56" s="250"/>
      <c r="C56" s="148" t="s">
        <v>235</v>
      </c>
      <c r="D56" s="149">
        <v>1</v>
      </c>
      <c r="E56" s="141">
        <v>1</v>
      </c>
      <c r="F56" s="150">
        <v>1</v>
      </c>
      <c r="G56" s="151"/>
      <c r="H56" s="255"/>
    </row>
    <row r="57" spans="2:8" x14ac:dyDescent="0.25">
      <c r="B57" s="250"/>
      <c r="C57" s="10" t="s">
        <v>66</v>
      </c>
      <c r="D57" s="139">
        <v>0</v>
      </c>
      <c r="E57" s="141">
        <v>1</v>
      </c>
      <c r="F57" s="140">
        <v>1</v>
      </c>
      <c r="G57" s="80">
        <v>1</v>
      </c>
      <c r="H57" s="255"/>
    </row>
    <row r="58" spans="2:8" x14ac:dyDescent="0.25">
      <c r="B58" s="243" t="s">
        <v>70</v>
      </c>
      <c r="C58" s="10" t="s">
        <v>45</v>
      </c>
      <c r="D58" s="139">
        <v>1</v>
      </c>
      <c r="E58" s="141">
        <v>2</v>
      </c>
      <c r="F58" s="140">
        <v>2</v>
      </c>
      <c r="G58" s="80">
        <v>2</v>
      </c>
      <c r="H58" s="254" t="s">
        <v>236</v>
      </c>
    </row>
    <row r="59" spans="2:8" x14ac:dyDescent="0.25">
      <c r="B59" s="243"/>
      <c r="C59" s="10" t="s">
        <v>46</v>
      </c>
      <c r="D59" s="139">
        <v>1</v>
      </c>
      <c r="E59" s="139">
        <v>1</v>
      </c>
      <c r="F59" s="221">
        <v>1</v>
      </c>
      <c r="G59" s="80">
        <v>2</v>
      </c>
      <c r="H59" s="254"/>
    </row>
    <row r="60" spans="2:8" x14ac:dyDescent="0.25">
      <c r="B60" s="243"/>
      <c r="C60" s="10" t="s">
        <v>47</v>
      </c>
      <c r="D60" s="139">
        <v>1</v>
      </c>
      <c r="E60" s="139">
        <v>1</v>
      </c>
      <c r="F60" s="140">
        <v>1</v>
      </c>
      <c r="G60" s="80">
        <v>2</v>
      </c>
      <c r="H60" s="254"/>
    </row>
    <row r="61" spans="2:8" x14ac:dyDescent="0.25">
      <c r="B61" s="243"/>
      <c r="C61" s="10" t="s">
        <v>51</v>
      </c>
      <c r="D61" s="139">
        <v>1</v>
      </c>
      <c r="E61" s="139">
        <v>1</v>
      </c>
      <c r="F61" s="140">
        <v>1</v>
      </c>
      <c r="G61" s="80">
        <v>1</v>
      </c>
      <c r="H61" s="254"/>
    </row>
    <row r="62" spans="2:8" x14ac:dyDescent="0.25">
      <c r="B62" s="243"/>
      <c r="C62" s="10" t="s">
        <v>52</v>
      </c>
      <c r="D62" s="139">
        <v>1</v>
      </c>
      <c r="E62" s="139">
        <v>1</v>
      </c>
      <c r="F62" s="140">
        <v>1</v>
      </c>
      <c r="G62" s="220">
        <v>1</v>
      </c>
      <c r="H62" s="254"/>
    </row>
    <row r="63" spans="2:8" x14ac:dyDescent="0.25">
      <c r="B63" s="243"/>
      <c r="C63" s="10" t="s">
        <v>53</v>
      </c>
      <c r="D63" s="139">
        <v>1</v>
      </c>
      <c r="E63" s="139">
        <v>1</v>
      </c>
      <c r="F63" s="140">
        <v>1</v>
      </c>
      <c r="G63" s="80">
        <v>1</v>
      </c>
      <c r="H63" s="254"/>
    </row>
    <row r="64" spans="2:8" x14ac:dyDescent="0.25">
      <c r="B64" s="243"/>
      <c r="C64" s="10" t="s">
        <v>54</v>
      </c>
      <c r="D64" s="139">
        <v>0</v>
      </c>
      <c r="E64" s="141">
        <v>1</v>
      </c>
      <c r="F64" s="140">
        <v>1</v>
      </c>
      <c r="G64" s="80">
        <v>0</v>
      </c>
      <c r="H64" s="254"/>
    </row>
    <row r="65" spans="2:8" x14ac:dyDescent="0.25">
      <c r="B65" s="243"/>
      <c r="C65" s="10" t="s">
        <v>55</v>
      </c>
      <c r="D65" s="139">
        <v>0</v>
      </c>
      <c r="E65" s="141">
        <v>1</v>
      </c>
      <c r="F65" s="140">
        <v>1</v>
      </c>
      <c r="G65" s="80">
        <v>0</v>
      </c>
      <c r="H65" s="254"/>
    </row>
    <row r="66" spans="2:8" x14ac:dyDescent="0.25">
      <c r="B66" s="243"/>
      <c r="C66" s="10" t="s">
        <v>57</v>
      </c>
      <c r="D66" s="139">
        <v>0</v>
      </c>
      <c r="E66" s="141">
        <v>1</v>
      </c>
      <c r="F66" s="140">
        <v>1</v>
      </c>
      <c r="G66" s="81">
        <v>0</v>
      </c>
      <c r="H66" s="254"/>
    </row>
    <row r="67" spans="2:8" x14ac:dyDescent="0.25">
      <c r="B67" s="251" t="s">
        <v>71</v>
      </c>
      <c r="C67" s="10" t="s">
        <v>40</v>
      </c>
      <c r="D67" s="142"/>
      <c r="E67" s="139"/>
      <c r="F67" s="140"/>
      <c r="G67" s="81"/>
      <c r="H67" s="255" t="s">
        <v>237</v>
      </c>
    </row>
    <row r="68" spans="2:8" x14ac:dyDescent="0.25">
      <c r="B68" s="252"/>
      <c r="C68" s="10" t="s">
        <v>41</v>
      </c>
      <c r="D68" s="139">
        <v>1</v>
      </c>
      <c r="E68" s="139"/>
      <c r="F68" s="140"/>
      <c r="G68" s="81"/>
      <c r="H68" s="255"/>
    </row>
    <row r="69" spans="2:8" x14ac:dyDescent="0.25">
      <c r="B69" s="252"/>
      <c r="C69" s="10" t="s">
        <v>45</v>
      </c>
      <c r="D69" s="139">
        <v>2</v>
      </c>
      <c r="E69" s="139">
        <v>2</v>
      </c>
      <c r="F69" s="221">
        <v>1</v>
      </c>
      <c r="G69" s="80">
        <v>2</v>
      </c>
      <c r="H69" s="255"/>
    </row>
    <row r="70" spans="2:8" x14ac:dyDescent="0.25">
      <c r="B70" s="252"/>
      <c r="C70" s="10" t="s">
        <v>46</v>
      </c>
      <c r="D70" s="139">
        <v>1</v>
      </c>
      <c r="E70" s="139">
        <v>2</v>
      </c>
      <c r="F70" s="221">
        <v>2</v>
      </c>
      <c r="G70" s="80">
        <v>2</v>
      </c>
      <c r="H70" s="255"/>
    </row>
    <row r="71" spans="2:8" x14ac:dyDescent="0.25">
      <c r="B71" s="252"/>
      <c r="C71" s="10" t="s">
        <v>47</v>
      </c>
      <c r="D71" s="139">
        <v>1</v>
      </c>
      <c r="E71" s="139">
        <v>1</v>
      </c>
      <c r="F71" s="140">
        <v>1</v>
      </c>
      <c r="G71" s="80">
        <v>1</v>
      </c>
      <c r="H71" s="255"/>
    </row>
    <row r="72" spans="2:8" x14ac:dyDescent="0.25">
      <c r="B72" s="252"/>
      <c r="C72" s="10" t="s">
        <v>51</v>
      </c>
      <c r="D72" s="139">
        <v>1</v>
      </c>
      <c r="E72" s="139">
        <v>1</v>
      </c>
      <c r="F72" s="140">
        <v>1</v>
      </c>
      <c r="G72" s="80">
        <v>1</v>
      </c>
      <c r="H72" s="255"/>
    </row>
    <row r="73" spans="2:8" x14ac:dyDescent="0.25">
      <c r="B73" s="252"/>
      <c r="C73" s="10" t="s">
        <v>52</v>
      </c>
      <c r="D73" s="139">
        <v>1</v>
      </c>
      <c r="E73" s="139">
        <v>1</v>
      </c>
      <c r="F73" s="140">
        <v>1</v>
      </c>
      <c r="G73" s="80">
        <v>1</v>
      </c>
      <c r="H73" s="255"/>
    </row>
    <row r="74" spans="2:8" x14ac:dyDescent="0.25">
      <c r="B74" s="252"/>
      <c r="C74" s="10" t="s">
        <v>53</v>
      </c>
      <c r="D74" s="139">
        <v>1</v>
      </c>
      <c r="E74" s="139">
        <v>1</v>
      </c>
      <c r="F74" s="140">
        <v>1</v>
      </c>
      <c r="G74" s="80">
        <v>0</v>
      </c>
      <c r="H74" s="255"/>
    </row>
    <row r="75" spans="2:8" x14ac:dyDescent="0.25">
      <c r="B75" s="252"/>
      <c r="C75" s="10" t="s">
        <v>54</v>
      </c>
      <c r="D75" s="139">
        <v>0</v>
      </c>
      <c r="E75" s="141">
        <v>1</v>
      </c>
      <c r="F75" s="140">
        <v>1</v>
      </c>
      <c r="G75" s="80">
        <v>1</v>
      </c>
      <c r="H75" s="255"/>
    </row>
    <row r="76" spans="2:8" x14ac:dyDescent="0.25">
      <c r="B76" s="252"/>
      <c r="C76" s="10" t="s">
        <v>55</v>
      </c>
      <c r="D76" s="139">
        <v>0</v>
      </c>
      <c r="E76" s="141">
        <v>1</v>
      </c>
      <c r="F76" s="140">
        <v>1</v>
      </c>
      <c r="G76" s="80">
        <v>0</v>
      </c>
      <c r="H76" s="255"/>
    </row>
    <row r="77" spans="2:8" x14ac:dyDescent="0.25">
      <c r="B77" s="253"/>
      <c r="C77" s="10" t="s">
        <v>57</v>
      </c>
      <c r="D77" s="139">
        <v>0</v>
      </c>
      <c r="E77" s="141">
        <v>1</v>
      </c>
      <c r="F77" s="140">
        <v>1</v>
      </c>
      <c r="G77" s="80">
        <v>0</v>
      </c>
      <c r="H77" s="255"/>
    </row>
    <row r="78" spans="2:8" x14ac:dyDescent="0.25">
      <c r="B78" s="250" t="s">
        <v>72</v>
      </c>
      <c r="C78" s="10" t="s">
        <v>46</v>
      </c>
      <c r="D78" s="139">
        <v>2</v>
      </c>
      <c r="E78" s="139">
        <v>0</v>
      </c>
      <c r="F78" s="140">
        <v>0</v>
      </c>
      <c r="G78" s="80">
        <v>2</v>
      </c>
      <c r="H78" s="254" t="s">
        <v>238</v>
      </c>
    </row>
    <row r="79" spans="2:8" x14ac:dyDescent="0.25">
      <c r="B79" s="250"/>
      <c r="C79" s="10" t="s">
        <v>47</v>
      </c>
      <c r="D79" s="139">
        <v>1</v>
      </c>
      <c r="E79" s="139">
        <v>2</v>
      </c>
      <c r="F79" s="140">
        <v>2</v>
      </c>
      <c r="G79" s="80">
        <v>1</v>
      </c>
      <c r="H79" s="254"/>
    </row>
    <row r="80" spans="2:8" x14ac:dyDescent="0.25">
      <c r="B80" s="250"/>
      <c r="C80" s="10" t="s">
        <v>51</v>
      </c>
      <c r="D80" s="139">
        <v>1</v>
      </c>
      <c r="E80" s="139">
        <v>1</v>
      </c>
      <c r="F80" s="140">
        <v>1</v>
      </c>
      <c r="G80" s="80">
        <v>0</v>
      </c>
      <c r="H80" s="254"/>
    </row>
    <row r="81" spans="2:8" x14ac:dyDescent="0.25">
      <c r="B81" s="250"/>
      <c r="C81" s="10" t="s">
        <v>52</v>
      </c>
      <c r="D81" s="139">
        <v>0</v>
      </c>
      <c r="E81" s="141">
        <v>1</v>
      </c>
      <c r="F81" s="140">
        <v>1</v>
      </c>
      <c r="G81" s="80">
        <v>0</v>
      </c>
      <c r="H81" s="254"/>
    </row>
  </sheetData>
  <mergeCells count="20">
    <mergeCell ref="H35:H43"/>
    <mergeCell ref="H44:H57"/>
    <mergeCell ref="H67:H77"/>
    <mergeCell ref="H13:H16"/>
    <mergeCell ref="H4:H7"/>
    <mergeCell ref="H8:H12"/>
    <mergeCell ref="H17:H25"/>
    <mergeCell ref="H26:H34"/>
    <mergeCell ref="B44:B57"/>
    <mergeCell ref="B58:B66"/>
    <mergeCell ref="B67:B77"/>
    <mergeCell ref="H58:H66"/>
    <mergeCell ref="B78:B81"/>
    <mergeCell ref="H78:H81"/>
    <mergeCell ref="B35:B43"/>
    <mergeCell ref="B4:B7"/>
    <mergeCell ref="B8:B12"/>
    <mergeCell ref="B13:B16"/>
    <mergeCell ref="B17:B25"/>
    <mergeCell ref="B26:B34"/>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505FF-190C-4C80-8D40-82E13D8332A2}">
  <dimension ref="A1:AT75"/>
  <sheetViews>
    <sheetView topLeftCell="U1" zoomScale="80" zoomScaleNormal="80" workbookViewId="0">
      <selection activeCell="AD18" sqref="AD18:AE18"/>
    </sheetView>
  </sheetViews>
  <sheetFormatPr baseColWidth="10" defaultColWidth="8.7109375" defaultRowHeight="15" x14ac:dyDescent="0.25"/>
  <cols>
    <col min="1" max="1" width="16.85546875" customWidth="1"/>
    <col min="2" max="34" width="8.7109375" customWidth="1"/>
    <col min="35" max="35" width="17" customWidth="1"/>
    <col min="36" max="36" width="17" bestFit="1" customWidth="1"/>
  </cols>
  <sheetData>
    <row r="1" spans="1:36" ht="15.75" thickBot="1" x14ac:dyDescent="0.3">
      <c r="A1" s="262" t="s">
        <v>239</v>
      </c>
      <c r="B1" s="263"/>
      <c r="C1" s="263"/>
      <c r="D1" s="263"/>
      <c r="E1" s="263"/>
      <c r="F1" s="263"/>
      <c r="G1" s="263"/>
      <c r="H1" s="263"/>
      <c r="I1" s="263"/>
      <c r="J1" s="263"/>
      <c r="K1" s="263"/>
      <c r="L1" s="263"/>
      <c r="M1" s="263"/>
      <c r="N1" s="263"/>
      <c r="O1" s="263"/>
      <c r="P1" s="263"/>
      <c r="Q1" s="263"/>
      <c r="R1" s="263"/>
      <c r="S1" s="263"/>
      <c r="T1" s="263"/>
      <c r="U1" s="263"/>
      <c r="V1" s="263"/>
      <c r="W1" s="263"/>
      <c r="X1" s="263"/>
      <c r="Y1" s="263"/>
      <c r="Z1" s="263"/>
      <c r="AA1" s="263"/>
      <c r="AB1" s="263"/>
      <c r="AC1" s="263"/>
      <c r="AD1" s="263"/>
      <c r="AE1" s="263"/>
      <c r="AF1" s="263"/>
      <c r="AG1" s="263"/>
      <c r="AH1" s="263"/>
      <c r="AI1" s="263"/>
      <c r="AJ1" s="264"/>
    </row>
    <row r="2" spans="1:36" x14ac:dyDescent="0.25">
      <c r="A2" s="173" t="s">
        <v>240</v>
      </c>
      <c r="B2" s="265" t="s">
        <v>241</v>
      </c>
      <c r="C2" s="266"/>
      <c r="D2" s="267"/>
      <c r="E2" s="268" t="s">
        <v>242</v>
      </c>
      <c r="F2" s="269"/>
      <c r="G2" s="270"/>
      <c r="H2" s="265" t="s">
        <v>133</v>
      </c>
      <c r="I2" s="266"/>
      <c r="J2" s="267"/>
      <c r="K2" s="268" t="s">
        <v>243</v>
      </c>
      <c r="L2" s="269"/>
      <c r="M2" s="270"/>
      <c r="N2" s="265" t="s">
        <v>136</v>
      </c>
      <c r="O2" s="266"/>
      <c r="P2" s="267"/>
      <c r="Q2" s="268" t="s">
        <v>91</v>
      </c>
      <c r="R2" s="269"/>
      <c r="S2" s="270"/>
      <c r="T2" s="265" t="s">
        <v>138</v>
      </c>
      <c r="U2" s="266"/>
      <c r="V2" s="267"/>
      <c r="W2" s="268" t="s">
        <v>137</v>
      </c>
      <c r="X2" s="269"/>
      <c r="Y2" s="270"/>
      <c r="Z2" s="265" t="s">
        <v>139</v>
      </c>
      <c r="AA2" s="266"/>
      <c r="AB2" s="267"/>
      <c r="AC2" s="268" t="s">
        <v>140</v>
      </c>
      <c r="AD2" s="269"/>
      <c r="AE2" s="270"/>
      <c r="AF2" s="265" t="s">
        <v>135</v>
      </c>
      <c r="AG2" s="266"/>
      <c r="AH2" s="267"/>
      <c r="AI2" s="174" t="s">
        <v>244</v>
      </c>
      <c r="AJ2" s="174" t="s">
        <v>245</v>
      </c>
    </row>
    <row r="3" spans="1:36" x14ac:dyDescent="0.25">
      <c r="A3" s="139" t="s">
        <v>246</v>
      </c>
      <c r="B3" s="175" cm="1">
        <f t="array" ref="B3">+SUM(B58:B62+D58:D62)-3</f>
        <v>8</v>
      </c>
      <c r="C3" s="176" cm="1">
        <f t="array" ref="C3">+SUM(C58:C62+E58:E62)-1</f>
        <v>10</v>
      </c>
      <c r="D3" s="52"/>
      <c r="E3" s="175" cm="1">
        <f t="array" ref="E3">+SUM(F60:F62+H60:H62)</f>
        <v>5</v>
      </c>
      <c r="F3" s="176" cm="1">
        <f t="array" ref="F3">+SUM(G60:G62+I60:I62)</f>
        <v>5</v>
      </c>
      <c r="G3" s="177"/>
      <c r="H3" s="175">
        <f>+SUM(J61:J62)+SUM(L61:L62)</f>
        <v>4</v>
      </c>
      <c r="I3" s="176">
        <f>+SUM(K61:K62)+SUM(M61:M62)</f>
        <v>4</v>
      </c>
      <c r="J3" s="177"/>
      <c r="K3" s="175" cm="1">
        <f t="array" ref="K3">+SUM(N60:N62+P60:P62)</f>
        <v>0</v>
      </c>
      <c r="L3" s="176" cm="1">
        <f t="array" ref="L3">+SUM(O60:O62+Q60:Q62)</f>
        <v>0</v>
      </c>
      <c r="M3" s="177"/>
      <c r="N3" s="175" cm="1">
        <f t="array" ref="N3">+SUM(R60:R62+T60:T62)</f>
        <v>0</v>
      </c>
      <c r="O3" s="176" cm="1">
        <f t="array" ref="O3">+SUM(S60:S62+U60:U62)</f>
        <v>0</v>
      </c>
      <c r="P3" s="177"/>
      <c r="Q3" s="175" cm="1">
        <f t="array" ref="Q3">+SUM(V60:V62+X60:X62)</f>
        <v>2</v>
      </c>
      <c r="R3" s="176" cm="1">
        <f t="array" ref="R3">+SUM(W60:W62+Y60:Y62)</f>
        <v>2</v>
      </c>
      <c r="S3" s="177"/>
      <c r="T3" s="175" cm="1">
        <f t="array" ref="T3">+SUM(Z60:Z62+AB60:AB62)</f>
        <v>0</v>
      </c>
      <c r="U3" s="176" cm="1">
        <f t="array" ref="U3">+SUM(AA60:AA62+AC60:AC62)</f>
        <v>0</v>
      </c>
      <c r="V3" s="177"/>
      <c r="W3" s="175" cm="1">
        <f t="array" ref="W3">+SUM(AD60:AD62+AF60:AF62)</f>
        <v>0</v>
      </c>
      <c r="X3" s="176" cm="1">
        <f t="array" ref="X3">+SUM(AE60:AE62+AG60:AG62)</f>
        <v>0</v>
      </c>
      <c r="Y3" s="177"/>
      <c r="Z3" s="175" cm="1">
        <f t="array" ref="Z3">+SUM(AH60:AH62+AJ60:AJ62)</f>
        <v>0</v>
      </c>
      <c r="AA3" s="176" cm="1">
        <f t="array" ref="AA3">+SUM(AI60:AI62+AK60:AK62)</f>
        <v>0</v>
      </c>
      <c r="AB3" s="177"/>
      <c r="AC3" s="175" cm="1">
        <f t="array" ref="AC3">+SUM(AL60:AL62+AN60:AN62)</f>
        <v>0</v>
      </c>
      <c r="AD3" s="176" cm="1">
        <f t="array" ref="AD3">+SUM(AM60:AM62+AO60:AO62)</f>
        <v>0</v>
      </c>
      <c r="AE3" s="177"/>
      <c r="AF3" s="175" cm="1">
        <f t="array" ref="AF3">+SUM(AP60:AP62+AR60:AR62)</f>
        <v>0</v>
      </c>
      <c r="AG3" s="176" cm="1">
        <f t="array" ref="AG3">+SUM(AQ60:AQ62+AS60:AS62)</f>
        <v>0</v>
      </c>
      <c r="AH3" s="177"/>
      <c r="AI3" s="139">
        <f t="shared" ref="AI3:AJ7" si="0">+B3+E3+H3+K3+N3+Q3+T3+W3+Z3+AC3+AF3</f>
        <v>19</v>
      </c>
      <c r="AJ3" s="139">
        <f t="shared" si="0"/>
        <v>21</v>
      </c>
    </row>
    <row r="4" spans="1:36" x14ac:dyDescent="0.25">
      <c r="A4" s="139" t="s">
        <v>247</v>
      </c>
      <c r="B4" s="175" cm="1">
        <f t="array" ref="B4">+SUM(B63:B65+D63:D65)</f>
        <v>0</v>
      </c>
      <c r="C4" s="176" cm="1">
        <f t="array" ref="C4">+SUM(C63:C65+E63:E65)</f>
        <v>0</v>
      </c>
      <c r="D4" s="177"/>
      <c r="E4" s="175" cm="1">
        <f t="array" ref="E4">+SUM(F63:F65+H63:H65)</f>
        <v>0</v>
      </c>
      <c r="F4" s="176" cm="1">
        <f t="array" ref="F4">+SUM(G63:G65+I63:I65)</f>
        <v>0</v>
      </c>
      <c r="G4" s="177"/>
      <c r="H4" s="175">
        <f>+SUM(J63:J65)+SUM(L63:L65)</f>
        <v>4</v>
      </c>
      <c r="I4" s="176">
        <f>+SUM(K63:K65)+SUM(M63:M65)</f>
        <v>4</v>
      </c>
      <c r="J4" s="177"/>
      <c r="K4" s="175" cm="1">
        <f t="array" ref="K4">+SUM(N63:N65+P63:P65)</f>
        <v>10</v>
      </c>
      <c r="L4" s="176" cm="1">
        <f t="array" ref="L4">+SUM(O63:O65+Q63:Q65)</f>
        <v>10</v>
      </c>
      <c r="M4" s="177"/>
      <c r="N4" s="175" cm="1">
        <f t="array" ref="N4">+SUM(R63:R65+T63:T65)</f>
        <v>9</v>
      </c>
      <c r="O4" s="176" cm="1">
        <f t="array" ref="O4">+SUM(S63:S65+U63:U65)</f>
        <v>9</v>
      </c>
      <c r="P4" s="177"/>
      <c r="Q4" s="175" cm="1">
        <f t="array" ref="Q4">+SUM(V63:V65+X63:X65)</f>
        <v>5</v>
      </c>
      <c r="R4" s="176" cm="1">
        <f t="array" ref="R4">+SUM(W63:W65+Y63:Y65)</f>
        <v>5</v>
      </c>
      <c r="S4" s="177"/>
      <c r="T4" s="175" cm="1">
        <f t="array" ref="T4">+SUM(Z63:Z65+AB63:AB65)</f>
        <v>8</v>
      </c>
      <c r="U4" s="176" cm="1">
        <f t="array" ref="U4">+SUM(AA63:AA65+AC63:AC65)</f>
        <v>8</v>
      </c>
      <c r="V4" s="177"/>
      <c r="W4" s="175" cm="1">
        <f t="array" ref="W4">+SUM(AD63:AD65+AF63:AF65)</f>
        <v>10</v>
      </c>
      <c r="X4" s="176" cm="1">
        <f t="array" ref="X4">+SUM(AE63:AE65+AG63:AG65)</f>
        <v>10</v>
      </c>
      <c r="Y4" s="177"/>
      <c r="Z4" s="175" cm="1">
        <f t="array" ref="Z4">+SUM(AH63:AH65+AJ63:AJ65)</f>
        <v>10</v>
      </c>
      <c r="AA4" s="176" cm="1">
        <f t="array" ref="AA4">+SUM(AI63:AI65+AK63:AK65)</f>
        <v>10</v>
      </c>
      <c r="AB4" s="177"/>
      <c r="AC4" s="175" cm="1">
        <f t="array" ref="AC4">+SUM(AL63:AL65+AN63:AN65)</f>
        <v>4</v>
      </c>
      <c r="AD4" s="176" cm="1">
        <f t="array" ref="AD4">+SUM(AM63:AM65+AO63:AO65)</f>
        <v>4</v>
      </c>
      <c r="AE4" s="177"/>
      <c r="AF4" s="175" cm="1">
        <f t="array" ref="AF4">+SUM(AP63:AP65+AR63:AR65)</f>
        <v>0</v>
      </c>
      <c r="AG4" s="176" cm="1">
        <f t="array" ref="AG4">+SUM(AQ63:AQ65+AS63:AS65)</f>
        <v>0</v>
      </c>
      <c r="AH4" s="177"/>
      <c r="AI4" s="139">
        <f t="shared" si="0"/>
        <v>60</v>
      </c>
      <c r="AJ4" s="139">
        <f t="shared" si="0"/>
        <v>60</v>
      </c>
    </row>
    <row r="5" spans="1:36" x14ac:dyDescent="0.25">
      <c r="A5" s="139" t="s">
        <v>248</v>
      </c>
      <c r="B5" s="175" cm="1">
        <f t="array" ref="B5">+SUM(B66:B68+D66:D68)</f>
        <v>0</v>
      </c>
      <c r="C5" s="176" cm="1">
        <f t="array" ref="C5">+SUM(C66:C68+E66:E68)</f>
        <v>0</v>
      </c>
      <c r="D5" s="177"/>
      <c r="E5" s="175" cm="1">
        <f t="array" ref="E5">+SUM(F66:F68+H66:H68)</f>
        <v>0</v>
      </c>
      <c r="F5" s="176" cm="1">
        <f t="array" ref="F5">+SUM(G66:G68+I66:I68)</f>
        <v>0</v>
      </c>
      <c r="G5" s="177"/>
      <c r="H5" s="175">
        <f>+SUM(J66:J68)+SUM(L66:L68)</f>
        <v>0</v>
      </c>
      <c r="I5" s="176" cm="1">
        <f t="array" ref="I5">+SUM(K66:K68+M66:M68)</f>
        <v>0</v>
      </c>
      <c r="J5" s="177"/>
      <c r="K5" s="175" cm="1">
        <f t="array" ref="K5">+SUM(N66:N68+P66:P68)</f>
        <v>4</v>
      </c>
      <c r="L5" s="176" cm="1">
        <f t="array" ref="L5">+SUM(O66:O68+Q66:Q68)</f>
        <v>2.5</v>
      </c>
      <c r="M5" s="177"/>
      <c r="N5" s="175" cm="1">
        <f t="array" ref="N5">+SUM(R66:R68+T66:T68)</f>
        <v>7</v>
      </c>
      <c r="O5" s="176" cm="1">
        <f t="array" ref="O5">+SUM(S66:S68+U66:U68)</f>
        <v>5</v>
      </c>
      <c r="P5" s="177"/>
      <c r="Q5" s="175" cm="1">
        <f t="array" ref="Q5">+SUM(V66:V68+X66:X68)</f>
        <v>3</v>
      </c>
      <c r="R5" s="176" cm="1">
        <f t="array" ref="R5">+SUM(W66:W68+Y66:Y68)</f>
        <v>1.5</v>
      </c>
      <c r="S5" s="177"/>
      <c r="T5" s="175" cm="1">
        <f t="array" ref="T5">+SUM(Z66:Z68+AB66:AB68)</f>
        <v>6</v>
      </c>
      <c r="U5" s="176" cm="1">
        <f t="array" ref="U5">+SUM(AA66:AA68+AC66:AC68)</f>
        <v>3</v>
      </c>
      <c r="V5" s="177"/>
      <c r="W5" s="175" cm="1">
        <f t="array" ref="W5">+SUM(AD66:AD68+AF66:AF68)</f>
        <v>6</v>
      </c>
      <c r="X5" s="176" cm="1">
        <f t="array" ref="X5">+SUM(AE66:AE68+AG66:AG68)</f>
        <v>3</v>
      </c>
      <c r="Y5" s="177"/>
      <c r="Z5" s="175" cm="1">
        <f t="array" ref="Z5">+SUM(AH66:AH68+AJ66:AJ68)</f>
        <v>5</v>
      </c>
      <c r="AA5" s="176" cm="1">
        <f t="array" ref="AA5">+SUM(AI66:AI68+AK66:AK68)</f>
        <v>2.5</v>
      </c>
      <c r="AB5" s="177"/>
      <c r="AC5" s="175" cm="1">
        <f t="array" ref="AC5">+SUM(AL66:AL68+AN66:AN68)</f>
        <v>2</v>
      </c>
      <c r="AD5" s="176" cm="1">
        <f t="array" ref="AD5">+SUM(AM66:AM68+AO66:AO68)</f>
        <v>1</v>
      </c>
      <c r="AE5" s="177"/>
      <c r="AF5" s="175" cm="1">
        <f t="array" ref="AF5">+SUM(AP66:AP68+AR66:AR68)</f>
        <v>0</v>
      </c>
      <c r="AG5" s="176" cm="1">
        <f t="array" ref="AG5">+SUM(AQ66:AQ68+AS66:AS68)</f>
        <v>0</v>
      </c>
      <c r="AH5" s="177"/>
      <c r="AI5" s="139">
        <f t="shared" si="0"/>
        <v>33</v>
      </c>
      <c r="AJ5" s="207">
        <f t="shared" si="0"/>
        <v>18.5</v>
      </c>
    </row>
    <row r="6" spans="1:36" x14ac:dyDescent="0.25">
      <c r="A6" s="139" t="s">
        <v>249</v>
      </c>
      <c r="B6" s="175" cm="1">
        <f t="array" ref="B6">+SUM(B69:B71+D69:D71)</f>
        <v>0</v>
      </c>
      <c r="C6" s="176" cm="1">
        <f t="array" ref="C6">+SUM(C69:C71+E69:E71)</f>
        <v>0</v>
      </c>
      <c r="D6" s="177"/>
      <c r="E6" s="175" cm="1">
        <f t="array" ref="E6">+SUM(F69:F71+H69:H71)</f>
        <v>0</v>
      </c>
      <c r="F6" s="176" cm="1">
        <f t="array" ref="F6">+SUM(G67:G69+I67:I69)</f>
        <v>0</v>
      </c>
      <c r="G6" s="177"/>
      <c r="H6" s="175" cm="1">
        <f t="array" ref="H6">+SUM(J69:J71+L69:L71)</f>
        <v>0</v>
      </c>
      <c r="I6" s="176" cm="1">
        <f t="array" ref="I6">+SUM(K69:K71+M69:M71)</f>
        <v>0</v>
      </c>
      <c r="J6" s="177"/>
      <c r="K6" s="175" cm="1">
        <f t="array" ref="K6">+SUM(N69:N71+P69:P71)</f>
        <v>4</v>
      </c>
      <c r="L6" s="176" cm="1">
        <f t="array" ref="L6">+SUM(O69:O71+Q69:Q71)</f>
        <v>2</v>
      </c>
      <c r="M6" s="177"/>
      <c r="N6" s="175" cm="1">
        <f t="array" ref="N6">+SUM(R69:R71+T69:T71)</f>
        <v>3</v>
      </c>
      <c r="O6" s="176" cm="1">
        <f t="array" ref="O6">+SUM(S69:S71+U69:U71)</f>
        <v>1</v>
      </c>
      <c r="P6" s="177"/>
      <c r="Q6" s="175" cm="1">
        <f t="array" ref="Q6">+SUM(V69:V71+X69:X71)</f>
        <v>4</v>
      </c>
      <c r="R6" s="176" cm="1">
        <f t="array" ref="R6">+SUM(W69:W71+Y69:Y71)</f>
        <v>2</v>
      </c>
      <c r="S6" s="177"/>
      <c r="T6" s="175" cm="1">
        <f t="array" ref="T6">+SUM(Z69:Z71+AB69:AB71)</f>
        <v>3</v>
      </c>
      <c r="U6" s="176" cm="1">
        <f t="array" ref="U6">+SUM(AA69:AA71+AC69:AC71)</f>
        <v>1.5</v>
      </c>
      <c r="V6" s="177"/>
      <c r="W6" s="175" cm="1">
        <f t="array" ref="W6">+SUM(AD69:AD71+AF69:AF71)</f>
        <v>3</v>
      </c>
      <c r="X6" s="176" cm="1">
        <f t="array" ref="X6">+SUM(AE69:AE71+AG69:AG71)</f>
        <v>1.5</v>
      </c>
      <c r="Y6" s="177"/>
      <c r="Z6" s="175" cm="1">
        <f t="array" ref="Z6">+SUM(AH69:AH71+AJ69:AJ71)</f>
        <v>3</v>
      </c>
      <c r="AA6" s="176" cm="1">
        <f t="array" ref="AA6">+SUM(AI69:AI71+AK69:AK71)</f>
        <v>1.5</v>
      </c>
      <c r="AB6" s="177"/>
      <c r="AC6" s="175" cm="1">
        <f t="array" ref="AC6">+SUM(AL69:AL71+AN69:AN71)</f>
        <v>0</v>
      </c>
      <c r="AD6" s="176" cm="1">
        <f t="array" ref="AD6">+SUM(AM69:AM71+AO69:AO71)</f>
        <v>0</v>
      </c>
      <c r="AE6" s="177"/>
      <c r="AF6" s="175" cm="1">
        <f t="array" ref="AF6">+SUM(AP69:AP71+AR69:AR71)</f>
        <v>0</v>
      </c>
      <c r="AG6" s="176" cm="1">
        <f t="array" ref="AG6">+SUM(AQ69:AQ71+AS69:AS71)</f>
        <v>0</v>
      </c>
      <c r="AH6" s="177"/>
      <c r="AI6" s="139">
        <f t="shared" si="0"/>
        <v>20</v>
      </c>
      <c r="AJ6" s="139">
        <f t="shared" si="0"/>
        <v>9.5</v>
      </c>
    </row>
    <row r="7" spans="1:36" x14ac:dyDescent="0.25">
      <c r="A7" s="139" t="s">
        <v>250</v>
      </c>
      <c r="B7" s="175" cm="1">
        <f t="array" ref="B7">+SUM(B72:B73+D72:D73)</f>
        <v>0</v>
      </c>
      <c r="C7" s="176" cm="1">
        <f t="array" ref="C7">+SUM(C72:C73+E72:E73)</f>
        <v>0</v>
      </c>
      <c r="D7" s="177"/>
      <c r="E7" s="175" cm="1">
        <f t="array" ref="E7">+SUM(F72:F73+H72:H73)</f>
        <v>0</v>
      </c>
      <c r="F7" s="176" cm="1">
        <f t="array" ref="F7">+SUM(G72:G73+I72:I73)</f>
        <v>0</v>
      </c>
      <c r="G7" s="177"/>
      <c r="H7" s="175" cm="1">
        <f t="array" ref="H7">+SUM(J72:J73+L72:L73)</f>
        <v>0</v>
      </c>
      <c r="I7" s="176" cm="1">
        <f t="array" ref="I7">+SUM(K72:K73+M72:M73)</f>
        <v>0</v>
      </c>
      <c r="J7" s="177"/>
      <c r="K7" s="175" cm="1">
        <f t="array" ref="K7">+SUM(N72:N73+P72:P73)</f>
        <v>0</v>
      </c>
      <c r="L7" s="176" cm="1">
        <f t="array" ref="L7">+SUM(O72:O73+Q72:Q73)</f>
        <v>0</v>
      </c>
      <c r="M7" s="177"/>
      <c r="N7" s="175" cm="1">
        <f t="array" ref="N7">+SUM(R72:R73+T72:T73)</f>
        <v>1</v>
      </c>
      <c r="O7" s="176" cm="1">
        <f t="array" ref="O7">+SUM(S72:S73+U72:U73)</f>
        <v>0</v>
      </c>
      <c r="P7" s="177"/>
      <c r="Q7" s="175" cm="1">
        <f t="array" ref="Q7">+SUM(V72:V73+X72:X73)</f>
        <v>4</v>
      </c>
      <c r="R7" s="176" cm="1">
        <f t="array" ref="R7">+SUM(W72:W73+Y72:Y73)</f>
        <v>2.5</v>
      </c>
      <c r="S7" s="177"/>
      <c r="T7" s="175" cm="1">
        <f t="array" ref="T7">+SUM(Z72:Z73+AB72:AB73)</f>
        <v>0</v>
      </c>
      <c r="U7" s="176" cm="1">
        <f t="array" ref="U7">+SUM(AA72:AA73+AC72:AC73)</f>
        <v>0</v>
      </c>
      <c r="V7" s="177"/>
      <c r="W7" s="175" cm="1">
        <f t="array" ref="W7">+SUM(AD72:AD73+AF72:AF73)</f>
        <v>0</v>
      </c>
      <c r="X7" s="176" cm="1">
        <f t="array" ref="X7">+SUM(AE72:AE73+AG72:AG73)</f>
        <v>0</v>
      </c>
      <c r="Y7" s="177"/>
      <c r="Z7" s="175" cm="1">
        <f t="array" ref="Z7">+SUM(AH72:AH73+AJ72:AJ73)</f>
        <v>0</v>
      </c>
      <c r="AA7" s="176" cm="1">
        <f t="array" ref="AA7">+SUM(AI72:AI73+AK72:AK73)</f>
        <v>0</v>
      </c>
      <c r="AB7" s="177"/>
      <c r="AC7" s="175" cm="1">
        <f t="array" ref="AC7">+SUM(AL72:AL73+AN72:AN73)</f>
        <v>0</v>
      </c>
      <c r="AD7" s="176" cm="1">
        <f t="array" ref="AD7">+SUM(AM72:AM73+AO72:AO73)</f>
        <v>0</v>
      </c>
      <c r="AE7" s="177"/>
      <c r="AF7" s="175" cm="1">
        <f t="array" ref="AF7">+SUM(AP72:AP73+AR72:AR73)</f>
        <v>0</v>
      </c>
      <c r="AG7" s="176" cm="1">
        <f t="array" ref="AG7">+SUM(AQ72:AQ73+AS72:AS73)</f>
        <v>0</v>
      </c>
      <c r="AH7" s="177"/>
      <c r="AI7" s="139">
        <f t="shared" si="0"/>
        <v>5</v>
      </c>
      <c r="AJ7" s="207">
        <f t="shared" si="0"/>
        <v>2.5</v>
      </c>
    </row>
    <row r="8" spans="1:36" x14ac:dyDescent="0.25">
      <c r="A8" s="178" t="s">
        <v>141</v>
      </c>
      <c r="B8" s="179">
        <f t="shared" ref="B8:AJ8" si="1">SUM(B3:B7)</f>
        <v>8</v>
      </c>
      <c r="C8" s="179">
        <f t="shared" si="1"/>
        <v>10</v>
      </c>
      <c r="D8" s="179">
        <f t="shared" si="1"/>
        <v>0</v>
      </c>
      <c r="E8" s="179">
        <f t="shared" si="1"/>
        <v>5</v>
      </c>
      <c r="F8" s="179">
        <f t="shared" si="1"/>
        <v>5</v>
      </c>
      <c r="G8" s="179">
        <f t="shared" si="1"/>
        <v>0</v>
      </c>
      <c r="H8" s="179">
        <f t="shared" si="1"/>
        <v>8</v>
      </c>
      <c r="I8" s="179">
        <f t="shared" si="1"/>
        <v>8</v>
      </c>
      <c r="J8" s="179">
        <f t="shared" si="1"/>
        <v>0</v>
      </c>
      <c r="K8" s="179">
        <f t="shared" si="1"/>
        <v>18</v>
      </c>
      <c r="L8" s="208">
        <f t="shared" si="1"/>
        <v>14.5</v>
      </c>
      <c r="M8" s="179">
        <f t="shared" si="1"/>
        <v>0</v>
      </c>
      <c r="N8" s="179">
        <f t="shared" si="1"/>
        <v>20</v>
      </c>
      <c r="O8" s="179">
        <f>+ROUNDUP(SUM(O3:O7),0)</f>
        <v>15</v>
      </c>
      <c r="P8" s="179">
        <f t="shared" si="1"/>
        <v>0</v>
      </c>
      <c r="Q8" s="179">
        <f t="shared" si="1"/>
        <v>18</v>
      </c>
      <c r="R8" s="179">
        <f t="shared" si="1"/>
        <v>13</v>
      </c>
      <c r="S8" s="179">
        <f t="shared" si="1"/>
        <v>0</v>
      </c>
      <c r="T8" s="179">
        <f t="shared" si="1"/>
        <v>17</v>
      </c>
      <c r="U8" s="208">
        <f t="shared" si="1"/>
        <v>12.5</v>
      </c>
      <c r="V8" s="179">
        <f t="shared" si="1"/>
        <v>0</v>
      </c>
      <c r="W8" s="179">
        <f t="shared" si="1"/>
        <v>19</v>
      </c>
      <c r="X8" s="208">
        <f t="shared" si="1"/>
        <v>14.5</v>
      </c>
      <c r="Y8" s="179">
        <f t="shared" si="1"/>
        <v>0</v>
      </c>
      <c r="Z8" s="179">
        <f t="shared" si="1"/>
        <v>18</v>
      </c>
      <c r="AA8" s="208">
        <f t="shared" si="1"/>
        <v>14</v>
      </c>
      <c r="AB8" s="179">
        <f t="shared" si="1"/>
        <v>0</v>
      </c>
      <c r="AC8" s="179">
        <f t="shared" si="1"/>
        <v>6</v>
      </c>
      <c r="AD8" s="179">
        <f t="shared" si="1"/>
        <v>5</v>
      </c>
      <c r="AE8" s="179">
        <f t="shared" si="1"/>
        <v>0</v>
      </c>
      <c r="AF8" s="179">
        <f t="shared" si="1"/>
        <v>0</v>
      </c>
      <c r="AG8" s="179">
        <f t="shared" si="1"/>
        <v>0</v>
      </c>
      <c r="AH8" s="179">
        <f t="shared" si="1"/>
        <v>0</v>
      </c>
      <c r="AI8" s="180">
        <f t="shared" si="1"/>
        <v>137</v>
      </c>
      <c r="AJ8" s="209">
        <f t="shared" si="1"/>
        <v>111.5</v>
      </c>
    </row>
    <row r="9" spans="1:36" x14ac:dyDescent="0.25">
      <c r="A9" s="181"/>
      <c r="B9" s="181"/>
      <c r="C9" s="181"/>
      <c r="D9" s="181"/>
      <c r="E9" s="181"/>
      <c r="F9" s="181"/>
      <c r="G9" s="181"/>
      <c r="H9" s="181"/>
      <c r="I9" s="181"/>
      <c r="J9" s="181"/>
      <c r="K9" s="181"/>
      <c r="L9" s="181"/>
      <c r="M9" s="181"/>
      <c r="N9" s="181"/>
      <c r="O9" s="181"/>
      <c r="P9" s="181"/>
      <c r="Q9" s="181"/>
      <c r="R9" s="181"/>
      <c r="S9" s="181"/>
      <c r="T9" s="181"/>
      <c r="U9" s="181"/>
      <c r="V9" s="181"/>
      <c r="W9" s="181"/>
      <c r="X9" s="181"/>
      <c r="Y9" s="181"/>
      <c r="Z9" s="181"/>
      <c r="AA9" s="181"/>
      <c r="AB9" s="181"/>
      <c r="AC9" s="181"/>
      <c r="AD9" s="181"/>
      <c r="AE9" s="181"/>
      <c r="AF9" s="181"/>
      <c r="AG9" s="181"/>
      <c r="AH9" s="181"/>
      <c r="AI9" s="181"/>
      <c r="AJ9" s="181"/>
    </row>
    <row r="10" spans="1:36" ht="15.75" thickBot="1" x14ac:dyDescent="0.3">
      <c r="A10" s="181"/>
      <c r="B10" s="181"/>
      <c r="C10" s="181"/>
      <c r="D10" s="181"/>
      <c r="E10" s="181"/>
      <c r="F10" s="181"/>
      <c r="G10" s="181"/>
      <c r="H10" s="181"/>
      <c r="I10" s="181"/>
      <c r="J10" s="181"/>
      <c r="K10" s="181"/>
      <c r="L10" s="181"/>
      <c r="M10" s="181"/>
      <c r="N10" s="181"/>
      <c r="O10" s="181"/>
      <c r="P10" s="181"/>
      <c r="Q10" s="181"/>
      <c r="R10" s="181"/>
      <c r="S10" s="181"/>
      <c r="T10" s="181"/>
      <c r="U10" s="181"/>
      <c r="V10" s="181"/>
      <c r="W10" s="181"/>
      <c r="X10" s="181"/>
      <c r="Y10" s="181"/>
      <c r="Z10" s="181"/>
      <c r="AA10" s="181"/>
      <c r="AB10" s="181"/>
      <c r="AC10" s="181"/>
      <c r="AD10" s="181"/>
      <c r="AE10" s="181"/>
      <c r="AF10" s="181"/>
      <c r="AG10" s="181"/>
      <c r="AH10" s="181"/>
      <c r="AI10" s="181"/>
      <c r="AJ10" s="181"/>
    </row>
    <row r="11" spans="1:36" ht="15.75" thickBot="1" x14ac:dyDescent="0.3">
      <c r="A11" s="262" t="s">
        <v>251</v>
      </c>
      <c r="B11" s="263"/>
      <c r="C11" s="263"/>
      <c r="D11" s="263"/>
      <c r="E11" s="263"/>
      <c r="F11" s="263"/>
      <c r="G11" s="263"/>
      <c r="H11" s="263"/>
      <c r="I11" s="263"/>
      <c r="J11" s="263"/>
      <c r="K11" s="263"/>
      <c r="L11" s="263"/>
      <c r="M11" s="263"/>
      <c r="N11" s="263"/>
      <c r="O11" s="263"/>
      <c r="P11" s="263"/>
      <c r="Q11" s="263"/>
      <c r="R11" s="263"/>
      <c r="S11" s="263"/>
      <c r="T11" s="263"/>
      <c r="U11" s="263"/>
      <c r="V11" s="263"/>
      <c r="W11" s="263"/>
      <c r="X11" s="263"/>
      <c r="Y11" s="263"/>
      <c r="Z11" s="263"/>
      <c r="AA11" s="263"/>
      <c r="AB11" s="263"/>
      <c r="AC11" s="263"/>
      <c r="AD11" s="263"/>
      <c r="AE11" s="263"/>
      <c r="AF11" s="263"/>
      <c r="AG11" s="263"/>
      <c r="AH11" s="263"/>
      <c r="AI11" s="263"/>
      <c r="AJ11" s="264"/>
    </row>
    <row r="12" spans="1:36" x14ac:dyDescent="0.25">
      <c r="A12" s="173" t="s">
        <v>240</v>
      </c>
      <c r="B12" s="265" t="s">
        <v>241</v>
      </c>
      <c r="C12" s="266"/>
      <c r="D12" s="267"/>
      <c r="E12" s="268" t="s">
        <v>242</v>
      </c>
      <c r="F12" s="269"/>
      <c r="G12" s="270"/>
      <c r="H12" s="265" t="s">
        <v>133</v>
      </c>
      <c r="I12" s="266"/>
      <c r="J12" s="267"/>
      <c r="K12" s="268" t="s">
        <v>243</v>
      </c>
      <c r="L12" s="269"/>
      <c r="M12" s="270"/>
      <c r="N12" s="265" t="s">
        <v>136</v>
      </c>
      <c r="O12" s="266"/>
      <c r="P12" s="267"/>
      <c r="Q12" s="268" t="s">
        <v>91</v>
      </c>
      <c r="R12" s="269"/>
      <c r="S12" s="270"/>
      <c r="T12" s="265" t="s">
        <v>138</v>
      </c>
      <c r="U12" s="266"/>
      <c r="V12" s="267"/>
      <c r="W12" s="268" t="s">
        <v>137</v>
      </c>
      <c r="X12" s="269"/>
      <c r="Y12" s="270"/>
      <c r="Z12" s="265" t="s">
        <v>139</v>
      </c>
      <c r="AA12" s="266"/>
      <c r="AB12" s="267"/>
      <c r="AC12" s="268" t="s">
        <v>140</v>
      </c>
      <c r="AD12" s="269"/>
      <c r="AE12" s="270"/>
      <c r="AF12" s="265" t="s">
        <v>135</v>
      </c>
      <c r="AG12" s="266"/>
      <c r="AH12" s="267"/>
      <c r="AI12" s="174" t="s">
        <v>244</v>
      </c>
      <c r="AJ12" s="174" t="s">
        <v>245</v>
      </c>
    </row>
    <row r="13" spans="1:36" x14ac:dyDescent="0.25">
      <c r="A13" s="139" t="s">
        <v>246</v>
      </c>
      <c r="B13" s="175">
        <v>11</v>
      </c>
      <c r="C13" s="176">
        <v>7</v>
      </c>
      <c r="D13" s="52">
        <v>3</v>
      </c>
      <c r="E13" s="175">
        <v>3</v>
      </c>
      <c r="F13" s="176">
        <v>4</v>
      </c>
      <c r="G13" s="177"/>
      <c r="H13" s="175">
        <v>2</v>
      </c>
      <c r="I13" s="176">
        <v>2</v>
      </c>
      <c r="J13" s="177"/>
      <c r="K13" s="175">
        <v>0</v>
      </c>
      <c r="L13" s="176">
        <v>0</v>
      </c>
      <c r="M13" s="177">
        <v>0</v>
      </c>
      <c r="N13" s="175">
        <v>0</v>
      </c>
      <c r="O13" s="176">
        <v>0</v>
      </c>
      <c r="P13" s="177">
        <v>0</v>
      </c>
      <c r="Q13" s="175"/>
      <c r="R13" s="176"/>
      <c r="S13" s="177"/>
      <c r="T13" s="175">
        <v>0</v>
      </c>
      <c r="U13" s="176">
        <v>0</v>
      </c>
      <c r="V13" s="177">
        <v>0</v>
      </c>
      <c r="W13" s="175"/>
      <c r="X13" s="176"/>
      <c r="Y13" s="177"/>
      <c r="Z13" s="175">
        <v>2</v>
      </c>
      <c r="AA13" s="176">
        <v>2</v>
      </c>
      <c r="AB13" s="177">
        <v>0</v>
      </c>
      <c r="AC13" s="175"/>
      <c r="AD13" s="176"/>
      <c r="AE13" s="177"/>
      <c r="AF13" s="175"/>
      <c r="AG13" s="176"/>
      <c r="AH13" s="177"/>
      <c r="AI13" s="139">
        <f t="shared" ref="AI13:AJ17" si="2">+B13+E13+H13+K13+N13+Q13+T13+W13+Z13+AC13+AF13</f>
        <v>18</v>
      </c>
      <c r="AJ13" s="139">
        <f t="shared" si="2"/>
        <v>15</v>
      </c>
    </row>
    <row r="14" spans="1:36" x14ac:dyDescent="0.25">
      <c r="A14" s="139" t="s">
        <v>247</v>
      </c>
      <c r="B14" s="175"/>
      <c r="C14" s="176"/>
      <c r="D14" s="177"/>
      <c r="E14" s="175"/>
      <c r="F14" s="176"/>
      <c r="G14" s="177"/>
      <c r="H14" s="175"/>
      <c r="I14" s="176"/>
      <c r="J14" s="177"/>
      <c r="K14" s="175">
        <v>5</v>
      </c>
      <c r="L14" s="176">
        <v>5</v>
      </c>
      <c r="M14" s="177">
        <v>1</v>
      </c>
      <c r="N14" s="175">
        <v>5</v>
      </c>
      <c r="O14" s="176">
        <v>4</v>
      </c>
      <c r="P14" s="177">
        <v>1</v>
      </c>
      <c r="Q14" s="175"/>
      <c r="R14" s="176"/>
      <c r="S14" s="177"/>
      <c r="T14" s="175">
        <v>6</v>
      </c>
      <c r="U14" s="176">
        <v>5</v>
      </c>
      <c r="V14" s="177">
        <v>1</v>
      </c>
      <c r="W14" s="175">
        <v>4</v>
      </c>
      <c r="X14" s="176">
        <v>4</v>
      </c>
      <c r="Y14" s="177"/>
      <c r="Z14" s="175">
        <v>7</v>
      </c>
      <c r="AA14" s="176">
        <v>8</v>
      </c>
      <c r="AB14" s="177">
        <v>1</v>
      </c>
      <c r="AC14" s="175">
        <v>4</v>
      </c>
      <c r="AD14" s="176">
        <v>4</v>
      </c>
      <c r="AE14" s="177"/>
      <c r="AF14" s="175"/>
      <c r="AG14" s="176"/>
      <c r="AH14" s="177"/>
      <c r="AI14" s="139">
        <f t="shared" si="2"/>
        <v>31</v>
      </c>
      <c r="AJ14" s="139">
        <f t="shared" si="2"/>
        <v>30</v>
      </c>
    </row>
    <row r="15" spans="1:36" x14ac:dyDescent="0.25">
      <c r="A15" s="139" t="s">
        <v>248</v>
      </c>
      <c r="B15" s="175"/>
      <c r="C15" s="176"/>
      <c r="D15" s="177"/>
      <c r="E15" s="175"/>
      <c r="F15" s="176"/>
      <c r="G15" s="177"/>
      <c r="H15" s="175"/>
      <c r="I15" s="176"/>
      <c r="J15" s="177"/>
      <c r="K15" s="175">
        <v>3</v>
      </c>
      <c r="L15" s="176">
        <v>3</v>
      </c>
      <c r="M15" s="177">
        <v>0</v>
      </c>
      <c r="N15" s="175">
        <v>4</v>
      </c>
      <c r="O15" s="176">
        <v>3</v>
      </c>
      <c r="P15" s="177">
        <v>1</v>
      </c>
      <c r="Q15" s="175"/>
      <c r="R15" s="176"/>
      <c r="S15" s="177"/>
      <c r="T15" s="175">
        <v>4</v>
      </c>
      <c r="U15" s="176">
        <v>4</v>
      </c>
      <c r="V15" s="177">
        <v>0</v>
      </c>
      <c r="W15" s="175">
        <v>1</v>
      </c>
      <c r="X15" s="176">
        <v>1</v>
      </c>
      <c r="Y15" s="177"/>
      <c r="Z15" s="175">
        <v>4</v>
      </c>
      <c r="AA15" s="176">
        <v>3</v>
      </c>
      <c r="AB15" s="177">
        <v>1</v>
      </c>
      <c r="AC15" s="175">
        <v>1</v>
      </c>
      <c r="AD15" s="176">
        <v>1</v>
      </c>
      <c r="AE15" s="177"/>
      <c r="AF15" s="175"/>
      <c r="AG15" s="176"/>
      <c r="AH15" s="177"/>
      <c r="AI15" s="139">
        <f t="shared" si="2"/>
        <v>17</v>
      </c>
      <c r="AJ15" s="139">
        <f t="shared" si="2"/>
        <v>15</v>
      </c>
    </row>
    <row r="16" spans="1:36" x14ac:dyDescent="0.25">
      <c r="A16" s="139" t="s">
        <v>249</v>
      </c>
      <c r="B16" s="175"/>
      <c r="C16" s="176"/>
      <c r="D16" s="177"/>
      <c r="E16" s="175"/>
      <c r="F16" s="176"/>
      <c r="G16" s="177"/>
      <c r="H16" s="175"/>
      <c r="I16" s="176"/>
      <c r="J16" s="177"/>
      <c r="K16" s="175"/>
      <c r="L16" s="176"/>
      <c r="M16" s="177"/>
      <c r="N16" s="175"/>
      <c r="O16" s="176"/>
      <c r="P16" s="177"/>
      <c r="Q16" s="175">
        <v>2</v>
      </c>
      <c r="R16" s="176">
        <v>1</v>
      </c>
      <c r="S16" s="177"/>
      <c r="T16" s="175"/>
      <c r="U16" s="176"/>
      <c r="V16" s="177"/>
      <c r="W16" s="175"/>
      <c r="X16" s="176"/>
      <c r="Y16" s="177"/>
      <c r="Z16" s="175"/>
      <c r="AA16" s="176"/>
      <c r="AB16" s="177"/>
      <c r="AC16" s="175"/>
      <c r="AD16" s="176"/>
      <c r="AE16" s="177"/>
      <c r="AF16" s="175"/>
      <c r="AG16" s="176"/>
      <c r="AH16" s="177"/>
      <c r="AI16" s="139">
        <f t="shared" si="2"/>
        <v>2</v>
      </c>
      <c r="AJ16" s="139">
        <f t="shared" si="2"/>
        <v>1</v>
      </c>
    </row>
    <row r="17" spans="1:36" x14ac:dyDescent="0.25">
      <c r="A17" s="139" t="s">
        <v>250</v>
      </c>
      <c r="B17" s="175"/>
      <c r="C17" s="176"/>
      <c r="D17" s="177"/>
      <c r="E17" s="175"/>
      <c r="F17" s="176"/>
      <c r="G17" s="177"/>
      <c r="H17" s="175"/>
      <c r="I17" s="176"/>
      <c r="J17" s="177"/>
      <c r="K17" s="175"/>
      <c r="L17" s="176"/>
      <c r="M17" s="177"/>
      <c r="N17" s="175"/>
      <c r="O17" s="176"/>
      <c r="P17" s="177"/>
      <c r="Q17" s="175">
        <v>2</v>
      </c>
      <c r="R17" s="176">
        <v>1</v>
      </c>
      <c r="S17" s="177"/>
      <c r="T17" s="175"/>
      <c r="U17" s="176"/>
      <c r="V17" s="177"/>
      <c r="W17" s="175"/>
      <c r="X17" s="176"/>
      <c r="Y17" s="177"/>
      <c r="Z17" s="175"/>
      <c r="AA17" s="176"/>
      <c r="AB17" s="177"/>
      <c r="AC17" s="175"/>
      <c r="AD17" s="176"/>
      <c r="AE17" s="177"/>
      <c r="AF17" s="175"/>
      <c r="AG17" s="176"/>
      <c r="AH17" s="177"/>
      <c r="AI17" s="139">
        <f t="shared" si="2"/>
        <v>2</v>
      </c>
      <c r="AJ17" s="139">
        <f t="shared" si="2"/>
        <v>1</v>
      </c>
    </row>
    <row r="18" spans="1:36" x14ac:dyDescent="0.25">
      <c r="A18" s="178" t="s">
        <v>141</v>
      </c>
      <c r="B18" s="179">
        <f t="shared" ref="B18:AJ18" si="3">SUM(B13:B17)</f>
        <v>11</v>
      </c>
      <c r="C18" s="179">
        <f t="shared" si="3"/>
        <v>7</v>
      </c>
      <c r="D18" s="179">
        <f t="shared" si="3"/>
        <v>3</v>
      </c>
      <c r="E18" s="179">
        <f t="shared" si="3"/>
        <v>3</v>
      </c>
      <c r="F18" s="179">
        <f t="shared" si="3"/>
        <v>4</v>
      </c>
      <c r="G18" s="179">
        <f t="shared" si="3"/>
        <v>0</v>
      </c>
      <c r="H18" s="179">
        <f t="shared" si="3"/>
        <v>2</v>
      </c>
      <c r="I18" s="179">
        <f t="shared" si="3"/>
        <v>2</v>
      </c>
      <c r="J18" s="179">
        <f t="shared" si="3"/>
        <v>0</v>
      </c>
      <c r="K18" s="179">
        <f t="shared" si="3"/>
        <v>8</v>
      </c>
      <c r="L18" s="179">
        <f t="shared" si="3"/>
        <v>8</v>
      </c>
      <c r="M18" s="179">
        <f t="shared" si="3"/>
        <v>1</v>
      </c>
      <c r="N18" s="179">
        <f t="shared" si="3"/>
        <v>9</v>
      </c>
      <c r="O18" s="179">
        <f t="shared" si="3"/>
        <v>7</v>
      </c>
      <c r="P18" s="179">
        <f t="shared" si="3"/>
        <v>2</v>
      </c>
      <c r="Q18" s="179">
        <f t="shared" si="3"/>
        <v>4</v>
      </c>
      <c r="R18" s="179">
        <f t="shared" si="3"/>
        <v>2</v>
      </c>
      <c r="S18" s="179">
        <f t="shared" si="3"/>
        <v>0</v>
      </c>
      <c r="T18" s="179">
        <f t="shared" si="3"/>
        <v>10</v>
      </c>
      <c r="U18" s="179">
        <f t="shared" si="3"/>
        <v>9</v>
      </c>
      <c r="V18" s="179">
        <f t="shared" si="3"/>
        <v>1</v>
      </c>
      <c r="W18" s="179">
        <f t="shared" si="3"/>
        <v>5</v>
      </c>
      <c r="X18" s="179">
        <f t="shared" si="3"/>
        <v>5</v>
      </c>
      <c r="Y18" s="179">
        <f t="shared" si="3"/>
        <v>0</v>
      </c>
      <c r="Z18" s="179">
        <f t="shared" si="3"/>
        <v>13</v>
      </c>
      <c r="AA18" s="179">
        <f t="shared" si="3"/>
        <v>13</v>
      </c>
      <c r="AB18" s="179">
        <f t="shared" si="3"/>
        <v>2</v>
      </c>
      <c r="AC18" s="179">
        <f t="shared" si="3"/>
        <v>5</v>
      </c>
      <c r="AD18" s="179">
        <f t="shared" si="3"/>
        <v>5</v>
      </c>
      <c r="AE18" s="179">
        <f t="shared" si="3"/>
        <v>0</v>
      </c>
      <c r="AF18" s="179">
        <f t="shared" si="3"/>
        <v>0</v>
      </c>
      <c r="AG18" s="179">
        <f t="shared" si="3"/>
        <v>0</v>
      </c>
      <c r="AH18" s="179">
        <f t="shared" si="3"/>
        <v>0</v>
      </c>
      <c r="AI18" s="180">
        <f t="shared" si="3"/>
        <v>70</v>
      </c>
      <c r="AJ18" s="180">
        <f t="shared" si="3"/>
        <v>62</v>
      </c>
    </row>
    <row r="20" spans="1:36" ht="15.75" thickBot="1" x14ac:dyDescent="0.3">
      <c r="A20" s="262" t="s">
        <v>252</v>
      </c>
      <c r="B20" s="263"/>
      <c r="C20" s="263"/>
      <c r="D20" s="263"/>
      <c r="E20" s="263"/>
      <c r="F20" s="263"/>
      <c r="G20" s="263"/>
      <c r="H20" s="263"/>
      <c r="I20" s="263"/>
      <c r="J20" s="263"/>
      <c r="K20" s="263"/>
      <c r="L20" s="263"/>
      <c r="M20" s="263"/>
      <c r="N20" s="263"/>
      <c r="O20" s="263"/>
      <c r="P20" s="263"/>
      <c r="Q20" s="263"/>
      <c r="R20" s="263"/>
      <c r="S20" s="263"/>
      <c r="T20" s="263"/>
      <c r="U20" s="263"/>
      <c r="V20" s="263"/>
      <c r="W20" s="263"/>
      <c r="X20" s="263"/>
      <c r="Y20" s="263"/>
      <c r="Z20" s="263"/>
      <c r="AA20" s="263"/>
      <c r="AB20" s="263"/>
      <c r="AC20" s="263"/>
      <c r="AD20" s="263"/>
      <c r="AE20" s="263"/>
      <c r="AF20" s="263"/>
      <c r="AG20" s="263"/>
      <c r="AH20" s="263"/>
      <c r="AI20" s="263"/>
      <c r="AJ20" s="264"/>
    </row>
    <row r="21" spans="1:36" x14ac:dyDescent="0.25">
      <c r="A21" s="173" t="s">
        <v>240</v>
      </c>
      <c r="B21" s="265" t="s">
        <v>241</v>
      </c>
      <c r="C21" s="266"/>
      <c r="D21" s="267"/>
      <c r="E21" s="268" t="s">
        <v>242</v>
      </c>
      <c r="F21" s="269"/>
      <c r="G21" s="270"/>
      <c r="H21" s="265" t="s">
        <v>133</v>
      </c>
      <c r="I21" s="266"/>
      <c r="J21" s="267"/>
      <c r="K21" s="268" t="s">
        <v>243</v>
      </c>
      <c r="L21" s="269"/>
      <c r="M21" s="270"/>
      <c r="N21" s="265" t="s">
        <v>136</v>
      </c>
      <c r="O21" s="266"/>
      <c r="P21" s="267"/>
      <c r="Q21" s="268" t="s">
        <v>91</v>
      </c>
      <c r="R21" s="269"/>
      <c r="S21" s="270"/>
      <c r="T21" s="265" t="s">
        <v>138</v>
      </c>
      <c r="U21" s="266"/>
      <c r="V21" s="267"/>
      <c r="W21" s="268" t="s">
        <v>137</v>
      </c>
      <c r="X21" s="269"/>
      <c r="Y21" s="270"/>
      <c r="Z21" s="265" t="s">
        <v>139</v>
      </c>
      <c r="AA21" s="266"/>
      <c r="AB21" s="267"/>
      <c r="AC21" s="268" t="s">
        <v>140</v>
      </c>
      <c r="AD21" s="269"/>
      <c r="AE21" s="270"/>
      <c r="AF21" s="265" t="s">
        <v>135</v>
      </c>
      <c r="AG21" s="266"/>
      <c r="AH21" s="267"/>
      <c r="AI21" s="212" t="s">
        <v>244</v>
      </c>
      <c r="AJ21" s="212" t="s">
        <v>245</v>
      </c>
    </row>
    <row r="22" spans="1:36" x14ac:dyDescent="0.25">
      <c r="A22" s="139" t="s">
        <v>246</v>
      </c>
      <c r="B22" s="175">
        <f t="shared" ref="B22:AJ26" si="4">+B3-B13</f>
        <v>-3</v>
      </c>
      <c r="C22" s="176">
        <f t="shared" si="4"/>
        <v>3</v>
      </c>
      <c r="D22" s="52">
        <f t="shared" si="4"/>
        <v>-3</v>
      </c>
      <c r="E22" s="175">
        <f t="shared" si="4"/>
        <v>2</v>
      </c>
      <c r="F22" s="176">
        <f t="shared" si="4"/>
        <v>1</v>
      </c>
      <c r="G22" s="177">
        <f t="shared" si="4"/>
        <v>0</v>
      </c>
      <c r="H22" s="175">
        <f t="shared" si="4"/>
        <v>2</v>
      </c>
      <c r="I22" s="176">
        <f t="shared" si="4"/>
        <v>2</v>
      </c>
      <c r="J22" s="177">
        <f t="shared" si="4"/>
        <v>0</v>
      </c>
      <c r="K22" s="175">
        <f t="shared" si="4"/>
        <v>0</v>
      </c>
      <c r="L22" s="176">
        <f t="shared" si="4"/>
        <v>0</v>
      </c>
      <c r="M22" s="177">
        <f t="shared" si="4"/>
        <v>0</v>
      </c>
      <c r="N22" s="175">
        <f t="shared" si="4"/>
        <v>0</v>
      </c>
      <c r="O22" s="176">
        <f t="shared" si="4"/>
        <v>0</v>
      </c>
      <c r="P22" s="177">
        <f t="shared" si="4"/>
        <v>0</v>
      </c>
      <c r="Q22" s="175">
        <f t="shared" si="4"/>
        <v>2</v>
      </c>
      <c r="R22" s="176">
        <f t="shared" si="4"/>
        <v>2</v>
      </c>
      <c r="S22" s="177">
        <f t="shared" si="4"/>
        <v>0</v>
      </c>
      <c r="T22" s="175">
        <f t="shared" si="4"/>
        <v>0</v>
      </c>
      <c r="U22" s="176">
        <f t="shared" si="4"/>
        <v>0</v>
      </c>
      <c r="V22" s="177">
        <f t="shared" si="4"/>
        <v>0</v>
      </c>
      <c r="W22" s="175">
        <f t="shared" si="4"/>
        <v>0</v>
      </c>
      <c r="X22" s="176">
        <f t="shared" si="4"/>
        <v>0</v>
      </c>
      <c r="Y22" s="177">
        <f t="shared" si="4"/>
        <v>0</v>
      </c>
      <c r="Z22" s="175">
        <f t="shared" si="4"/>
        <v>-2</v>
      </c>
      <c r="AA22" s="176">
        <f t="shared" si="4"/>
        <v>-2</v>
      </c>
      <c r="AB22" s="177">
        <f t="shared" si="4"/>
        <v>0</v>
      </c>
      <c r="AC22" s="175">
        <f t="shared" si="4"/>
        <v>0</v>
      </c>
      <c r="AD22" s="176">
        <f t="shared" si="4"/>
        <v>0</v>
      </c>
      <c r="AE22" s="177">
        <f t="shared" si="4"/>
        <v>0</v>
      </c>
      <c r="AF22" s="175">
        <f t="shared" si="4"/>
        <v>0</v>
      </c>
      <c r="AG22" s="176">
        <f t="shared" si="4"/>
        <v>0</v>
      </c>
      <c r="AH22" s="177">
        <f t="shared" si="4"/>
        <v>0</v>
      </c>
      <c r="AI22" s="41">
        <f t="shared" si="4"/>
        <v>1</v>
      </c>
      <c r="AJ22" s="41">
        <f t="shared" si="4"/>
        <v>6</v>
      </c>
    </row>
    <row r="23" spans="1:36" x14ac:dyDescent="0.25">
      <c r="A23" s="139" t="s">
        <v>247</v>
      </c>
      <c r="B23" s="175">
        <f t="shared" si="4"/>
        <v>0</v>
      </c>
      <c r="C23" s="176">
        <f t="shared" si="4"/>
        <v>0</v>
      </c>
      <c r="D23" s="177">
        <f t="shared" si="4"/>
        <v>0</v>
      </c>
      <c r="E23" s="175">
        <f t="shared" si="4"/>
        <v>0</v>
      </c>
      <c r="F23" s="176">
        <f t="shared" si="4"/>
        <v>0</v>
      </c>
      <c r="G23" s="177">
        <f t="shared" si="4"/>
        <v>0</v>
      </c>
      <c r="H23" s="175">
        <f t="shared" si="4"/>
        <v>4</v>
      </c>
      <c r="I23" s="176">
        <f t="shared" si="4"/>
        <v>4</v>
      </c>
      <c r="J23" s="177">
        <f t="shared" si="4"/>
        <v>0</v>
      </c>
      <c r="K23" s="175">
        <f t="shared" si="4"/>
        <v>5</v>
      </c>
      <c r="L23" s="176">
        <f t="shared" si="4"/>
        <v>5</v>
      </c>
      <c r="M23" s="177">
        <f t="shared" si="4"/>
        <v>-1</v>
      </c>
      <c r="N23" s="175">
        <f t="shared" si="4"/>
        <v>4</v>
      </c>
      <c r="O23" s="176">
        <f t="shared" si="4"/>
        <v>5</v>
      </c>
      <c r="P23" s="177">
        <f t="shared" si="4"/>
        <v>-1</v>
      </c>
      <c r="Q23" s="175">
        <f t="shared" si="4"/>
        <v>5</v>
      </c>
      <c r="R23" s="176">
        <f t="shared" si="4"/>
        <v>5</v>
      </c>
      <c r="S23" s="177">
        <f t="shared" si="4"/>
        <v>0</v>
      </c>
      <c r="T23" s="175">
        <f t="shared" si="4"/>
        <v>2</v>
      </c>
      <c r="U23" s="176">
        <f t="shared" si="4"/>
        <v>3</v>
      </c>
      <c r="V23" s="177">
        <f t="shared" si="4"/>
        <v>-1</v>
      </c>
      <c r="W23" s="175">
        <f t="shared" si="4"/>
        <v>6</v>
      </c>
      <c r="X23" s="176">
        <f t="shared" si="4"/>
        <v>6</v>
      </c>
      <c r="Y23" s="177">
        <f t="shared" si="4"/>
        <v>0</v>
      </c>
      <c r="Z23" s="175">
        <f t="shared" si="4"/>
        <v>3</v>
      </c>
      <c r="AA23" s="176">
        <f t="shared" si="4"/>
        <v>2</v>
      </c>
      <c r="AB23" s="177">
        <f t="shared" si="4"/>
        <v>-1</v>
      </c>
      <c r="AC23" s="175">
        <f t="shared" si="4"/>
        <v>0</v>
      </c>
      <c r="AD23" s="176">
        <f t="shared" si="4"/>
        <v>0</v>
      </c>
      <c r="AE23" s="177">
        <f t="shared" si="4"/>
        <v>0</v>
      </c>
      <c r="AF23" s="175">
        <f t="shared" si="4"/>
        <v>0</v>
      </c>
      <c r="AG23" s="176">
        <f t="shared" si="4"/>
        <v>0</v>
      </c>
      <c r="AH23" s="177">
        <f t="shared" si="4"/>
        <v>0</v>
      </c>
      <c r="AI23" s="41">
        <f t="shared" si="4"/>
        <v>29</v>
      </c>
      <c r="AJ23" s="41">
        <f t="shared" si="4"/>
        <v>30</v>
      </c>
    </row>
    <row r="24" spans="1:36" x14ac:dyDescent="0.25">
      <c r="A24" s="139" t="s">
        <v>248</v>
      </c>
      <c r="B24" s="175">
        <f t="shared" si="4"/>
        <v>0</v>
      </c>
      <c r="C24" s="176">
        <f t="shared" si="4"/>
        <v>0</v>
      </c>
      <c r="D24" s="177">
        <f t="shared" si="4"/>
        <v>0</v>
      </c>
      <c r="E24" s="175">
        <f t="shared" si="4"/>
        <v>0</v>
      </c>
      <c r="F24" s="176">
        <f t="shared" si="4"/>
        <v>0</v>
      </c>
      <c r="G24" s="177">
        <f t="shared" si="4"/>
        <v>0</v>
      </c>
      <c r="H24" s="175">
        <f t="shared" si="4"/>
        <v>0</v>
      </c>
      <c r="I24" s="176">
        <f t="shared" si="4"/>
        <v>0</v>
      </c>
      <c r="J24" s="177">
        <f t="shared" si="4"/>
        <v>0</v>
      </c>
      <c r="K24" s="175">
        <f t="shared" si="4"/>
        <v>1</v>
      </c>
      <c r="L24" s="176">
        <f t="shared" si="4"/>
        <v>-0.5</v>
      </c>
      <c r="M24" s="177">
        <f t="shared" si="4"/>
        <v>0</v>
      </c>
      <c r="N24" s="175">
        <f t="shared" si="4"/>
        <v>3</v>
      </c>
      <c r="O24" s="176">
        <f t="shared" si="4"/>
        <v>2</v>
      </c>
      <c r="P24" s="177">
        <f t="shared" si="4"/>
        <v>-1</v>
      </c>
      <c r="Q24" s="175">
        <f t="shared" si="4"/>
        <v>3</v>
      </c>
      <c r="R24" s="176">
        <f t="shared" si="4"/>
        <v>1.5</v>
      </c>
      <c r="S24" s="177">
        <f t="shared" si="4"/>
        <v>0</v>
      </c>
      <c r="T24" s="175">
        <f t="shared" si="4"/>
        <v>2</v>
      </c>
      <c r="U24" s="176">
        <f t="shared" si="4"/>
        <v>-1</v>
      </c>
      <c r="V24" s="177">
        <f t="shared" si="4"/>
        <v>0</v>
      </c>
      <c r="W24" s="175">
        <f t="shared" si="4"/>
        <v>5</v>
      </c>
      <c r="X24" s="176">
        <f t="shared" si="4"/>
        <v>2</v>
      </c>
      <c r="Y24" s="177">
        <f t="shared" si="4"/>
        <v>0</v>
      </c>
      <c r="Z24" s="175">
        <f t="shared" si="4"/>
        <v>1</v>
      </c>
      <c r="AA24" s="176">
        <f t="shared" si="4"/>
        <v>-0.5</v>
      </c>
      <c r="AB24" s="177">
        <f t="shared" si="4"/>
        <v>-1</v>
      </c>
      <c r="AC24" s="175">
        <f t="shared" si="4"/>
        <v>1</v>
      </c>
      <c r="AD24" s="176">
        <f t="shared" si="4"/>
        <v>0</v>
      </c>
      <c r="AE24" s="177">
        <f t="shared" si="4"/>
        <v>0</v>
      </c>
      <c r="AF24" s="175">
        <f t="shared" si="4"/>
        <v>0</v>
      </c>
      <c r="AG24" s="176">
        <f t="shared" si="4"/>
        <v>0</v>
      </c>
      <c r="AH24" s="177">
        <f t="shared" si="4"/>
        <v>0</v>
      </c>
      <c r="AI24" s="41">
        <f t="shared" si="4"/>
        <v>16</v>
      </c>
      <c r="AJ24" s="41">
        <f t="shared" si="4"/>
        <v>3.5</v>
      </c>
    </row>
    <row r="25" spans="1:36" x14ac:dyDescent="0.25">
      <c r="A25" s="139" t="s">
        <v>249</v>
      </c>
      <c r="B25" s="175">
        <f t="shared" si="4"/>
        <v>0</v>
      </c>
      <c r="C25" s="176">
        <f t="shared" si="4"/>
        <v>0</v>
      </c>
      <c r="D25" s="177">
        <f t="shared" si="4"/>
        <v>0</v>
      </c>
      <c r="E25" s="175">
        <f t="shared" si="4"/>
        <v>0</v>
      </c>
      <c r="F25" s="176">
        <f t="shared" si="4"/>
        <v>0</v>
      </c>
      <c r="G25" s="177">
        <f t="shared" si="4"/>
        <v>0</v>
      </c>
      <c r="H25" s="175">
        <f t="shared" si="4"/>
        <v>0</v>
      </c>
      <c r="I25" s="176">
        <f t="shared" si="4"/>
        <v>0</v>
      </c>
      <c r="J25" s="177">
        <f t="shared" si="4"/>
        <v>0</v>
      </c>
      <c r="K25" s="175">
        <f t="shared" si="4"/>
        <v>4</v>
      </c>
      <c r="L25" s="176">
        <f t="shared" si="4"/>
        <v>2</v>
      </c>
      <c r="M25" s="177">
        <f t="shared" si="4"/>
        <v>0</v>
      </c>
      <c r="N25" s="175">
        <f t="shared" si="4"/>
        <v>3</v>
      </c>
      <c r="O25" s="176">
        <f t="shared" si="4"/>
        <v>1</v>
      </c>
      <c r="P25" s="177">
        <f t="shared" si="4"/>
        <v>0</v>
      </c>
      <c r="Q25" s="175">
        <f t="shared" si="4"/>
        <v>2</v>
      </c>
      <c r="R25" s="176">
        <f t="shared" si="4"/>
        <v>1</v>
      </c>
      <c r="S25" s="177">
        <f t="shared" si="4"/>
        <v>0</v>
      </c>
      <c r="T25" s="175">
        <f t="shared" si="4"/>
        <v>3</v>
      </c>
      <c r="U25" s="176">
        <f t="shared" si="4"/>
        <v>1.5</v>
      </c>
      <c r="V25" s="177">
        <f t="shared" si="4"/>
        <v>0</v>
      </c>
      <c r="W25" s="175">
        <f t="shared" si="4"/>
        <v>3</v>
      </c>
      <c r="X25" s="176">
        <f t="shared" si="4"/>
        <v>1.5</v>
      </c>
      <c r="Y25" s="177">
        <f t="shared" si="4"/>
        <v>0</v>
      </c>
      <c r="Z25" s="175">
        <f t="shared" si="4"/>
        <v>3</v>
      </c>
      <c r="AA25" s="176">
        <f t="shared" si="4"/>
        <v>1.5</v>
      </c>
      <c r="AB25" s="177">
        <f t="shared" si="4"/>
        <v>0</v>
      </c>
      <c r="AC25" s="175">
        <f t="shared" si="4"/>
        <v>0</v>
      </c>
      <c r="AD25" s="176">
        <f t="shared" si="4"/>
        <v>0</v>
      </c>
      <c r="AE25" s="177">
        <f t="shared" si="4"/>
        <v>0</v>
      </c>
      <c r="AF25" s="175">
        <f t="shared" si="4"/>
        <v>0</v>
      </c>
      <c r="AG25" s="176">
        <f t="shared" si="4"/>
        <v>0</v>
      </c>
      <c r="AH25" s="177">
        <f t="shared" si="4"/>
        <v>0</v>
      </c>
      <c r="AI25" s="41">
        <f t="shared" si="4"/>
        <v>18</v>
      </c>
      <c r="AJ25" s="41">
        <f t="shared" si="4"/>
        <v>8.5</v>
      </c>
    </row>
    <row r="26" spans="1:36" x14ac:dyDescent="0.25">
      <c r="A26" s="139" t="s">
        <v>250</v>
      </c>
      <c r="B26" s="175">
        <f t="shared" si="4"/>
        <v>0</v>
      </c>
      <c r="C26" s="176">
        <f t="shared" si="4"/>
        <v>0</v>
      </c>
      <c r="D26" s="177">
        <f t="shared" si="4"/>
        <v>0</v>
      </c>
      <c r="E26" s="175">
        <f t="shared" si="4"/>
        <v>0</v>
      </c>
      <c r="F26" s="176">
        <f t="shared" si="4"/>
        <v>0</v>
      </c>
      <c r="G26" s="177">
        <f t="shared" si="4"/>
        <v>0</v>
      </c>
      <c r="H26" s="175">
        <f t="shared" si="4"/>
        <v>0</v>
      </c>
      <c r="I26" s="176">
        <f t="shared" si="4"/>
        <v>0</v>
      </c>
      <c r="J26" s="177">
        <f t="shared" si="4"/>
        <v>0</v>
      </c>
      <c r="K26" s="175">
        <f t="shared" si="4"/>
        <v>0</v>
      </c>
      <c r="L26" s="176">
        <f t="shared" si="4"/>
        <v>0</v>
      </c>
      <c r="M26" s="177">
        <f t="shared" si="4"/>
        <v>0</v>
      </c>
      <c r="N26" s="175">
        <f t="shared" si="4"/>
        <v>1</v>
      </c>
      <c r="O26" s="176">
        <f t="shared" si="4"/>
        <v>0</v>
      </c>
      <c r="P26" s="177">
        <f t="shared" si="4"/>
        <v>0</v>
      </c>
      <c r="Q26" s="175">
        <f t="shared" si="4"/>
        <v>2</v>
      </c>
      <c r="R26" s="176">
        <f t="shared" si="4"/>
        <v>1.5</v>
      </c>
      <c r="S26" s="177">
        <f t="shared" si="4"/>
        <v>0</v>
      </c>
      <c r="T26" s="175">
        <f t="shared" si="4"/>
        <v>0</v>
      </c>
      <c r="U26" s="176">
        <f t="shared" si="4"/>
        <v>0</v>
      </c>
      <c r="V26" s="177">
        <f t="shared" si="4"/>
        <v>0</v>
      </c>
      <c r="W26" s="175">
        <f t="shared" si="4"/>
        <v>0</v>
      </c>
      <c r="X26" s="176">
        <f t="shared" si="4"/>
        <v>0</v>
      </c>
      <c r="Y26" s="177">
        <f t="shared" si="4"/>
        <v>0</v>
      </c>
      <c r="Z26" s="175">
        <f t="shared" si="4"/>
        <v>0</v>
      </c>
      <c r="AA26" s="176">
        <f t="shared" si="4"/>
        <v>0</v>
      </c>
      <c r="AB26" s="177">
        <f t="shared" si="4"/>
        <v>0</v>
      </c>
      <c r="AC26" s="175">
        <f t="shared" si="4"/>
        <v>0</v>
      </c>
      <c r="AD26" s="176">
        <f t="shared" si="4"/>
        <v>0</v>
      </c>
      <c r="AE26" s="177">
        <f t="shared" si="4"/>
        <v>0</v>
      </c>
      <c r="AF26" s="175">
        <f t="shared" si="4"/>
        <v>0</v>
      </c>
      <c r="AG26" s="176">
        <f t="shared" si="4"/>
        <v>0</v>
      </c>
      <c r="AH26" s="177">
        <f t="shared" si="4"/>
        <v>0</v>
      </c>
      <c r="AI26" s="41">
        <f t="shared" si="4"/>
        <v>3</v>
      </c>
      <c r="AJ26" s="41">
        <f t="shared" si="4"/>
        <v>1.5</v>
      </c>
    </row>
    <row r="27" spans="1:36" x14ac:dyDescent="0.25">
      <c r="A27" s="178" t="s">
        <v>141</v>
      </c>
      <c r="B27" s="179">
        <f t="shared" ref="B27:AJ27" si="5">SUM(B22:B26)</f>
        <v>-3</v>
      </c>
      <c r="C27" s="179">
        <f t="shared" si="5"/>
        <v>3</v>
      </c>
      <c r="D27" s="179">
        <f t="shared" si="5"/>
        <v>-3</v>
      </c>
      <c r="E27" s="179">
        <f t="shared" si="5"/>
        <v>2</v>
      </c>
      <c r="F27" s="179">
        <f t="shared" si="5"/>
        <v>1</v>
      </c>
      <c r="G27" s="179">
        <f t="shared" si="5"/>
        <v>0</v>
      </c>
      <c r="H27" s="179">
        <f t="shared" si="5"/>
        <v>6</v>
      </c>
      <c r="I27" s="179">
        <f t="shared" si="5"/>
        <v>6</v>
      </c>
      <c r="J27" s="179">
        <f t="shared" si="5"/>
        <v>0</v>
      </c>
      <c r="K27" s="179">
        <f t="shared" si="5"/>
        <v>10</v>
      </c>
      <c r="L27" s="179">
        <f t="shared" si="5"/>
        <v>6.5</v>
      </c>
      <c r="M27" s="179">
        <f t="shared" si="5"/>
        <v>-1</v>
      </c>
      <c r="N27" s="179">
        <f t="shared" si="5"/>
        <v>11</v>
      </c>
      <c r="O27" s="179">
        <f t="shared" si="5"/>
        <v>8</v>
      </c>
      <c r="P27" s="179">
        <f t="shared" si="5"/>
        <v>-2</v>
      </c>
      <c r="Q27" s="179">
        <f t="shared" si="5"/>
        <v>14</v>
      </c>
      <c r="R27" s="179">
        <f t="shared" si="5"/>
        <v>11</v>
      </c>
      <c r="S27" s="179">
        <f t="shared" si="5"/>
        <v>0</v>
      </c>
      <c r="T27" s="179">
        <f t="shared" si="5"/>
        <v>7</v>
      </c>
      <c r="U27" s="179">
        <f t="shared" si="5"/>
        <v>3.5</v>
      </c>
      <c r="V27" s="179">
        <f t="shared" si="5"/>
        <v>-1</v>
      </c>
      <c r="W27" s="179">
        <f t="shared" si="5"/>
        <v>14</v>
      </c>
      <c r="X27" s="179">
        <f t="shared" si="5"/>
        <v>9.5</v>
      </c>
      <c r="Y27" s="179">
        <f t="shared" si="5"/>
        <v>0</v>
      </c>
      <c r="Z27" s="179">
        <f t="shared" si="5"/>
        <v>5</v>
      </c>
      <c r="AA27" s="179">
        <f t="shared" si="5"/>
        <v>1</v>
      </c>
      <c r="AB27" s="179">
        <f t="shared" si="5"/>
        <v>-2</v>
      </c>
      <c r="AC27" s="179">
        <f t="shared" si="5"/>
        <v>1</v>
      </c>
      <c r="AD27" s="179">
        <f t="shared" si="5"/>
        <v>0</v>
      </c>
      <c r="AE27" s="179">
        <f t="shared" si="5"/>
        <v>0</v>
      </c>
      <c r="AF27" s="179">
        <f t="shared" si="5"/>
        <v>0</v>
      </c>
      <c r="AG27" s="179">
        <f t="shared" si="5"/>
        <v>0</v>
      </c>
      <c r="AH27" s="179">
        <f t="shared" si="5"/>
        <v>0</v>
      </c>
      <c r="AI27" s="213">
        <f t="shared" si="5"/>
        <v>67</v>
      </c>
      <c r="AJ27" s="213">
        <f t="shared" si="5"/>
        <v>49.5</v>
      </c>
    </row>
    <row r="28" spans="1:36" x14ac:dyDescent="0.25">
      <c r="A28" s="149" t="s">
        <v>253</v>
      </c>
    </row>
    <row r="29" spans="1:36" x14ac:dyDescent="0.25">
      <c r="A29" s="182" t="s">
        <v>254</v>
      </c>
    </row>
    <row r="30" spans="1:36" ht="15.75" thickBot="1" x14ac:dyDescent="0.3">
      <c r="A30" s="183" t="s">
        <v>255</v>
      </c>
    </row>
    <row r="31" spans="1:36" ht="15.75" thickBot="1" x14ac:dyDescent="0.3">
      <c r="A31" s="275" t="s">
        <v>256</v>
      </c>
      <c r="B31" s="276"/>
      <c r="C31" s="276"/>
      <c r="D31" s="276"/>
      <c r="E31" s="276"/>
      <c r="F31" s="276"/>
      <c r="G31" s="276"/>
      <c r="H31" s="276"/>
      <c r="I31" s="276"/>
      <c r="J31" s="276"/>
      <c r="K31" s="276"/>
      <c r="L31" s="276"/>
      <c r="M31" s="276"/>
      <c r="N31" s="276"/>
      <c r="O31" s="276"/>
      <c r="P31" s="276"/>
      <c r="Q31" s="276"/>
      <c r="R31" s="276"/>
      <c r="S31" s="276"/>
      <c r="T31" s="276"/>
      <c r="U31" s="276"/>
      <c r="V31" s="276"/>
      <c r="W31" s="276"/>
      <c r="X31" s="276"/>
      <c r="Y31" s="276"/>
      <c r="Z31" s="276"/>
      <c r="AA31" s="276"/>
      <c r="AB31" s="276"/>
      <c r="AC31" s="276"/>
      <c r="AD31" s="276"/>
      <c r="AE31" s="276"/>
      <c r="AF31" s="276"/>
      <c r="AG31" s="276"/>
      <c r="AH31" s="277"/>
    </row>
    <row r="32" spans="1:36" x14ac:dyDescent="0.25">
      <c r="A32" s="278" t="s">
        <v>257</v>
      </c>
      <c r="B32" s="280" t="s">
        <v>241</v>
      </c>
      <c r="C32" s="280"/>
      <c r="D32" s="280"/>
      <c r="E32" s="281" t="s">
        <v>242</v>
      </c>
      <c r="F32" s="281"/>
      <c r="G32" s="281"/>
      <c r="H32" s="280" t="s">
        <v>133</v>
      </c>
      <c r="I32" s="280"/>
      <c r="J32" s="280"/>
      <c r="K32" s="281" t="s">
        <v>258</v>
      </c>
      <c r="L32" s="281"/>
      <c r="M32" s="281"/>
      <c r="N32" s="280" t="s">
        <v>136</v>
      </c>
      <c r="O32" s="280"/>
      <c r="P32" s="280"/>
      <c r="Q32" s="281" t="s">
        <v>91</v>
      </c>
      <c r="R32" s="281"/>
      <c r="S32" s="281"/>
      <c r="T32" s="280" t="s">
        <v>138</v>
      </c>
      <c r="U32" s="280"/>
      <c r="V32" s="280"/>
      <c r="W32" s="281" t="s">
        <v>137</v>
      </c>
      <c r="X32" s="281"/>
      <c r="Y32" s="281"/>
      <c r="Z32" s="280" t="s">
        <v>139</v>
      </c>
      <c r="AA32" s="280"/>
      <c r="AB32" s="280"/>
      <c r="AC32" s="281" t="s">
        <v>140</v>
      </c>
      <c r="AD32" s="281"/>
      <c r="AE32" s="281"/>
      <c r="AF32" s="280" t="s">
        <v>135</v>
      </c>
      <c r="AG32" s="280"/>
      <c r="AH32" s="280"/>
    </row>
    <row r="33" spans="1:36" x14ac:dyDescent="0.25">
      <c r="A33" s="279"/>
      <c r="B33" s="271" t="s">
        <v>80</v>
      </c>
      <c r="C33" s="272"/>
      <c r="D33" s="186" t="s">
        <v>81</v>
      </c>
      <c r="E33" s="273" t="s">
        <v>80</v>
      </c>
      <c r="F33" s="274"/>
      <c r="G33" s="39" t="s">
        <v>81</v>
      </c>
      <c r="H33" s="271" t="s">
        <v>80</v>
      </c>
      <c r="I33" s="272"/>
      <c r="J33" s="186" t="s">
        <v>81</v>
      </c>
      <c r="K33" s="273" t="s">
        <v>80</v>
      </c>
      <c r="L33" s="274"/>
      <c r="M33" s="39" t="s">
        <v>81</v>
      </c>
      <c r="N33" s="271" t="s">
        <v>80</v>
      </c>
      <c r="O33" s="272"/>
      <c r="P33" s="186" t="s">
        <v>81</v>
      </c>
      <c r="Q33" s="273" t="s">
        <v>80</v>
      </c>
      <c r="R33" s="274"/>
      <c r="S33" s="39" t="s">
        <v>81</v>
      </c>
      <c r="T33" s="271" t="s">
        <v>80</v>
      </c>
      <c r="U33" s="272"/>
      <c r="V33" s="186" t="s">
        <v>81</v>
      </c>
      <c r="W33" s="273" t="s">
        <v>80</v>
      </c>
      <c r="X33" s="274"/>
      <c r="Y33" s="39" t="s">
        <v>81</v>
      </c>
      <c r="Z33" s="271" t="s">
        <v>80</v>
      </c>
      <c r="AA33" s="272"/>
      <c r="AB33" s="186" t="s">
        <v>81</v>
      </c>
      <c r="AC33" s="273" t="s">
        <v>80</v>
      </c>
      <c r="AD33" s="274"/>
      <c r="AE33" s="39" t="s">
        <v>81</v>
      </c>
      <c r="AF33" s="271" t="s">
        <v>80</v>
      </c>
      <c r="AG33" s="272"/>
      <c r="AH33" s="185" t="s">
        <v>81</v>
      </c>
      <c r="AI33" s="282" t="s">
        <v>259</v>
      </c>
      <c r="AJ33" s="282"/>
    </row>
    <row r="34" spans="1:36" x14ac:dyDescent="0.25">
      <c r="A34" s="184" t="s">
        <v>42</v>
      </c>
      <c r="B34" s="139">
        <v>1</v>
      </c>
      <c r="C34" s="139"/>
      <c r="D34" s="139"/>
      <c r="E34" s="139"/>
      <c r="F34" s="139"/>
      <c r="G34" s="139"/>
      <c r="H34" s="139"/>
      <c r="I34" s="139"/>
      <c r="J34" s="139"/>
      <c r="K34" s="139"/>
      <c r="L34" s="139"/>
      <c r="M34" s="139"/>
      <c r="N34" s="139"/>
      <c r="O34" s="139"/>
      <c r="P34" s="139"/>
      <c r="Q34" s="139"/>
      <c r="R34" s="139"/>
      <c r="S34" s="139"/>
      <c r="T34" s="139"/>
      <c r="U34" s="139"/>
      <c r="V34" s="139"/>
      <c r="W34" s="139"/>
      <c r="X34" s="139"/>
      <c r="Y34" s="139"/>
      <c r="Z34" s="139"/>
      <c r="AA34" s="139"/>
      <c r="AB34" s="139"/>
      <c r="AC34" s="139"/>
      <c r="AD34" s="139"/>
      <c r="AE34" s="139"/>
      <c r="AF34" s="139"/>
      <c r="AG34" s="139"/>
      <c r="AH34" s="56"/>
      <c r="AI34" s="187"/>
      <c r="AJ34" s="187"/>
    </row>
    <row r="35" spans="1:36" x14ac:dyDescent="0.25">
      <c r="A35" s="184" t="s">
        <v>39</v>
      </c>
      <c r="B35" s="139">
        <f>+Detallado!V6</f>
        <v>0.5</v>
      </c>
      <c r="C35" s="139"/>
      <c r="D35" s="139">
        <f>+Detallado!AR6</f>
        <v>0.5</v>
      </c>
      <c r="E35" s="139"/>
      <c r="F35" s="139"/>
      <c r="G35" s="139"/>
      <c r="H35" s="139"/>
      <c r="I35" s="139"/>
      <c r="J35" s="139"/>
      <c r="K35" s="139"/>
      <c r="L35" s="139"/>
      <c r="M35" s="139"/>
      <c r="N35" s="139"/>
      <c r="O35" s="139"/>
      <c r="P35" s="139"/>
      <c r="Q35" s="139"/>
      <c r="R35" s="139"/>
      <c r="S35" s="139"/>
      <c r="T35" s="139"/>
      <c r="U35" s="139"/>
      <c r="V35" s="139"/>
      <c r="W35" s="139"/>
      <c r="X35" s="139"/>
      <c r="Y35" s="139"/>
      <c r="Z35" s="139"/>
      <c r="AA35" s="139"/>
      <c r="AB35" s="139"/>
      <c r="AC35" s="139"/>
      <c r="AD35" s="139"/>
      <c r="AE35" s="139"/>
      <c r="AF35" s="139"/>
      <c r="AG35" s="139"/>
      <c r="AH35" s="56"/>
      <c r="AI35" s="187"/>
      <c r="AJ35" s="187"/>
    </row>
    <row r="36" spans="1:36" x14ac:dyDescent="0.25">
      <c r="A36" s="188" t="s">
        <v>38</v>
      </c>
      <c r="B36" s="139">
        <f>+Detallado!V5+1</f>
        <v>3</v>
      </c>
      <c r="C36" s="139"/>
      <c r="D36" s="139">
        <f>+Detallado!AR5+1</f>
        <v>2</v>
      </c>
      <c r="E36" s="139">
        <f>+Detallado!V17</f>
        <v>1</v>
      </c>
      <c r="F36" s="139"/>
      <c r="G36" s="139">
        <f>+Detallado!AR17</f>
        <v>0</v>
      </c>
      <c r="H36" s="139"/>
      <c r="I36" s="139"/>
      <c r="J36" s="139"/>
      <c r="K36" s="139"/>
      <c r="L36" s="139"/>
      <c r="M36" s="139"/>
      <c r="N36" s="139"/>
      <c r="O36" s="139"/>
      <c r="P36" s="139"/>
      <c r="Q36" s="139"/>
      <c r="R36" s="139"/>
      <c r="S36" s="139"/>
      <c r="T36" s="139"/>
      <c r="U36" s="139"/>
      <c r="V36" s="139"/>
      <c r="W36" s="139"/>
      <c r="X36" s="139"/>
      <c r="Y36" s="139"/>
      <c r="Z36" s="139"/>
      <c r="AA36" s="139"/>
      <c r="AB36" s="139"/>
      <c r="AC36" s="139"/>
      <c r="AD36" s="139"/>
      <c r="AE36" s="139"/>
      <c r="AF36" s="139"/>
      <c r="AG36" s="139"/>
      <c r="AH36" s="56"/>
      <c r="AI36" s="282">
        <f t="shared" ref="AI36:AI49" si="6">SUM(B36:AH36)</f>
        <v>6</v>
      </c>
      <c r="AJ36" s="282"/>
    </row>
    <row r="37" spans="1:36" x14ac:dyDescent="0.25">
      <c r="A37" s="188" t="s">
        <v>40</v>
      </c>
      <c r="B37" s="139">
        <f>+Detallado!V7</f>
        <v>1</v>
      </c>
      <c r="C37" s="139"/>
      <c r="D37" s="139">
        <f>+Detallado!AR7</f>
        <v>1</v>
      </c>
      <c r="E37" s="139">
        <f>+Detallado!V18</f>
        <v>1</v>
      </c>
      <c r="F37" s="139"/>
      <c r="G37" s="139">
        <f>+Detallado!AR18</f>
        <v>1</v>
      </c>
      <c r="H37" s="139">
        <f>+Detallado!V11</f>
        <v>1</v>
      </c>
      <c r="I37" s="139"/>
      <c r="J37" s="139">
        <f>+Detallado!AR11</f>
        <v>0</v>
      </c>
      <c r="K37" s="139"/>
      <c r="L37" s="139"/>
      <c r="M37" s="139"/>
      <c r="N37" s="139"/>
      <c r="O37" s="139"/>
      <c r="P37" s="139"/>
      <c r="Q37" s="139">
        <f>+Detallado!V51</f>
        <v>1</v>
      </c>
      <c r="R37" s="139"/>
      <c r="S37" s="139">
        <f>+Detallado!AR51</f>
        <v>0</v>
      </c>
      <c r="T37" s="139"/>
      <c r="U37" s="139"/>
      <c r="V37" s="139"/>
      <c r="W37" s="139"/>
      <c r="X37" s="139"/>
      <c r="Y37" s="139"/>
      <c r="Z37" s="139"/>
      <c r="AA37" s="139"/>
      <c r="AB37" s="139"/>
      <c r="AC37" s="139"/>
      <c r="AD37" s="139"/>
      <c r="AE37" s="139"/>
      <c r="AF37" s="139"/>
      <c r="AG37" s="139"/>
      <c r="AH37" s="56"/>
      <c r="AI37" s="282">
        <f t="shared" si="6"/>
        <v>6</v>
      </c>
      <c r="AJ37" s="282"/>
    </row>
    <row r="38" spans="1:36" x14ac:dyDescent="0.25">
      <c r="A38" s="188" t="s">
        <v>41</v>
      </c>
      <c r="B38" s="139">
        <f>+Detallado!V8</f>
        <v>1</v>
      </c>
      <c r="C38" s="139"/>
      <c r="D38" s="139">
        <f>+Detallado!AR8</f>
        <v>1</v>
      </c>
      <c r="E38" s="139">
        <f>+Detallado!V19</f>
        <v>1</v>
      </c>
      <c r="F38" s="139"/>
      <c r="G38" s="139">
        <f>+Detallado!AR19</f>
        <v>1</v>
      </c>
      <c r="H38" s="139">
        <f>+Detallado!V12</f>
        <v>2</v>
      </c>
      <c r="I38" s="139"/>
      <c r="J38" s="139">
        <f>+Detallado!AR12</f>
        <v>1</v>
      </c>
      <c r="K38" s="139"/>
      <c r="L38" s="139"/>
      <c r="M38" s="139"/>
      <c r="N38" s="139"/>
      <c r="O38" s="139"/>
      <c r="P38" s="139"/>
      <c r="Q38" s="139">
        <f>+Detallado!V52</f>
        <v>1</v>
      </c>
      <c r="R38" s="139"/>
      <c r="S38" s="139">
        <f>+Detallado!AR52</f>
        <v>0</v>
      </c>
      <c r="T38" s="139"/>
      <c r="U38" s="139"/>
      <c r="V38" s="139"/>
      <c r="W38" s="139"/>
      <c r="X38" s="139"/>
      <c r="Y38" s="139"/>
      <c r="Z38" s="139"/>
      <c r="AA38" s="139"/>
      <c r="AB38" s="139"/>
      <c r="AC38" s="139"/>
      <c r="AD38" s="139"/>
      <c r="AE38" s="139"/>
      <c r="AF38" s="139"/>
      <c r="AG38" s="139"/>
      <c r="AH38" s="56"/>
      <c r="AI38" s="282">
        <f t="shared" si="6"/>
        <v>8</v>
      </c>
      <c r="AJ38" s="282"/>
    </row>
    <row r="39" spans="1:36" x14ac:dyDescent="0.25">
      <c r="A39" s="188" t="s">
        <v>83</v>
      </c>
      <c r="B39" s="139"/>
      <c r="C39" s="139"/>
      <c r="D39" s="139"/>
      <c r="E39" s="139"/>
      <c r="F39" s="139"/>
      <c r="G39" s="139"/>
      <c r="H39" s="139">
        <f>+Detallado!V13</f>
        <v>1</v>
      </c>
      <c r="I39" s="139"/>
      <c r="J39" s="139">
        <f>+Detallado!AR13</f>
        <v>1</v>
      </c>
      <c r="K39" s="139">
        <f>+Detallado!V41</f>
        <v>2</v>
      </c>
      <c r="L39" s="139"/>
      <c r="M39" s="139">
        <f>+Detallado!AR41</f>
        <v>2</v>
      </c>
      <c r="N39" s="139"/>
      <c r="O39" s="139"/>
      <c r="P39" s="139"/>
      <c r="Q39" s="139">
        <f>+Detallado!V53</f>
        <v>1</v>
      </c>
      <c r="R39" s="139"/>
      <c r="S39" s="139">
        <f>+Detallado!AR53</f>
        <v>1</v>
      </c>
      <c r="T39" s="139">
        <f>+Detallado!V69</f>
        <v>2</v>
      </c>
      <c r="U39" s="139"/>
      <c r="V39" s="139">
        <f>+Detallado!AR69</f>
        <v>1</v>
      </c>
      <c r="W39" s="139">
        <f>+Detallado!V31</f>
        <v>2</v>
      </c>
      <c r="X39" s="139"/>
      <c r="Y39" s="139">
        <f>+Detallado!AR31</f>
        <v>1</v>
      </c>
      <c r="Z39" s="139">
        <f>+Detallado!V79</f>
        <v>2</v>
      </c>
      <c r="AA39" s="139"/>
      <c r="AB39" s="139">
        <f>+Detallado!AR79</f>
        <v>1</v>
      </c>
      <c r="AC39" s="139"/>
      <c r="AD39" s="139"/>
      <c r="AE39" s="139"/>
      <c r="AF39" s="139"/>
      <c r="AG39" s="139"/>
      <c r="AH39" s="56"/>
      <c r="AI39" s="282">
        <f t="shared" si="6"/>
        <v>17</v>
      </c>
      <c r="AJ39" s="282"/>
    </row>
    <row r="40" spans="1:36" x14ac:dyDescent="0.25">
      <c r="A40" s="188" t="s">
        <v>46</v>
      </c>
      <c r="B40" s="139"/>
      <c r="C40" s="139"/>
      <c r="D40" s="139"/>
      <c r="E40" s="139"/>
      <c r="F40" s="139"/>
      <c r="G40" s="139"/>
      <c r="H40" s="139"/>
      <c r="I40" s="139"/>
      <c r="J40" s="139">
        <f>+Detallado!AR14</f>
        <v>1</v>
      </c>
      <c r="K40" s="139">
        <f>+Detallado!V42</f>
        <v>1</v>
      </c>
      <c r="L40" s="139"/>
      <c r="M40" s="139">
        <f>+Detallado!AR42</f>
        <v>2</v>
      </c>
      <c r="N40" s="139">
        <f>+Detallado!V21</f>
        <v>3</v>
      </c>
      <c r="O40" s="139"/>
      <c r="P40" s="139">
        <f>+Detallado!AR21</f>
        <v>2</v>
      </c>
      <c r="Q40" s="139">
        <f>+Detallado!V54</f>
        <v>1</v>
      </c>
      <c r="R40" s="139"/>
      <c r="S40" s="139">
        <f>+Detallado!AR54</f>
        <v>1</v>
      </c>
      <c r="T40" s="139">
        <f>+Detallado!V70</f>
        <v>2</v>
      </c>
      <c r="U40" s="139"/>
      <c r="V40" s="139">
        <f>+Detallado!AR70</f>
        <v>1</v>
      </c>
      <c r="W40" s="139">
        <f>+Detallado!V32</f>
        <v>1</v>
      </c>
      <c r="X40" s="139"/>
      <c r="Y40" s="139">
        <f>+Detallado!AR32</f>
        <v>2</v>
      </c>
      <c r="Z40" s="139">
        <f>+Detallado!V80</f>
        <v>2</v>
      </c>
      <c r="AA40" s="139"/>
      <c r="AB40" s="139">
        <f>+Detallado!AR80</f>
        <v>2</v>
      </c>
      <c r="AC40" s="139">
        <f>+Detallado!V89</f>
        <v>0</v>
      </c>
      <c r="AD40" s="139"/>
      <c r="AE40" s="139">
        <f>+Detallado!AR89</f>
        <v>1</v>
      </c>
      <c r="AF40" s="139"/>
      <c r="AG40" s="139"/>
      <c r="AH40" s="56"/>
      <c r="AI40" s="282">
        <f t="shared" si="6"/>
        <v>22</v>
      </c>
      <c r="AJ40" s="282"/>
    </row>
    <row r="41" spans="1:36" x14ac:dyDescent="0.25">
      <c r="A41" s="188" t="s">
        <v>47</v>
      </c>
      <c r="B41" s="139"/>
      <c r="C41" s="139"/>
      <c r="D41" s="139"/>
      <c r="E41" s="139"/>
      <c r="F41" s="139"/>
      <c r="G41" s="139"/>
      <c r="H41" s="139"/>
      <c r="I41" s="139"/>
      <c r="J41" s="139">
        <f>+Detallado!AR15</f>
        <v>1</v>
      </c>
      <c r="K41" s="139">
        <f>+Detallado!V43</f>
        <v>2</v>
      </c>
      <c r="L41" s="139"/>
      <c r="M41" s="139">
        <f>+Detallado!AR43</f>
        <v>1</v>
      </c>
      <c r="N41" s="139">
        <f>+Detallado!V22</f>
        <v>2</v>
      </c>
      <c r="O41" s="139"/>
      <c r="P41" s="139">
        <f>+Detallado!AR22</f>
        <v>2</v>
      </c>
      <c r="Q41" s="139">
        <f>+Detallado!V55</f>
        <v>1</v>
      </c>
      <c r="R41" s="139"/>
      <c r="S41" s="139">
        <f>+Detallado!AR55</f>
        <v>0</v>
      </c>
      <c r="T41" s="139">
        <f>+Detallado!V71</f>
        <v>1</v>
      </c>
      <c r="U41" s="139"/>
      <c r="V41" s="139">
        <f>+Detallado!AR71</f>
        <v>1</v>
      </c>
      <c r="W41" s="139">
        <f>+Detallado!V33</f>
        <v>2</v>
      </c>
      <c r="X41" s="139"/>
      <c r="Y41" s="139">
        <f>+Detallado!AR33</f>
        <v>2</v>
      </c>
      <c r="Z41" s="139">
        <f>+Detallado!V81</f>
        <v>2</v>
      </c>
      <c r="AA41" s="139"/>
      <c r="AB41" s="139">
        <f>+Detallado!AR81</f>
        <v>1</v>
      </c>
      <c r="AC41" s="139">
        <f>+Detallado!V90</f>
        <v>2</v>
      </c>
      <c r="AD41" s="139"/>
      <c r="AE41" s="139">
        <f>+Detallado!AR90</f>
        <v>1</v>
      </c>
      <c r="AF41" s="139"/>
      <c r="AG41" s="139"/>
      <c r="AH41" s="56"/>
      <c r="AI41" s="282">
        <f t="shared" si="6"/>
        <v>21</v>
      </c>
      <c r="AJ41" s="282"/>
    </row>
    <row r="42" spans="1:36" x14ac:dyDescent="0.25">
      <c r="A42" s="188" t="s">
        <v>51</v>
      </c>
      <c r="B42" s="139"/>
      <c r="C42" s="139"/>
      <c r="D42" s="139"/>
      <c r="E42" s="139"/>
      <c r="F42" s="139"/>
      <c r="G42" s="139"/>
      <c r="H42" s="139"/>
      <c r="I42" s="139"/>
      <c r="J42" s="139"/>
      <c r="K42" s="139">
        <f>+Detallado!V44</f>
        <v>1</v>
      </c>
      <c r="L42" s="139"/>
      <c r="M42" s="139">
        <f>+Detallado!AR44</f>
        <v>1</v>
      </c>
      <c r="N42" s="139">
        <f>+Detallado!V23</f>
        <v>1</v>
      </c>
      <c r="O42" s="139"/>
      <c r="P42" s="139">
        <f>+Detallado!AR23</f>
        <v>2</v>
      </c>
      <c r="Q42" s="139">
        <f>+Detallado!V56</f>
        <v>1</v>
      </c>
      <c r="R42" s="139"/>
      <c r="S42" s="139">
        <f>+Detallado!AR56</f>
        <v>0</v>
      </c>
      <c r="T42" s="139">
        <f>+Detallado!V72</f>
        <v>1</v>
      </c>
      <c r="U42" s="139"/>
      <c r="V42" s="139">
        <f>+Detallado!AR72</f>
        <v>1</v>
      </c>
      <c r="W42" s="139">
        <f>+Detallado!V34</f>
        <v>1</v>
      </c>
      <c r="X42" s="139"/>
      <c r="Y42" s="139">
        <f>+Detallado!AR34</f>
        <v>1</v>
      </c>
      <c r="Z42" s="139">
        <f>+Detallado!V82</f>
        <v>1</v>
      </c>
      <c r="AA42" s="139"/>
      <c r="AB42" s="139">
        <f>+Detallado!AR82</f>
        <v>1</v>
      </c>
      <c r="AC42" s="139">
        <f>+Detallado!V91</f>
        <v>1</v>
      </c>
      <c r="AD42" s="139"/>
      <c r="AE42" s="139">
        <f>+Detallado!AR91</f>
        <v>0</v>
      </c>
      <c r="AF42" s="139"/>
      <c r="AG42" s="139"/>
      <c r="AH42" s="56"/>
      <c r="AI42" s="282">
        <f t="shared" si="6"/>
        <v>13</v>
      </c>
      <c r="AJ42" s="282"/>
    </row>
    <row r="43" spans="1:36" x14ac:dyDescent="0.25">
      <c r="A43" s="188" t="s">
        <v>52</v>
      </c>
      <c r="B43" s="139"/>
      <c r="C43" s="139"/>
      <c r="D43" s="139"/>
      <c r="E43" s="139"/>
      <c r="F43" s="139"/>
      <c r="G43" s="139"/>
      <c r="H43" s="139"/>
      <c r="I43" s="139"/>
      <c r="J43" s="139"/>
      <c r="K43" s="139">
        <f>+Detallado!V45</f>
        <v>1</v>
      </c>
      <c r="L43" s="139"/>
      <c r="M43" s="139">
        <f>+Detallado!AR45</f>
        <v>0</v>
      </c>
      <c r="N43" s="139">
        <f>+Detallado!V24</f>
        <v>1</v>
      </c>
      <c r="O43" s="139"/>
      <c r="P43" s="139">
        <f>+Detallado!AR24</f>
        <v>1</v>
      </c>
      <c r="Q43" s="139">
        <f>+Detallado!V57</f>
        <v>1</v>
      </c>
      <c r="R43" s="139"/>
      <c r="S43" s="139">
        <f>+Detallado!AR57</f>
        <v>0</v>
      </c>
      <c r="T43" s="139">
        <f>+Detallado!V73</f>
        <v>1</v>
      </c>
      <c r="U43" s="139"/>
      <c r="V43" s="139">
        <f>+Detallado!AR73</f>
        <v>1</v>
      </c>
      <c r="W43" s="139">
        <f>+Detallado!V35</f>
        <v>1</v>
      </c>
      <c r="X43" s="139"/>
      <c r="Y43" s="139">
        <f>+Detallado!AR35</f>
        <v>1</v>
      </c>
      <c r="Z43" s="139">
        <f>+Detallado!V83</f>
        <v>1</v>
      </c>
      <c r="AA43" s="139"/>
      <c r="AB43" s="139">
        <f>+Detallado!AR83</f>
        <v>1</v>
      </c>
      <c r="AC43" s="139">
        <f>+Detallado!V92</f>
        <v>1</v>
      </c>
      <c r="AD43" s="139"/>
      <c r="AE43" s="139">
        <f>+Detallado!AR92</f>
        <v>0</v>
      </c>
      <c r="AF43" s="139"/>
      <c r="AG43" s="139"/>
      <c r="AH43" s="56"/>
      <c r="AI43" s="282">
        <f t="shared" si="6"/>
        <v>11</v>
      </c>
      <c r="AJ43" s="282"/>
    </row>
    <row r="44" spans="1:36" x14ac:dyDescent="0.25">
      <c r="A44" s="188" t="s">
        <v>260</v>
      </c>
      <c r="B44" s="139"/>
      <c r="C44" s="139"/>
      <c r="D44" s="139"/>
      <c r="E44" s="139"/>
      <c r="F44" s="139"/>
      <c r="G44" s="139"/>
      <c r="H44" s="139"/>
      <c r="I44" s="139"/>
      <c r="J44" s="139"/>
      <c r="K44" s="139">
        <f>+Detallado!V46</f>
        <v>1</v>
      </c>
      <c r="L44" s="139"/>
      <c r="M44" s="139">
        <f>+Detallado!AR46</f>
        <v>0</v>
      </c>
      <c r="N44" s="139">
        <f>+Detallado!V25</f>
        <v>1</v>
      </c>
      <c r="O44" s="139"/>
      <c r="P44" s="139">
        <f>+Detallado!AR25</f>
        <v>1</v>
      </c>
      <c r="Q44" s="139">
        <f>+Detallado!V58</f>
        <v>1</v>
      </c>
      <c r="R44" s="139"/>
      <c r="S44" s="139">
        <f>+Detallado!AR58</f>
        <v>0</v>
      </c>
      <c r="T44" s="139">
        <f>+Detallado!V74</f>
        <v>1</v>
      </c>
      <c r="U44" s="139"/>
      <c r="V44" s="139">
        <f>+Detallado!AR74</f>
        <v>1</v>
      </c>
      <c r="W44" s="139">
        <f>+Detallado!V36</f>
        <v>1</v>
      </c>
      <c r="X44" s="139"/>
      <c r="Y44" s="139">
        <f>+Detallado!AR36</f>
        <v>1</v>
      </c>
      <c r="Z44" s="139">
        <f>+Detallado!V84</f>
        <v>1</v>
      </c>
      <c r="AA44" s="139"/>
      <c r="AB44" s="139">
        <f>+Detallado!AR84</f>
        <v>0</v>
      </c>
      <c r="AC44" s="139"/>
      <c r="AD44" s="139"/>
      <c r="AE44" s="139"/>
      <c r="AF44" s="139"/>
      <c r="AG44" s="139"/>
      <c r="AH44" s="56"/>
      <c r="AI44" s="282">
        <f t="shared" si="6"/>
        <v>9</v>
      </c>
      <c r="AJ44" s="282"/>
    </row>
    <row r="45" spans="1:36" x14ac:dyDescent="0.25">
      <c r="A45" s="188" t="s">
        <v>261</v>
      </c>
      <c r="B45" s="139"/>
      <c r="C45" s="139"/>
      <c r="D45" s="139"/>
      <c r="E45" s="139"/>
      <c r="F45" s="139"/>
      <c r="G45" s="139"/>
      <c r="H45" s="139"/>
      <c r="I45" s="139"/>
      <c r="J45" s="139"/>
      <c r="K45" s="139">
        <f>+Detallado!V47</f>
        <v>1</v>
      </c>
      <c r="L45" s="139"/>
      <c r="M45" s="139">
        <f>+Detallado!AR47</f>
        <v>1</v>
      </c>
      <c r="N45" s="139">
        <f>+Detallado!V26</f>
        <v>1</v>
      </c>
      <c r="O45" s="139"/>
      <c r="P45" s="139">
        <f>+Detallado!AR26</f>
        <v>0</v>
      </c>
      <c r="Q45" s="139">
        <f>+Detallado!V59</f>
        <v>1</v>
      </c>
      <c r="R45" s="139"/>
      <c r="S45" s="139">
        <f>+Detallado!AR59</f>
        <v>0</v>
      </c>
      <c r="T45" s="139">
        <f>+Detallado!V75</f>
        <v>1</v>
      </c>
      <c r="U45" s="139"/>
      <c r="V45" s="139">
        <f>+Detallado!AR75</f>
        <v>0</v>
      </c>
      <c r="W45" s="139">
        <f>+Detallado!V37</f>
        <v>1</v>
      </c>
      <c r="X45" s="139"/>
      <c r="Y45" s="139">
        <f>+Detallado!AR37</f>
        <v>0</v>
      </c>
      <c r="Z45" s="139">
        <f>+Detallado!V85</f>
        <v>1</v>
      </c>
      <c r="AA45" s="139"/>
      <c r="AB45" s="139">
        <f>+Detallado!AR85</f>
        <v>0</v>
      </c>
      <c r="AC45" s="139"/>
      <c r="AD45" s="139"/>
      <c r="AE45" s="139"/>
      <c r="AF45" s="139"/>
      <c r="AG45" s="139"/>
      <c r="AH45" s="56"/>
      <c r="AI45" s="282">
        <f t="shared" si="6"/>
        <v>7</v>
      </c>
      <c r="AJ45" s="282"/>
    </row>
    <row r="46" spans="1:36" x14ac:dyDescent="0.25">
      <c r="A46" s="188" t="s">
        <v>262</v>
      </c>
      <c r="B46" s="139"/>
      <c r="C46" s="139"/>
      <c r="D46" s="139"/>
      <c r="E46" s="139"/>
      <c r="F46" s="139"/>
      <c r="G46" s="139"/>
      <c r="H46" s="139"/>
      <c r="I46" s="139"/>
      <c r="J46" s="139"/>
      <c r="K46" s="139">
        <f>+Detallado!V48</f>
        <v>1</v>
      </c>
      <c r="L46" s="139"/>
      <c r="M46" s="139">
        <f>+Detallado!AR48</f>
        <v>0</v>
      </c>
      <c r="N46" s="139">
        <f>+Detallado!V27</f>
        <v>1</v>
      </c>
      <c r="O46" s="139"/>
      <c r="P46" s="139">
        <f>+Detallado!AR27</f>
        <v>0</v>
      </c>
      <c r="Q46" s="139">
        <f>+Detallado!V60</f>
        <v>1</v>
      </c>
      <c r="R46" s="139"/>
      <c r="S46" s="139">
        <f>+Detallado!AR60</f>
        <v>0</v>
      </c>
      <c r="T46" s="139">
        <f>+Detallado!V76</f>
        <v>1</v>
      </c>
      <c r="U46" s="139"/>
      <c r="V46" s="139">
        <f>+Detallado!AR76</f>
        <v>0</v>
      </c>
      <c r="W46" s="139">
        <f>+Detallado!V38</f>
        <v>1</v>
      </c>
      <c r="X46" s="139"/>
      <c r="Y46" s="139">
        <f>+Detallado!AR38</f>
        <v>0</v>
      </c>
      <c r="Z46" s="139">
        <f>+Detallado!V86</f>
        <v>1</v>
      </c>
      <c r="AA46" s="139"/>
      <c r="AB46" s="139">
        <f>+Detallado!AR86</f>
        <v>0</v>
      </c>
      <c r="AC46" s="139"/>
      <c r="AD46" s="139"/>
      <c r="AE46" s="139"/>
      <c r="AF46" s="139"/>
      <c r="AG46" s="139"/>
      <c r="AH46" s="56"/>
      <c r="AI46" s="282">
        <f t="shared" si="6"/>
        <v>6</v>
      </c>
      <c r="AJ46" s="282"/>
    </row>
    <row r="47" spans="1:36" x14ac:dyDescent="0.25">
      <c r="A47" s="188" t="s">
        <v>57</v>
      </c>
      <c r="B47" s="183"/>
      <c r="C47" s="183"/>
      <c r="D47" s="183"/>
      <c r="E47" s="183"/>
      <c r="F47" s="183"/>
      <c r="G47" s="183"/>
      <c r="H47" s="183"/>
      <c r="I47" s="183"/>
      <c r="J47" s="183"/>
      <c r="K47" s="139">
        <f>+Detallado!V49</f>
        <v>1</v>
      </c>
      <c r="L47" s="183"/>
      <c r="M47" s="139">
        <f>+Detallado!AR49</f>
        <v>0</v>
      </c>
      <c r="N47" s="139">
        <f>+Detallado!V28</f>
        <v>1</v>
      </c>
      <c r="O47" s="183"/>
      <c r="P47" s="139">
        <f>+Detallado!AR28</f>
        <v>0</v>
      </c>
      <c r="Q47" s="139">
        <f>+Detallado!V61</f>
        <v>1</v>
      </c>
      <c r="R47" s="183"/>
      <c r="S47" s="139">
        <f>+Detallado!AR61</f>
        <v>1</v>
      </c>
      <c r="T47" s="139">
        <f>+Detallado!V77</f>
        <v>1</v>
      </c>
      <c r="U47" s="183"/>
      <c r="V47" s="139">
        <f>+Detallado!AR77</f>
        <v>0</v>
      </c>
      <c r="W47" s="139">
        <f>+Detallado!V39</f>
        <v>1</v>
      </c>
      <c r="X47" s="183"/>
      <c r="Y47" s="139">
        <f>+Detallado!AR39</f>
        <v>0</v>
      </c>
      <c r="Z47" s="139">
        <f>+Detallado!V87</f>
        <v>1</v>
      </c>
      <c r="AA47" s="183"/>
      <c r="AB47" s="139">
        <f>+Detallado!AR87</f>
        <v>0</v>
      </c>
      <c r="AC47" s="183"/>
      <c r="AD47" s="183"/>
      <c r="AE47" s="183"/>
      <c r="AF47" s="183"/>
      <c r="AG47" s="183"/>
      <c r="AH47" s="189"/>
      <c r="AI47" s="282">
        <f t="shared" si="6"/>
        <v>7</v>
      </c>
      <c r="AJ47" s="282"/>
    </row>
    <row r="48" spans="1:36" x14ac:dyDescent="0.25">
      <c r="A48" s="190" t="s">
        <v>263</v>
      </c>
      <c r="B48" s="68"/>
      <c r="C48" s="68"/>
      <c r="D48" s="68"/>
      <c r="E48" s="68"/>
      <c r="F48" s="68"/>
      <c r="G48" s="68"/>
      <c r="H48" s="68"/>
      <c r="I48" s="68"/>
      <c r="J48" s="68"/>
      <c r="K48" s="68"/>
      <c r="L48" s="68"/>
      <c r="M48" s="68"/>
      <c r="N48" s="139">
        <f>+Detallado!V29</f>
        <v>0</v>
      </c>
      <c r="O48" s="68"/>
      <c r="P48" s="139">
        <f>+Detallado!AR29</f>
        <v>1</v>
      </c>
      <c r="Q48" s="139">
        <f>+Detallado!V62</f>
        <v>1</v>
      </c>
      <c r="R48" s="68"/>
      <c r="S48" s="139">
        <f>+Detallado!AR62</f>
        <v>1</v>
      </c>
      <c r="T48" s="68"/>
      <c r="U48" s="68"/>
      <c r="V48" s="68"/>
      <c r="W48" s="68"/>
      <c r="X48" s="68"/>
      <c r="Y48" s="68"/>
      <c r="Z48" s="68"/>
      <c r="AA48" s="68"/>
      <c r="AB48" s="68"/>
      <c r="AC48" s="68"/>
      <c r="AD48" s="68"/>
      <c r="AE48" s="68"/>
      <c r="AF48" s="68"/>
      <c r="AG48" s="68"/>
      <c r="AH48" s="191"/>
      <c r="AI48" s="282">
        <f t="shared" si="6"/>
        <v>3</v>
      </c>
      <c r="AJ48" s="282"/>
    </row>
    <row r="49" spans="1:46" x14ac:dyDescent="0.25">
      <c r="A49" s="190" t="s">
        <v>264</v>
      </c>
      <c r="B49" s="68"/>
      <c r="C49" s="68"/>
      <c r="D49" s="68"/>
      <c r="E49" s="68"/>
      <c r="F49" s="68"/>
      <c r="G49" s="68"/>
      <c r="H49" s="68"/>
      <c r="I49" s="68"/>
      <c r="J49" s="68"/>
      <c r="K49" s="68"/>
      <c r="L49" s="68"/>
      <c r="M49" s="68"/>
      <c r="N49" s="68"/>
      <c r="O49" s="68"/>
      <c r="P49" s="68"/>
      <c r="Q49" s="139">
        <f>+Detallado!V63</f>
        <v>1</v>
      </c>
      <c r="R49" s="68"/>
      <c r="S49" s="139">
        <f>+Detallado!AR63</f>
        <v>1</v>
      </c>
      <c r="T49" s="68"/>
      <c r="U49" s="68"/>
      <c r="V49" s="68"/>
      <c r="W49" s="68"/>
      <c r="X49" s="68"/>
      <c r="Y49" s="68"/>
      <c r="Z49" s="68"/>
      <c r="AA49" s="68"/>
      <c r="AB49" s="68"/>
      <c r="AC49" s="68"/>
      <c r="AD49" s="68"/>
      <c r="AE49" s="68"/>
      <c r="AF49" s="68"/>
      <c r="AG49" s="68"/>
      <c r="AH49" s="191"/>
      <c r="AI49" s="282">
        <f t="shared" si="6"/>
        <v>2</v>
      </c>
      <c r="AJ49" s="282"/>
    </row>
    <row r="50" spans="1:46" x14ac:dyDescent="0.25">
      <c r="A50" s="190" t="s">
        <v>265</v>
      </c>
      <c r="B50" s="68"/>
      <c r="C50" s="68"/>
      <c r="D50" s="68"/>
      <c r="E50" s="68"/>
      <c r="F50" s="68"/>
      <c r="G50" s="68"/>
      <c r="H50" s="68"/>
      <c r="I50" s="68"/>
      <c r="J50" s="68"/>
      <c r="K50" s="68"/>
      <c r="L50" s="68"/>
      <c r="M50" s="68"/>
      <c r="N50" s="68"/>
      <c r="O50" s="68"/>
      <c r="P50" s="68"/>
      <c r="Q50" s="139">
        <f>+Detallado!V64</f>
        <v>1</v>
      </c>
      <c r="R50" s="68"/>
      <c r="S50" s="139">
        <f>+Detallado!AR64</f>
        <v>1</v>
      </c>
      <c r="T50" s="68"/>
      <c r="U50" s="68"/>
      <c r="V50" s="68"/>
      <c r="W50" s="68"/>
      <c r="X50" s="68"/>
      <c r="Y50" s="68"/>
      <c r="Z50" s="68"/>
      <c r="AA50" s="68"/>
      <c r="AB50" s="68"/>
      <c r="AC50" s="68"/>
      <c r="AD50" s="68"/>
      <c r="AE50" s="68"/>
      <c r="AF50" s="68"/>
      <c r="AG50" s="68"/>
      <c r="AH50" s="191"/>
      <c r="AI50" s="187"/>
      <c r="AJ50" s="187"/>
    </row>
    <row r="51" spans="1:46" x14ac:dyDescent="0.25">
      <c r="A51" s="190" t="s">
        <v>259</v>
      </c>
      <c r="B51" s="192">
        <f>SUM(B36:B49)</f>
        <v>5</v>
      </c>
      <c r="C51" s="192"/>
      <c r="D51" s="192">
        <f>SUM(D36:D49)</f>
        <v>4</v>
      </c>
      <c r="E51" s="192">
        <f>SUM(E36:E49)</f>
        <v>3</v>
      </c>
      <c r="F51" s="192"/>
      <c r="G51" s="192">
        <f>SUM(G36:G49)</f>
        <v>2</v>
      </c>
      <c r="H51" s="192">
        <f>SUM(H36:H49)</f>
        <v>4</v>
      </c>
      <c r="I51" s="192"/>
      <c r="J51" s="192">
        <f>SUM(J36:J49)</f>
        <v>4</v>
      </c>
      <c r="K51" s="192">
        <f>SUM(K36:K49)</f>
        <v>11</v>
      </c>
      <c r="L51" s="192"/>
      <c r="M51" s="192">
        <f>SUM(M36:M49)</f>
        <v>7</v>
      </c>
      <c r="N51" s="192">
        <f>SUM(N36:N49)</f>
        <v>11</v>
      </c>
      <c r="O51" s="192"/>
      <c r="P51" s="192">
        <f>SUM(P36:P49)</f>
        <v>9</v>
      </c>
      <c r="Q51" s="192">
        <f>SUM(Q36:Q49)</f>
        <v>13</v>
      </c>
      <c r="R51" s="192"/>
      <c r="S51" s="192">
        <f>SUM(S36:S49)</f>
        <v>5</v>
      </c>
      <c r="T51" s="192">
        <f>SUM(T36:T49)</f>
        <v>11</v>
      </c>
      <c r="U51" s="192"/>
      <c r="V51" s="192">
        <f>SUM(V36:V49)</f>
        <v>6</v>
      </c>
      <c r="W51" s="192">
        <f>SUM(W36:W49)</f>
        <v>11</v>
      </c>
      <c r="X51" s="192"/>
      <c r="Y51" s="192">
        <f>SUM(Y36:Y49)</f>
        <v>8</v>
      </c>
      <c r="Z51" s="192">
        <f>SUM(Z36:Z49)</f>
        <v>12</v>
      </c>
      <c r="AA51" s="192"/>
      <c r="AB51" s="192">
        <f>SUM(AB36:AB49)</f>
        <v>6</v>
      </c>
      <c r="AC51" s="192">
        <f>SUM(AC36:AC49)</f>
        <v>4</v>
      </c>
      <c r="AD51" s="192"/>
      <c r="AE51" s="192">
        <f>SUM(AE36:AE49)</f>
        <v>2</v>
      </c>
      <c r="AF51" s="192">
        <f>SUM(AF36:AF49)</f>
        <v>0</v>
      </c>
      <c r="AG51" s="192"/>
      <c r="AH51" s="193">
        <f>SUM(AH36:AH49)</f>
        <v>0</v>
      </c>
      <c r="AI51" s="282">
        <f>SUM(AI36:AJ49)</f>
        <v>138</v>
      </c>
      <c r="AJ51" s="282"/>
    </row>
    <row r="53" spans="1:46" ht="15.75" thickBot="1" x14ac:dyDescent="0.3">
      <c r="A53" t="s">
        <v>266</v>
      </c>
    </row>
    <row r="54" spans="1:46" ht="15.75" thickBot="1" x14ac:dyDescent="0.3">
      <c r="A54" s="275" t="s">
        <v>267</v>
      </c>
      <c r="B54" s="276"/>
      <c r="C54" s="276"/>
      <c r="D54" s="276"/>
      <c r="E54" s="276"/>
      <c r="F54" s="276"/>
      <c r="G54" s="276"/>
      <c r="H54" s="276"/>
      <c r="I54" s="276"/>
      <c r="J54" s="276"/>
      <c r="K54" s="276"/>
      <c r="L54" s="276"/>
      <c r="M54" s="276"/>
      <c r="N54" s="276"/>
      <c r="O54" s="276"/>
      <c r="P54" s="276"/>
      <c r="Q54" s="276"/>
      <c r="R54" s="276"/>
      <c r="S54" s="276"/>
      <c r="T54" s="276"/>
      <c r="U54" s="276"/>
      <c r="V54" s="276"/>
      <c r="W54" s="276"/>
      <c r="X54" s="276"/>
      <c r="Y54" s="276"/>
      <c r="Z54" s="276"/>
      <c r="AA54" s="276"/>
      <c r="AB54" s="276"/>
      <c r="AC54" s="276"/>
      <c r="AD54" s="276"/>
      <c r="AE54" s="276"/>
      <c r="AF54" s="276"/>
      <c r="AG54" s="276"/>
      <c r="AH54" s="276"/>
      <c r="AI54" s="276"/>
      <c r="AJ54" s="276"/>
      <c r="AK54" s="276"/>
      <c r="AL54" s="276"/>
      <c r="AM54" s="276"/>
      <c r="AN54" s="276"/>
      <c r="AO54" s="276"/>
      <c r="AP54" s="276"/>
      <c r="AQ54" s="276"/>
      <c r="AR54" s="276"/>
      <c r="AS54" s="277"/>
    </row>
    <row r="55" spans="1:46" x14ac:dyDescent="0.25">
      <c r="A55" s="278" t="s">
        <v>257</v>
      </c>
      <c r="B55" s="283" t="s">
        <v>241</v>
      </c>
      <c r="C55" s="284"/>
      <c r="D55" s="284"/>
      <c r="E55" s="285"/>
      <c r="F55" s="283" t="s">
        <v>242</v>
      </c>
      <c r="G55" s="284"/>
      <c r="H55" s="284"/>
      <c r="I55" s="285"/>
      <c r="J55" s="283" t="s">
        <v>133</v>
      </c>
      <c r="K55" s="284"/>
      <c r="L55" s="284"/>
      <c r="M55" s="285"/>
      <c r="N55" s="283" t="s">
        <v>258</v>
      </c>
      <c r="O55" s="284"/>
      <c r="P55" s="284"/>
      <c r="Q55" s="285"/>
      <c r="R55" s="283" t="s">
        <v>136</v>
      </c>
      <c r="S55" s="284"/>
      <c r="T55" s="284"/>
      <c r="U55" s="285"/>
      <c r="V55" s="283" t="s">
        <v>91</v>
      </c>
      <c r="W55" s="284"/>
      <c r="X55" s="284"/>
      <c r="Y55" s="285"/>
      <c r="Z55" s="283" t="s">
        <v>138</v>
      </c>
      <c r="AA55" s="284"/>
      <c r="AB55" s="284"/>
      <c r="AC55" s="285"/>
      <c r="AD55" s="283" t="s">
        <v>137</v>
      </c>
      <c r="AE55" s="284"/>
      <c r="AF55" s="284"/>
      <c r="AG55" s="285"/>
      <c r="AH55" s="283" t="s">
        <v>139</v>
      </c>
      <c r="AI55" s="284"/>
      <c r="AJ55" s="284"/>
      <c r="AK55" s="285"/>
      <c r="AL55" s="283" t="s">
        <v>140</v>
      </c>
      <c r="AM55" s="284"/>
      <c r="AN55" s="284"/>
      <c r="AO55" s="285"/>
      <c r="AP55" s="283" t="s">
        <v>135</v>
      </c>
      <c r="AQ55" s="284"/>
      <c r="AR55" s="284"/>
      <c r="AS55" s="285"/>
    </row>
    <row r="56" spans="1:46" x14ac:dyDescent="0.25">
      <c r="A56" s="279"/>
      <c r="B56" s="271" t="s">
        <v>80</v>
      </c>
      <c r="C56" s="286"/>
      <c r="D56" s="287" t="s">
        <v>81</v>
      </c>
      <c r="E56" s="287"/>
      <c r="F56" s="271" t="s">
        <v>80</v>
      </c>
      <c r="G56" s="286"/>
      <c r="H56" s="287" t="s">
        <v>81</v>
      </c>
      <c r="I56" s="287"/>
      <c r="J56" s="271" t="s">
        <v>80</v>
      </c>
      <c r="K56" s="286"/>
      <c r="L56" s="287" t="s">
        <v>81</v>
      </c>
      <c r="M56" s="287"/>
      <c r="N56" s="271" t="s">
        <v>80</v>
      </c>
      <c r="O56" s="286"/>
      <c r="P56" s="287" t="s">
        <v>81</v>
      </c>
      <c r="Q56" s="287"/>
      <c r="R56" s="271" t="s">
        <v>80</v>
      </c>
      <c r="S56" s="286"/>
      <c r="T56" s="287" t="s">
        <v>81</v>
      </c>
      <c r="U56" s="287"/>
      <c r="V56" s="271" t="s">
        <v>80</v>
      </c>
      <c r="W56" s="286"/>
      <c r="X56" s="287" t="s">
        <v>81</v>
      </c>
      <c r="Y56" s="287"/>
      <c r="Z56" s="271" t="s">
        <v>80</v>
      </c>
      <c r="AA56" s="286"/>
      <c r="AB56" s="287" t="s">
        <v>81</v>
      </c>
      <c r="AC56" s="287"/>
      <c r="AD56" s="271" t="s">
        <v>80</v>
      </c>
      <c r="AE56" s="286"/>
      <c r="AF56" s="287" t="s">
        <v>81</v>
      </c>
      <c r="AG56" s="287"/>
      <c r="AH56" s="271" t="s">
        <v>80</v>
      </c>
      <c r="AI56" s="286"/>
      <c r="AJ56" s="287" t="s">
        <v>81</v>
      </c>
      <c r="AK56" s="287"/>
      <c r="AL56" s="271" t="s">
        <v>80</v>
      </c>
      <c r="AM56" s="286"/>
      <c r="AN56" s="287" t="s">
        <v>81</v>
      </c>
      <c r="AO56" s="287"/>
      <c r="AP56" s="271" t="s">
        <v>80</v>
      </c>
      <c r="AQ56" s="286"/>
      <c r="AR56" s="287" t="s">
        <v>81</v>
      </c>
      <c r="AS56" s="287"/>
    </row>
    <row r="57" spans="1:46" x14ac:dyDescent="0.25">
      <c r="A57" s="184"/>
      <c r="B57" s="139" t="s">
        <v>268</v>
      </c>
      <c r="C57" s="139" t="s">
        <v>269</v>
      </c>
      <c r="D57" s="139" t="s">
        <v>268</v>
      </c>
      <c r="E57" s="139" t="s">
        <v>269</v>
      </c>
      <c r="F57" s="139" t="s">
        <v>268</v>
      </c>
      <c r="G57" s="139" t="s">
        <v>269</v>
      </c>
      <c r="H57" s="139" t="s">
        <v>268</v>
      </c>
      <c r="I57" s="139" t="s">
        <v>269</v>
      </c>
      <c r="J57" s="139" t="s">
        <v>268</v>
      </c>
      <c r="K57" s="139" t="s">
        <v>269</v>
      </c>
      <c r="L57" s="139" t="s">
        <v>268</v>
      </c>
      <c r="M57" s="139" t="s">
        <v>269</v>
      </c>
      <c r="N57" s="139" t="s">
        <v>268</v>
      </c>
      <c r="O57" s="139" t="s">
        <v>269</v>
      </c>
      <c r="P57" s="139" t="s">
        <v>268</v>
      </c>
      <c r="Q57" s="139" t="s">
        <v>269</v>
      </c>
      <c r="R57" s="139" t="s">
        <v>268</v>
      </c>
      <c r="S57" s="139" t="s">
        <v>269</v>
      </c>
      <c r="T57" s="139" t="s">
        <v>268</v>
      </c>
      <c r="U57" s="139" t="s">
        <v>269</v>
      </c>
      <c r="V57" s="139" t="s">
        <v>268</v>
      </c>
      <c r="W57" s="139" t="s">
        <v>269</v>
      </c>
      <c r="X57" s="139" t="s">
        <v>268</v>
      </c>
      <c r="Y57" s="139" t="s">
        <v>269</v>
      </c>
      <c r="Z57" s="139" t="s">
        <v>268</v>
      </c>
      <c r="AA57" s="139" t="s">
        <v>269</v>
      </c>
      <c r="AB57" s="139" t="s">
        <v>268</v>
      </c>
      <c r="AC57" s="139" t="s">
        <v>269</v>
      </c>
      <c r="AD57" s="139" t="s">
        <v>268</v>
      </c>
      <c r="AE57" s="139" t="s">
        <v>269</v>
      </c>
      <c r="AF57" s="139" t="s">
        <v>268</v>
      </c>
      <c r="AG57" s="139" t="s">
        <v>269</v>
      </c>
      <c r="AH57" s="139" t="s">
        <v>268</v>
      </c>
      <c r="AI57" s="139" t="s">
        <v>269</v>
      </c>
      <c r="AJ57" s="139" t="s">
        <v>268</v>
      </c>
      <c r="AK57" s="139" t="s">
        <v>269</v>
      </c>
      <c r="AL57" s="139" t="s">
        <v>268</v>
      </c>
      <c r="AM57" s="139" t="s">
        <v>269</v>
      </c>
      <c r="AN57" s="139" t="s">
        <v>268</v>
      </c>
      <c r="AO57" s="139" t="s">
        <v>269</v>
      </c>
      <c r="AP57" s="139" t="s">
        <v>268</v>
      </c>
      <c r="AQ57" s="139" t="s">
        <v>269</v>
      </c>
      <c r="AR57" s="139" t="s">
        <v>268</v>
      </c>
      <c r="AS57" s="139" t="s">
        <v>269</v>
      </c>
      <c r="AT57" s="192" t="s">
        <v>259</v>
      </c>
    </row>
    <row r="58" spans="1:46" x14ac:dyDescent="0.25">
      <c r="A58" s="184" t="s">
        <v>270</v>
      </c>
      <c r="B58" s="139">
        <f>+B34</f>
        <v>1</v>
      </c>
      <c r="C58" s="139">
        <f>+B58</f>
        <v>1</v>
      </c>
      <c r="D58" s="139">
        <f>+D34</f>
        <v>0</v>
      </c>
      <c r="E58" s="139">
        <f>+D58</f>
        <v>0</v>
      </c>
      <c r="F58" s="139"/>
      <c r="G58" s="139"/>
      <c r="H58" s="139"/>
      <c r="I58" s="139"/>
      <c r="J58" s="139"/>
      <c r="K58" s="139"/>
      <c r="L58" s="139"/>
      <c r="M58" s="139"/>
      <c r="N58" s="139"/>
      <c r="O58" s="139"/>
      <c r="P58" s="139"/>
      <c r="Q58" s="139"/>
      <c r="R58" s="139"/>
      <c r="S58" s="139"/>
      <c r="T58" s="139"/>
      <c r="U58" s="139"/>
      <c r="V58" s="139"/>
      <c r="W58" s="139"/>
      <c r="X58" s="139"/>
      <c r="Y58" s="139"/>
      <c r="Z58" s="139"/>
      <c r="AA58" s="139"/>
      <c r="AB58" s="139"/>
      <c r="AC58" s="139"/>
      <c r="AD58" s="139"/>
      <c r="AE58" s="139"/>
      <c r="AF58" s="139"/>
      <c r="AG58" s="139"/>
      <c r="AH58" s="139"/>
      <c r="AI58" s="139"/>
      <c r="AJ58" s="139"/>
      <c r="AK58" s="139"/>
      <c r="AL58" s="139"/>
      <c r="AM58" s="139"/>
      <c r="AN58" s="139"/>
      <c r="AO58" s="139"/>
      <c r="AP58" s="139"/>
      <c r="AQ58" s="139"/>
      <c r="AR58" s="139"/>
      <c r="AS58" s="139"/>
      <c r="AT58" s="187">
        <f>SUM(B58:AS58)</f>
        <v>2</v>
      </c>
    </row>
    <row r="59" spans="1:46" x14ac:dyDescent="0.25">
      <c r="A59" s="184" t="s">
        <v>39</v>
      </c>
      <c r="B59" s="139">
        <f t="shared" ref="B59:B62" si="7">+B35</f>
        <v>0.5</v>
      </c>
      <c r="C59" s="139">
        <f>+B59</f>
        <v>0.5</v>
      </c>
      <c r="D59" s="139">
        <f t="shared" ref="D59:D62" si="8">+D35</f>
        <v>0.5</v>
      </c>
      <c r="E59" s="139">
        <f>+D59</f>
        <v>0.5</v>
      </c>
      <c r="F59" s="139"/>
      <c r="G59" s="139"/>
      <c r="H59" s="139"/>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c r="AO59" s="139"/>
      <c r="AP59" s="139"/>
      <c r="AQ59" s="139"/>
      <c r="AR59" s="139"/>
      <c r="AS59" s="139"/>
      <c r="AT59" s="187">
        <f>SUM(B59:AS59)</f>
        <v>2</v>
      </c>
    </row>
    <row r="60" spans="1:46" x14ac:dyDescent="0.25">
      <c r="A60" s="188" t="s">
        <v>38</v>
      </c>
      <c r="B60" s="139">
        <f t="shared" si="7"/>
        <v>3</v>
      </c>
      <c r="C60" s="139">
        <f t="shared" ref="C60:C62" si="9">+B60</f>
        <v>3</v>
      </c>
      <c r="D60" s="139">
        <f>+D36</f>
        <v>2</v>
      </c>
      <c r="E60" s="139">
        <f>+D60</f>
        <v>2</v>
      </c>
      <c r="F60" s="139">
        <f>+E36</f>
        <v>1</v>
      </c>
      <c r="G60" s="139">
        <f>+F60</f>
        <v>1</v>
      </c>
      <c r="H60" s="139">
        <f>+G36</f>
        <v>0</v>
      </c>
      <c r="I60" s="139">
        <f>+H60</f>
        <v>0</v>
      </c>
      <c r="J60" s="139"/>
      <c r="K60" s="139"/>
      <c r="L60" s="139"/>
      <c r="M60" s="139"/>
      <c r="N60" s="139"/>
      <c r="O60" s="139"/>
      <c r="P60" s="139"/>
      <c r="Q60" s="139"/>
      <c r="R60" s="139"/>
      <c r="S60" s="139"/>
      <c r="T60" s="139"/>
      <c r="U60" s="139"/>
      <c r="V60" s="139"/>
      <c r="W60" s="139"/>
      <c r="X60" s="139"/>
      <c r="Y60" s="139"/>
      <c r="Z60" s="139"/>
      <c r="AA60" s="139"/>
      <c r="AB60" s="139"/>
      <c r="AC60" s="139"/>
      <c r="AD60" s="139"/>
      <c r="AE60" s="139"/>
      <c r="AF60" s="139"/>
      <c r="AG60" s="139"/>
      <c r="AH60" s="139"/>
      <c r="AI60" s="139"/>
      <c r="AJ60" s="139"/>
      <c r="AK60" s="139"/>
      <c r="AL60" s="139"/>
      <c r="AM60" s="139"/>
      <c r="AN60" s="139"/>
      <c r="AO60" s="139"/>
      <c r="AP60" s="139"/>
      <c r="AQ60" s="139"/>
      <c r="AR60" s="139"/>
      <c r="AS60" s="139"/>
      <c r="AT60" s="187">
        <f t="shared" ref="AT60:AT73" si="10">SUM(B60:AS60)</f>
        <v>12</v>
      </c>
    </row>
    <row r="61" spans="1:46" x14ac:dyDescent="0.25">
      <c r="A61" s="188" t="s">
        <v>40</v>
      </c>
      <c r="B61" s="139">
        <f t="shared" si="7"/>
        <v>1</v>
      </c>
      <c r="C61" s="139">
        <f t="shared" si="9"/>
        <v>1</v>
      </c>
      <c r="D61" s="139">
        <f t="shared" si="8"/>
        <v>1</v>
      </c>
      <c r="E61" s="139">
        <f t="shared" ref="E61:E62" si="11">+D61</f>
        <v>1</v>
      </c>
      <c r="F61" s="139">
        <f t="shared" ref="F61:F62" si="12">+E37</f>
        <v>1</v>
      </c>
      <c r="G61" s="139">
        <f t="shared" ref="G61:G62" si="13">+F61</f>
        <v>1</v>
      </c>
      <c r="H61" s="139">
        <f t="shared" ref="H61:H62" si="14">+G37</f>
        <v>1</v>
      </c>
      <c r="I61" s="139">
        <f t="shared" ref="I61:I62" si="15">+H61</f>
        <v>1</v>
      </c>
      <c r="J61" s="139">
        <f>+H37</f>
        <v>1</v>
      </c>
      <c r="K61" s="139">
        <f>+J61</f>
        <v>1</v>
      </c>
      <c r="L61" s="139">
        <f>+J37</f>
        <v>0</v>
      </c>
      <c r="M61" s="139">
        <f>+L61</f>
        <v>0</v>
      </c>
      <c r="N61" s="139"/>
      <c r="O61" s="139"/>
      <c r="P61" s="139"/>
      <c r="Q61" s="139"/>
      <c r="R61" s="139"/>
      <c r="S61" s="139"/>
      <c r="T61" s="139"/>
      <c r="U61" s="139"/>
      <c r="V61" s="139">
        <f>+Q37</f>
        <v>1</v>
      </c>
      <c r="W61" s="139">
        <f>+V61</f>
        <v>1</v>
      </c>
      <c r="X61" s="139">
        <f>+S37</f>
        <v>0</v>
      </c>
      <c r="Y61" s="139">
        <f>+X61</f>
        <v>0</v>
      </c>
      <c r="Z61" s="139"/>
      <c r="AA61" s="139"/>
      <c r="AB61" s="139"/>
      <c r="AC61" s="139"/>
      <c r="AD61" s="139"/>
      <c r="AE61" s="139"/>
      <c r="AF61" s="139"/>
      <c r="AG61" s="139"/>
      <c r="AH61" s="139"/>
      <c r="AI61" s="139"/>
      <c r="AJ61" s="139"/>
      <c r="AK61" s="139"/>
      <c r="AL61" s="139"/>
      <c r="AM61" s="139"/>
      <c r="AN61" s="139"/>
      <c r="AO61" s="139"/>
      <c r="AP61" s="139"/>
      <c r="AQ61" s="139"/>
      <c r="AR61" s="139"/>
      <c r="AS61" s="139"/>
      <c r="AT61" s="187">
        <f t="shared" si="10"/>
        <v>12</v>
      </c>
    </row>
    <row r="62" spans="1:46" x14ac:dyDescent="0.25">
      <c r="A62" s="188" t="s">
        <v>41</v>
      </c>
      <c r="B62" s="139">
        <f t="shared" si="7"/>
        <v>1</v>
      </c>
      <c r="C62" s="139">
        <f t="shared" si="9"/>
        <v>1</v>
      </c>
      <c r="D62" s="139">
        <f t="shared" si="8"/>
        <v>1</v>
      </c>
      <c r="E62" s="139">
        <f t="shared" si="11"/>
        <v>1</v>
      </c>
      <c r="F62" s="139">
        <f t="shared" si="12"/>
        <v>1</v>
      </c>
      <c r="G62" s="139">
        <f t="shared" si="13"/>
        <v>1</v>
      </c>
      <c r="H62" s="139">
        <f t="shared" si="14"/>
        <v>1</v>
      </c>
      <c r="I62" s="139">
        <f t="shared" si="15"/>
        <v>1</v>
      </c>
      <c r="J62" s="139">
        <f t="shared" ref="J62:J63" si="16">+H38</f>
        <v>2</v>
      </c>
      <c r="K62" s="139">
        <f t="shared" ref="K62:K63" si="17">+J62</f>
        <v>2</v>
      </c>
      <c r="L62" s="139">
        <f>+J38</f>
        <v>1</v>
      </c>
      <c r="M62" s="139">
        <f>+L62</f>
        <v>1</v>
      </c>
      <c r="N62" s="139"/>
      <c r="O62" s="139"/>
      <c r="P62" s="139"/>
      <c r="Q62" s="139"/>
      <c r="R62" s="139"/>
      <c r="S62" s="139"/>
      <c r="T62" s="139"/>
      <c r="U62" s="139"/>
      <c r="V62" s="139">
        <f t="shared" ref="V62:V74" si="18">+Q38</f>
        <v>1</v>
      </c>
      <c r="W62" s="139">
        <f t="shared" ref="W62:Y65" si="19">+V62</f>
        <v>1</v>
      </c>
      <c r="X62" s="139">
        <f t="shared" ref="X62:X74" si="20">+S38</f>
        <v>0</v>
      </c>
      <c r="Y62" s="139">
        <f t="shared" si="19"/>
        <v>0</v>
      </c>
      <c r="Z62" s="139"/>
      <c r="AA62" s="139"/>
      <c r="AB62" s="139"/>
      <c r="AC62" s="139"/>
      <c r="AD62" s="139"/>
      <c r="AE62" s="139"/>
      <c r="AF62" s="139"/>
      <c r="AG62" s="139"/>
      <c r="AH62" s="139"/>
      <c r="AI62" s="139"/>
      <c r="AJ62" s="139"/>
      <c r="AK62" s="139"/>
      <c r="AL62" s="139"/>
      <c r="AM62" s="139"/>
      <c r="AN62" s="139"/>
      <c r="AO62" s="139"/>
      <c r="AP62" s="139"/>
      <c r="AQ62" s="139"/>
      <c r="AR62" s="139"/>
      <c r="AS62" s="139"/>
      <c r="AT62" s="187">
        <f t="shared" si="10"/>
        <v>16</v>
      </c>
    </row>
    <row r="63" spans="1:46" x14ac:dyDescent="0.25">
      <c r="A63" s="188" t="s">
        <v>83</v>
      </c>
      <c r="B63" s="139"/>
      <c r="C63" s="139"/>
      <c r="D63" s="139"/>
      <c r="E63" s="139"/>
      <c r="F63" s="139"/>
      <c r="G63" s="139"/>
      <c r="H63" s="139"/>
      <c r="I63" s="139"/>
      <c r="J63" s="139">
        <f t="shared" si="16"/>
        <v>1</v>
      </c>
      <c r="K63" s="139">
        <f t="shared" si="17"/>
        <v>1</v>
      </c>
      <c r="L63" s="139">
        <f t="shared" ref="L63:L65" si="21">+J39</f>
        <v>1</v>
      </c>
      <c r="M63" s="139">
        <f t="shared" ref="M63:M65" si="22">+L63</f>
        <v>1</v>
      </c>
      <c r="N63" s="139">
        <f>+K39</f>
        <v>2</v>
      </c>
      <c r="O63" s="139">
        <f>+N63</f>
        <v>2</v>
      </c>
      <c r="P63" s="139">
        <f>+M39</f>
        <v>2</v>
      </c>
      <c r="Q63" s="139">
        <f>+P63</f>
        <v>2</v>
      </c>
      <c r="R63" s="139"/>
      <c r="S63" s="139"/>
      <c r="T63" s="139"/>
      <c r="U63" s="139"/>
      <c r="V63" s="139">
        <f t="shared" si="18"/>
        <v>1</v>
      </c>
      <c r="W63" s="139">
        <f t="shared" si="19"/>
        <v>1</v>
      </c>
      <c r="X63" s="139">
        <f t="shared" si="20"/>
        <v>1</v>
      </c>
      <c r="Y63" s="139">
        <f t="shared" si="19"/>
        <v>1</v>
      </c>
      <c r="Z63" s="139">
        <f>+T39</f>
        <v>2</v>
      </c>
      <c r="AA63" s="139">
        <f>+Z63</f>
        <v>2</v>
      </c>
      <c r="AB63" s="139">
        <f>+V39</f>
        <v>1</v>
      </c>
      <c r="AC63" s="139">
        <f>+AB63</f>
        <v>1</v>
      </c>
      <c r="AD63" s="139">
        <f>+W39</f>
        <v>2</v>
      </c>
      <c r="AE63" s="139">
        <f>+AD63</f>
        <v>2</v>
      </c>
      <c r="AF63" s="139">
        <f>+Y39</f>
        <v>1</v>
      </c>
      <c r="AG63" s="139">
        <f>+AF63</f>
        <v>1</v>
      </c>
      <c r="AH63" s="139">
        <f>+Z39</f>
        <v>2</v>
      </c>
      <c r="AI63" s="139">
        <f>+AH63</f>
        <v>2</v>
      </c>
      <c r="AJ63" s="139">
        <f>+AB39</f>
        <v>1</v>
      </c>
      <c r="AK63" s="139">
        <f>+AJ63</f>
        <v>1</v>
      </c>
      <c r="AL63" s="139"/>
      <c r="AM63" s="139"/>
      <c r="AN63" s="139"/>
      <c r="AO63" s="139"/>
      <c r="AP63" s="139"/>
      <c r="AQ63" s="139"/>
      <c r="AR63" s="139"/>
      <c r="AS63" s="139"/>
      <c r="AT63" s="187">
        <f t="shared" si="10"/>
        <v>34</v>
      </c>
    </row>
    <row r="64" spans="1:46" x14ac:dyDescent="0.25">
      <c r="A64" s="188" t="s">
        <v>46</v>
      </c>
      <c r="B64" s="139"/>
      <c r="C64" s="139"/>
      <c r="D64" s="139"/>
      <c r="E64" s="139"/>
      <c r="F64" s="139"/>
      <c r="G64" s="139"/>
      <c r="H64" s="139"/>
      <c r="I64" s="139"/>
      <c r="J64" s="139"/>
      <c r="K64" s="139"/>
      <c r="L64" s="139">
        <f t="shared" si="21"/>
        <v>1</v>
      </c>
      <c r="M64" s="139">
        <f t="shared" si="22"/>
        <v>1</v>
      </c>
      <c r="N64" s="139">
        <f t="shared" ref="N64:N71" si="23">+K40</f>
        <v>1</v>
      </c>
      <c r="O64" s="139">
        <f t="shared" ref="O64:O65" si="24">+N64</f>
        <v>1</v>
      </c>
      <c r="P64" s="139">
        <f t="shared" ref="P64:P71" si="25">+M40</f>
        <v>2</v>
      </c>
      <c r="Q64" s="139">
        <f t="shared" ref="Q64:S65" si="26">+P64</f>
        <v>2</v>
      </c>
      <c r="R64" s="139">
        <f>+N40</f>
        <v>3</v>
      </c>
      <c r="S64" s="139">
        <f t="shared" si="26"/>
        <v>3</v>
      </c>
      <c r="T64" s="139">
        <f>+P40</f>
        <v>2</v>
      </c>
      <c r="U64" s="139">
        <f t="shared" ref="U64" si="27">+T64</f>
        <v>2</v>
      </c>
      <c r="V64" s="139">
        <f t="shared" si="18"/>
        <v>1</v>
      </c>
      <c r="W64" s="139">
        <f t="shared" si="19"/>
        <v>1</v>
      </c>
      <c r="X64" s="139">
        <f t="shared" si="20"/>
        <v>1</v>
      </c>
      <c r="Y64" s="139">
        <f t="shared" si="19"/>
        <v>1</v>
      </c>
      <c r="Z64" s="139">
        <f t="shared" ref="Z64:Z71" si="28">+T40</f>
        <v>2</v>
      </c>
      <c r="AA64" s="139">
        <f t="shared" ref="AA64:AC64" si="29">+Z64</f>
        <v>2</v>
      </c>
      <c r="AB64" s="139">
        <f t="shared" ref="AB64:AB71" si="30">+V40</f>
        <v>1</v>
      </c>
      <c r="AC64" s="139">
        <f t="shared" si="29"/>
        <v>1</v>
      </c>
      <c r="AD64" s="139">
        <f t="shared" ref="AD64:AD71" si="31">+W40</f>
        <v>1</v>
      </c>
      <c r="AE64" s="139">
        <f t="shared" ref="AE64:AG64" si="32">+AD64</f>
        <v>1</v>
      </c>
      <c r="AF64" s="139">
        <f t="shared" ref="AF64:AF71" si="33">+Y40</f>
        <v>2</v>
      </c>
      <c r="AG64" s="139">
        <f t="shared" si="32"/>
        <v>2</v>
      </c>
      <c r="AH64" s="139">
        <f t="shared" ref="AH64:AH71" si="34">+Z40</f>
        <v>2</v>
      </c>
      <c r="AI64" s="139">
        <f t="shared" ref="AI64:AK64" si="35">+AH64</f>
        <v>2</v>
      </c>
      <c r="AJ64" s="139">
        <f t="shared" ref="AJ64:AJ71" si="36">+AB40</f>
        <v>2</v>
      </c>
      <c r="AK64" s="139">
        <f t="shared" si="35"/>
        <v>2</v>
      </c>
      <c r="AL64" s="139"/>
      <c r="AM64" s="139"/>
      <c r="AN64" s="139">
        <f>+AE40</f>
        <v>1</v>
      </c>
      <c r="AO64" s="139">
        <f t="shared" ref="AO64" si="37">+AN64</f>
        <v>1</v>
      </c>
      <c r="AP64" s="139"/>
      <c r="AQ64" s="139"/>
      <c r="AR64" s="139"/>
      <c r="AS64" s="139"/>
      <c r="AT64" s="187">
        <f t="shared" si="10"/>
        <v>44</v>
      </c>
    </row>
    <row r="65" spans="1:46" x14ac:dyDescent="0.25">
      <c r="A65" s="188" t="s">
        <v>47</v>
      </c>
      <c r="B65" s="139"/>
      <c r="C65" s="139"/>
      <c r="D65" s="139"/>
      <c r="E65" s="139"/>
      <c r="F65" s="139"/>
      <c r="G65" s="139"/>
      <c r="H65" s="139"/>
      <c r="I65" s="139"/>
      <c r="J65" s="139"/>
      <c r="K65" s="139"/>
      <c r="L65" s="139">
        <f t="shared" si="21"/>
        <v>1</v>
      </c>
      <c r="M65" s="139">
        <f t="shared" si="22"/>
        <v>1</v>
      </c>
      <c r="N65" s="139">
        <f t="shared" si="23"/>
        <v>2</v>
      </c>
      <c r="O65" s="139">
        <f t="shared" si="24"/>
        <v>2</v>
      </c>
      <c r="P65" s="139">
        <f t="shared" si="25"/>
        <v>1</v>
      </c>
      <c r="Q65" s="139">
        <f t="shared" si="26"/>
        <v>1</v>
      </c>
      <c r="R65" s="139">
        <f t="shared" ref="R65:R72" si="38">+N41</f>
        <v>2</v>
      </c>
      <c r="S65" s="139">
        <f t="shared" si="26"/>
        <v>2</v>
      </c>
      <c r="T65" s="139">
        <f t="shared" ref="T65:T72" si="39">+P41</f>
        <v>2</v>
      </c>
      <c r="U65" s="139">
        <f t="shared" ref="U65" si="40">+T65</f>
        <v>2</v>
      </c>
      <c r="V65" s="139">
        <f t="shared" si="18"/>
        <v>1</v>
      </c>
      <c r="W65" s="139">
        <f t="shared" si="19"/>
        <v>1</v>
      </c>
      <c r="X65" s="139">
        <f t="shared" si="20"/>
        <v>0</v>
      </c>
      <c r="Y65" s="139">
        <f t="shared" si="19"/>
        <v>0</v>
      </c>
      <c r="Z65" s="139">
        <f t="shared" si="28"/>
        <v>1</v>
      </c>
      <c r="AA65" s="139">
        <f t="shared" ref="AA65:AC65" si="41">+Z65</f>
        <v>1</v>
      </c>
      <c r="AB65" s="139">
        <f t="shared" si="30"/>
        <v>1</v>
      </c>
      <c r="AC65" s="139">
        <f t="shared" si="41"/>
        <v>1</v>
      </c>
      <c r="AD65" s="139">
        <f t="shared" si="31"/>
        <v>2</v>
      </c>
      <c r="AE65" s="139">
        <f t="shared" ref="AE65:AG65" si="42">+AD65</f>
        <v>2</v>
      </c>
      <c r="AF65" s="139">
        <f t="shared" si="33"/>
        <v>2</v>
      </c>
      <c r="AG65" s="139">
        <f t="shared" si="42"/>
        <v>2</v>
      </c>
      <c r="AH65" s="139">
        <f t="shared" si="34"/>
        <v>2</v>
      </c>
      <c r="AI65" s="139">
        <f t="shared" ref="AI65:AK65" si="43">+AH65</f>
        <v>2</v>
      </c>
      <c r="AJ65" s="139">
        <f t="shared" si="36"/>
        <v>1</v>
      </c>
      <c r="AK65" s="139">
        <f t="shared" si="43"/>
        <v>1</v>
      </c>
      <c r="AL65" s="139">
        <f>+AC41</f>
        <v>2</v>
      </c>
      <c r="AM65" s="139">
        <f t="shared" ref="AM65" si="44">+AL65</f>
        <v>2</v>
      </c>
      <c r="AN65" s="139">
        <f t="shared" ref="AN65:AN67" si="45">+AE41</f>
        <v>1</v>
      </c>
      <c r="AO65" s="139">
        <f t="shared" ref="AO65" si="46">+AN65</f>
        <v>1</v>
      </c>
      <c r="AP65" s="139"/>
      <c r="AQ65" s="139"/>
      <c r="AR65" s="139"/>
      <c r="AS65" s="139"/>
      <c r="AT65" s="187">
        <f t="shared" si="10"/>
        <v>42</v>
      </c>
    </row>
    <row r="66" spans="1:46" x14ac:dyDescent="0.25">
      <c r="A66" s="188" t="s">
        <v>51</v>
      </c>
      <c r="B66" s="139"/>
      <c r="C66" s="139"/>
      <c r="D66" s="139"/>
      <c r="E66" s="139"/>
      <c r="F66" s="139"/>
      <c r="G66" s="139"/>
      <c r="H66" s="139"/>
      <c r="I66" s="139"/>
      <c r="J66" s="139"/>
      <c r="K66" s="139"/>
      <c r="L66" s="139"/>
      <c r="M66" s="139"/>
      <c r="N66" s="139">
        <f t="shared" si="23"/>
        <v>1</v>
      </c>
      <c r="O66" s="139">
        <f>+N66/2</f>
        <v>0.5</v>
      </c>
      <c r="P66" s="139">
        <f t="shared" si="25"/>
        <v>1</v>
      </c>
      <c r="Q66" s="139">
        <f>+P66/2</f>
        <v>0.5</v>
      </c>
      <c r="R66" s="139">
        <f t="shared" si="38"/>
        <v>1</v>
      </c>
      <c r="S66" s="139">
        <f>+R66/2+0.5</f>
        <v>1</v>
      </c>
      <c r="T66" s="139">
        <f t="shared" si="39"/>
        <v>2</v>
      </c>
      <c r="U66" s="139">
        <f>+T66/2</f>
        <v>1</v>
      </c>
      <c r="V66" s="139">
        <f t="shared" si="18"/>
        <v>1</v>
      </c>
      <c r="W66" s="139">
        <f>+V66/2</f>
        <v>0.5</v>
      </c>
      <c r="X66" s="139">
        <f t="shared" si="20"/>
        <v>0</v>
      </c>
      <c r="Y66" s="139">
        <f>+X66/2</f>
        <v>0</v>
      </c>
      <c r="Z66" s="139">
        <f t="shared" si="28"/>
        <v>1</v>
      </c>
      <c r="AA66" s="139">
        <f>+Z66/2</f>
        <v>0.5</v>
      </c>
      <c r="AB66" s="139">
        <f t="shared" si="30"/>
        <v>1</v>
      </c>
      <c r="AC66" s="139">
        <f>+AB66/2</f>
        <v>0.5</v>
      </c>
      <c r="AD66" s="139">
        <f t="shared" si="31"/>
        <v>1</v>
      </c>
      <c r="AE66" s="139">
        <f>+AD66/2</f>
        <v>0.5</v>
      </c>
      <c r="AF66" s="139">
        <f t="shared" si="33"/>
        <v>1</v>
      </c>
      <c r="AG66" s="139">
        <f>+AF66/2</f>
        <v>0.5</v>
      </c>
      <c r="AH66" s="139">
        <f t="shared" si="34"/>
        <v>1</v>
      </c>
      <c r="AI66" s="139">
        <f>+AH66/2</f>
        <v>0.5</v>
      </c>
      <c r="AJ66" s="139">
        <f t="shared" si="36"/>
        <v>1</v>
      </c>
      <c r="AK66" s="139">
        <f>+AJ66/2</f>
        <v>0.5</v>
      </c>
      <c r="AL66" s="139">
        <f t="shared" ref="AL66:AL67" si="47">+AC42</f>
        <v>1</v>
      </c>
      <c r="AM66" s="139">
        <f>+AL66/2</f>
        <v>0.5</v>
      </c>
      <c r="AN66" s="139">
        <f t="shared" si="45"/>
        <v>0</v>
      </c>
      <c r="AO66" s="139">
        <f>+AN66/2</f>
        <v>0</v>
      </c>
      <c r="AP66" s="139"/>
      <c r="AQ66" s="139"/>
      <c r="AR66" s="139"/>
      <c r="AS66" s="139"/>
      <c r="AT66" s="187">
        <f t="shared" si="10"/>
        <v>20</v>
      </c>
    </row>
    <row r="67" spans="1:46" x14ac:dyDescent="0.25">
      <c r="A67" s="188" t="s">
        <v>52</v>
      </c>
      <c r="B67" s="139"/>
      <c r="C67" s="139"/>
      <c r="D67" s="139"/>
      <c r="E67" s="139"/>
      <c r="F67" s="139"/>
      <c r="G67" s="139"/>
      <c r="H67" s="139"/>
      <c r="I67" s="139"/>
      <c r="J67" s="139"/>
      <c r="K67" s="139"/>
      <c r="L67" s="139"/>
      <c r="M67" s="139"/>
      <c r="N67" s="139">
        <f t="shared" si="23"/>
        <v>1</v>
      </c>
      <c r="O67" s="139">
        <f t="shared" ref="O67:Q71" si="48">+N67/2</f>
        <v>0.5</v>
      </c>
      <c r="P67" s="139">
        <f t="shared" si="25"/>
        <v>0</v>
      </c>
      <c r="Q67" s="139">
        <f t="shared" si="48"/>
        <v>0</v>
      </c>
      <c r="R67" s="139">
        <f t="shared" si="38"/>
        <v>1</v>
      </c>
      <c r="S67" s="139">
        <f>+R67/2+0.5</f>
        <v>1</v>
      </c>
      <c r="T67" s="139">
        <f t="shared" si="39"/>
        <v>1</v>
      </c>
      <c r="U67" s="139">
        <f t="shared" ref="U67" si="49">+T67/2</f>
        <v>0.5</v>
      </c>
      <c r="V67" s="139">
        <f t="shared" si="18"/>
        <v>1</v>
      </c>
      <c r="W67" s="139">
        <f t="shared" ref="W67:Y67" si="50">+V67/2</f>
        <v>0.5</v>
      </c>
      <c r="X67" s="139">
        <f t="shared" si="20"/>
        <v>0</v>
      </c>
      <c r="Y67" s="139">
        <f t="shared" si="50"/>
        <v>0</v>
      </c>
      <c r="Z67" s="139">
        <f t="shared" si="28"/>
        <v>1</v>
      </c>
      <c r="AA67" s="139">
        <f t="shared" ref="AA67:AC67" si="51">+Z67/2</f>
        <v>0.5</v>
      </c>
      <c r="AB67" s="139">
        <f t="shared" si="30"/>
        <v>1</v>
      </c>
      <c r="AC67" s="139">
        <f t="shared" si="51"/>
        <v>0.5</v>
      </c>
      <c r="AD67" s="139">
        <f t="shared" si="31"/>
        <v>1</v>
      </c>
      <c r="AE67" s="139">
        <f t="shared" ref="AE67:AG67" si="52">+AD67/2</f>
        <v>0.5</v>
      </c>
      <c r="AF67" s="139">
        <f t="shared" si="33"/>
        <v>1</v>
      </c>
      <c r="AG67" s="139">
        <f t="shared" si="52"/>
        <v>0.5</v>
      </c>
      <c r="AH67" s="139">
        <f t="shared" si="34"/>
        <v>1</v>
      </c>
      <c r="AI67" s="139">
        <f t="shared" ref="AI67:AK67" si="53">+AH67/2</f>
        <v>0.5</v>
      </c>
      <c r="AJ67" s="139">
        <f t="shared" si="36"/>
        <v>1</v>
      </c>
      <c r="AK67" s="139">
        <f t="shared" si="53"/>
        <v>0.5</v>
      </c>
      <c r="AL67" s="139">
        <f t="shared" si="47"/>
        <v>1</v>
      </c>
      <c r="AM67" s="139">
        <f t="shared" ref="AM67" si="54">+AL67/2</f>
        <v>0.5</v>
      </c>
      <c r="AN67" s="139">
        <f t="shared" si="45"/>
        <v>0</v>
      </c>
      <c r="AO67" s="139">
        <f t="shared" ref="AO67" si="55">+AN67/2</f>
        <v>0</v>
      </c>
      <c r="AP67" s="139"/>
      <c r="AQ67" s="139"/>
      <c r="AR67" s="139"/>
      <c r="AS67" s="139"/>
      <c r="AT67" s="187">
        <f t="shared" si="10"/>
        <v>17</v>
      </c>
    </row>
    <row r="68" spans="1:46" x14ac:dyDescent="0.25">
      <c r="A68" s="188" t="s">
        <v>260</v>
      </c>
      <c r="B68" s="139"/>
      <c r="C68" s="139"/>
      <c r="D68" s="139"/>
      <c r="E68" s="139"/>
      <c r="F68" s="139"/>
      <c r="G68" s="139"/>
      <c r="H68" s="139"/>
      <c r="I68" s="139"/>
      <c r="J68" s="139"/>
      <c r="K68" s="139"/>
      <c r="L68" s="139"/>
      <c r="M68" s="139"/>
      <c r="N68" s="139">
        <f t="shared" si="23"/>
        <v>1</v>
      </c>
      <c r="O68" s="139">
        <f>+N68/2+0.5</f>
        <v>1</v>
      </c>
      <c r="P68" s="139">
        <f t="shared" si="25"/>
        <v>0</v>
      </c>
      <c r="Q68" s="139">
        <f t="shared" si="48"/>
        <v>0</v>
      </c>
      <c r="R68" s="139">
        <f t="shared" si="38"/>
        <v>1</v>
      </c>
      <c r="S68" s="139">
        <f>+R68/2+0.5</f>
        <v>1</v>
      </c>
      <c r="T68" s="139">
        <f t="shared" si="39"/>
        <v>1</v>
      </c>
      <c r="U68" s="139">
        <f t="shared" ref="U68" si="56">+T68/2</f>
        <v>0.5</v>
      </c>
      <c r="V68" s="139">
        <f t="shared" si="18"/>
        <v>1</v>
      </c>
      <c r="W68" s="139">
        <f t="shared" ref="W68:Y68" si="57">+V68/2</f>
        <v>0.5</v>
      </c>
      <c r="X68" s="139">
        <f t="shared" si="20"/>
        <v>0</v>
      </c>
      <c r="Y68" s="139">
        <f t="shared" si="57"/>
        <v>0</v>
      </c>
      <c r="Z68" s="139">
        <f t="shared" si="28"/>
        <v>1</v>
      </c>
      <c r="AA68" s="139">
        <f t="shared" ref="AA68:AC68" si="58">+Z68/2</f>
        <v>0.5</v>
      </c>
      <c r="AB68" s="139">
        <f t="shared" si="30"/>
        <v>1</v>
      </c>
      <c r="AC68" s="139">
        <f t="shared" si="58"/>
        <v>0.5</v>
      </c>
      <c r="AD68" s="139">
        <f t="shared" si="31"/>
        <v>1</v>
      </c>
      <c r="AE68" s="139">
        <f t="shared" ref="AE68:AG68" si="59">+AD68/2</f>
        <v>0.5</v>
      </c>
      <c r="AF68" s="139">
        <f t="shared" si="33"/>
        <v>1</v>
      </c>
      <c r="AG68" s="139">
        <f t="shared" si="59"/>
        <v>0.5</v>
      </c>
      <c r="AH68" s="139">
        <f t="shared" si="34"/>
        <v>1</v>
      </c>
      <c r="AI68" s="139">
        <f t="shared" ref="AI68:AK68" si="60">+AH68/2</f>
        <v>0.5</v>
      </c>
      <c r="AJ68" s="139">
        <f t="shared" si="36"/>
        <v>0</v>
      </c>
      <c r="AK68" s="139">
        <f t="shared" si="60"/>
        <v>0</v>
      </c>
      <c r="AL68" s="139"/>
      <c r="AM68" s="139"/>
      <c r="AN68" s="139"/>
      <c r="AO68" s="139"/>
      <c r="AP68" s="139"/>
      <c r="AQ68" s="139"/>
      <c r="AR68" s="139"/>
      <c r="AS68" s="139"/>
      <c r="AT68" s="187">
        <f t="shared" si="10"/>
        <v>14.5</v>
      </c>
    </row>
    <row r="69" spans="1:46" x14ac:dyDescent="0.25">
      <c r="A69" s="188" t="s">
        <v>261</v>
      </c>
      <c r="B69" s="139"/>
      <c r="C69" s="139"/>
      <c r="D69" s="139"/>
      <c r="E69" s="139"/>
      <c r="F69" s="139"/>
      <c r="G69" s="139"/>
      <c r="H69" s="139"/>
      <c r="I69" s="139"/>
      <c r="J69" s="139"/>
      <c r="K69" s="139"/>
      <c r="L69" s="139"/>
      <c r="M69" s="139"/>
      <c r="N69" s="139">
        <f t="shared" si="23"/>
        <v>1</v>
      </c>
      <c r="O69" s="139">
        <f t="shared" si="48"/>
        <v>0.5</v>
      </c>
      <c r="P69" s="139">
        <f t="shared" si="25"/>
        <v>1</v>
      </c>
      <c r="Q69" s="139">
        <f t="shared" si="48"/>
        <v>0.5</v>
      </c>
      <c r="R69" s="139">
        <f t="shared" si="38"/>
        <v>1</v>
      </c>
      <c r="S69" s="139">
        <f t="shared" ref="S69:U69" si="61">+R69/2</f>
        <v>0.5</v>
      </c>
      <c r="T69" s="139">
        <f t="shared" si="39"/>
        <v>0</v>
      </c>
      <c r="U69" s="139">
        <f t="shared" si="61"/>
        <v>0</v>
      </c>
      <c r="V69" s="139">
        <f t="shared" si="18"/>
        <v>1</v>
      </c>
      <c r="W69" s="139">
        <f t="shared" ref="W69:Y69" si="62">+V69/2</f>
        <v>0.5</v>
      </c>
      <c r="X69" s="139">
        <f t="shared" si="20"/>
        <v>0</v>
      </c>
      <c r="Y69" s="139">
        <f t="shared" si="62"/>
        <v>0</v>
      </c>
      <c r="Z69" s="139">
        <f t="shared" si="28"/>
        <v>1</v>
      </c>
      <c r="AA69" s="139">
        <f t="shared" ref="AA69:AC69" si="63">+Z69/2</f>
        <v>0.5</v>
      </c>
      <c r="AB69" s="139">
        <f t="shared" si="30"/>
        <v>0</v>
      </c>
      <c r="AC69" s="139">
        <f t="shared" si="63"/>
        <v>0</v>
      </c>
      <c r="AD69" s="139">
        <f t="shared" si="31"/>
        <v>1</v>
      </c>
      <c r="AE69" s="139">
        <f t="shared" ref="AE69:AG69" si="64">+AD69/2</f>
        <v>0.5</v>
      </c>
      <c r="AF69" s="139">
        <f t="shared" si="33"/>
        <v>0</v>
      </c>
      <c r="AG69" s="139">
        <f t="shared" si="64"/>
        <v>0</v>
      </c>
      <c r="AH69" s="139">
        <f t="shared" si="34"/>
        <v>1</v>
      </c>
      <c r="AI69" s="139">
        <f t="shared" ref="AI69:AK69" si="65">+AH69/2</f>
        <v>0.5</v>
      </c>
      <c r="AJ69" s="139">
        <f t="shared" si="36"/>
        <v>0</v>
      </c>
      <c r="AK69" s="139">
        <f t="shared" si="65"/>
        <v>0</v>
      </c>
      <c r="AL69" s="139"/>
      <c r="AM69" s="139"/>
      <c r="AN69" s="139"/>
      <c r="AO69" s="139"/>
      <c r="AP69" s="139"/>
      <c r="AQ69" s="139"/>
      <c r="AR69" s="139"/>
      <c r="AS69" s="139"/>
      <c r="AT69" s="187">
        <f t="shared" si="10"/>
        <v>10.5</v>
      </c>
    </row>
    <row r="70" spans="1:46" x14ac:dyDescent="0.25">
      <c r="A70" s="188" t="s">
        <v>262</v>
      </c>
      <c r="B70" s="139"/>
      <c r="C70" s="139"/>
      <c r="D70" s="139"/>
      <c r="E70" s="139"/>
      <c r="F70" s="139"/>
      <c r="G70" s="139"/>
      <c r="H70" s="139"/>
      <c r="I70" s="139"/>
      <c r="J70" s="139"/>
      <c r="K70" s="139"/>
      <c r="L70" s="139"/>
      <c r="M70" s="139"/>
      <c r="N70" s="139">
        <f t="shared" si="23"/>
        <v>1</v>
      </c>
      <c r="O70" s="139">
        <f t="shared" si="48"/>
        <v>0.5</v>
      </c>
      <c r="P70" s="139">
        <f t="shared" si="25"/>
        <v>0</v>
      </c>
      <c r="Q70" s="139">
        <f t="shared" si="48"/>
        <v>0</v>
      </c>
      <c r="R70" s="139">
        <f t="shared" si="38"/>
        <v>1</v>
      </c>
      <c r="S70" s="139">
        <f t="shared" ref="S70:U70" si="66">+R70/2</f>
        <v>0.5</v>
      </c>
      <c r="T70" s="139">
        <f t="shared" si="39"/>
        <v>0</v>
      </c>
      <c r="U70" s="139">
        <f t="shared" si="66"/>
        <v>0</v>
      </c>
      <c r="V70" s="139">
        <f t="shared" si="18"/>
        <v>1</v>
      </c>
      <c r="W70" s="139">
        <f t="shared" ref="W70:Y70" si="67">+V70/2</f>
        <v>0.5</v>
      </c>
      <c r="X70" s="139">
        <f t="shared" si="20"/>
        <v>0</v>
      </c>
      <c r="Y70" s="139">
        <f t="shared" si="67"/>
        <v>0</v>
      </c>
      <c r="Z70" s="139">
        <f t="shared" si="28"/>
        <v>1</v>
      </c>
      <c r="AA70" s="139">
        <f t="shared" ref="AA70:AC70" si="68">+Z70/2</f>
        <v>0.5</v>
      </c>
      <c r="AB70" s="139">
        <f t="shared" si="30"/>
        <v>0</v>
      </c>
      <c r="AC70" s="139">
        <f t="shared" si="68"/>
        <v>0</v>
      </c>
      <c r="AD70" s="139">
        <f t="shared" si="31"/>
        <v>1</v>
      </c>
      <c r="AE70" s="139">
        <f t="shared" ref="AE70:AG70" si="69">+AD70/2</f>
        <v>0.5</v>
      </c>
      <c r="AF70" s="139">
        <f t="shared" si="33"/>
        <v>0</v>
      </c>
      <c r="AG70" s="139">
        <f t="shared" si="69"/>
        <v>0</v>
      </c>
      <c r="AH70" s="139">
        <f t="shared" si="34"/>
        <v>1</v>
      </c>
      <c r="AI70" s="139">
        <f t="shared" ref="AI70:AK70" si="70">+AH70/2</f>
        <v>0.5</v>
      </c>
      <c r="AJ70" s="139">
        <f t="shared" si="36"/>
        <v>0</v>
      </c>
      <c r="AK70" s="139">
        <f t="shared" si="70"/>
        <v>0</v>
      </c>
      <c r="AL70" s="139"/>
      <c r="AM70" s="139"/>
      <c r="AN70" s="139"/>
      <c r="AO70" s="139"/>
      <c r="AP70" s="139"/>
      <c r="AQ70" s="139"/>
      <c r="AR70" s="139"/>
      <c r="AS70" s="139"/>
      <c r="AT70" s="187">
        <f t="shared" si="10"/>
        <v>9</v>
      </c>
    </row>
    <row r="71" spans="1:46" x14ac:dyDescent="0.25">
      <c r="A71" s="188" t="s">
        <v>57</v>
      </c>
      <c r="B71" s="183"/>
      <c r="C71" s="183"/>
      <c r="D71" s="183"/>
      <c r="E71" s="183"/>
      <c r="F71" s="183"/>
      <c r="G71" s="183"/>
      <c r="H71" s="183"/>
      <c r="I71" s="183"/>
      <c r="J71" s="183"/>
      <c r="K71" s="183"/>
      <c r="L71" s="183"/>
      <c r="M71" s="183"/>
      <c r="N71" s="139">
        <f t="shared" si="23"/>
        <v>1</v>
      </c>
      <c r="O71" s="139">
        <f t="shared" si="48"/>
        <v>0.5</v>
      </c>
      <c r="P71" s="139">
        <f t="shared" si="25"/>
        <v>0</v>
      </c>
      <c r="Q71" s="139">
        <f t="shared" si="48"/>
        <v>0</v>
      </c>
      <c r="R71" s="139">
        <f t="shared" si="38"/>
        <v>1</v>
      </c>
      <c r="S71" s="139">
        <f>+R71/2-0.5</f>
        <v>0</v>
      </c>
      <c r="T71" s="139">
        <f t="shared" si="39"/>
        <v>0</v>
      </c>
      <c r="U71" s="139">
        <f t="shared" ref="S71:U72" si="71">+T71/2</f>
        <v>0</v>
      </c>
      <c r="V71" s="139">
        <f t="shared" si="18"/>
        <v>1</v>
      </c>
      <c r="W71" s="139">
        <f t="shared" ref="W71:Y71" si="72">+V71/2</f>
        <v>0.5</v>
      </c>
      <c r="X71" s="139">
        <f t="shared" si="20"/>
        <v>1</v>
      </c>
      <c r="Y71" s="139">
        <f t="shared" si="72"/>
        <v>0.5</v>
      </c>
      <c r="Z71" s="139">
        <f t="shared" si="28"/>
        <v>1</v>
      </c>
      <c r="AA71" s="139">
        <f t="shared" ref="AA71:AC71" si="73">+Z71/2</f>
        <v>0.5</v>
      </c>
      <c r="AB71" s="139">
        <f t="shared" si="30"/>
        <v>0</v>
      </c>
      <c r="AC71" s="139">
        <f t="shared" si="73"/>
        <v>0</v>
      </c>
      <c r="AD71" s="139">
        <f t="shared" si="31"/>
        <v>1</v>
      </c>
      <c r="AE71" s="139">
        <f t="shared" ref="AE71:AG71" si="74">+AD71/2</f>
        <v>0.5</v>
      </c>
      <c r="AF71" s="139">
        <f t="shared" si="33"/>
        <v>0</v>
      </c>
      <c r="AG71" s="139">
        <f t="shared" si="74"/>
        <v>0</v>
      </c>
      <c r="AH71" s="139">
        <f t="shared" si="34"/>
        <v>1</v>
      </c>
      <c r="AI71" s="139">
        <f t="shared" ref="AI71:AK71" si="75">+AH71/2</f>
        <v>0.5</v>
      </c>
      <c r="AJ71" s="139">
        <f t="shared" si="36"/>
        <v>0</v>
      </c>
      <c r="AK71" s="139">
        <f t="shared" si="75"/>
        <v>0</v>
      </c>
      <c r="AL71" s="183"/>
      <c r="AM71" s="183"/>
      <c r="AN71" s="183"/>
      <c r="AO71" s="183"/>
      <c r="AP71" s="183"/>
      <c r="AQ71" s="183"/>
      <c r="AR71" s="183"/>
      <c r="AS71" s="183"/>
      <c r="AT71" s="187">
        <f t="shared" si="10"/>
        <v>10</v>
      </c>
    </row>
    <row r="72" spans="1:46" x14ac:dyDescent="0.25">
      <c r="A72" s="190" t="s">
        <v>263</v>
      </c>
      <c r="B72" s="68"/>
      <c r="C72" s="68"/>
      <c r="D72" s="68"/>
      <c r="E72" s="68"/>
      <c r="F72" s="68"/>
      <c r="G72" s="68"/>
      <c r="H72" s="68"/>
      <c r="I72" s="68"/>
      <c r="J72" s="68"/>
      <c r="K72" s="68"/>
      <c r="L72" s="68"/>
      <c r="M72" s="68"/>
      <c r="N72" s="68"/>
      <c r="O72" s="68"/>
      <c r="P72" s="68"/>
      <c r="Q72" s="68"/>
      <c r="R72" s="139">
        <f t="shared" si="38"/>
        <v>0</v>
      </c>
      <c r="S72" s="139">
        <f t="shared" si="71"/>
        <v>0</v>
      </c>
      <c r="T72" s="139">
        <f t="shared" si="39"/>
        <v>1</v>
      </c>
      <c r="U72" s="139">
        <f>+T72/2-0.5</f>
        <v>0</v>
      </c>
      <c r="V72" s="139">
        <f t="shared" si="18"/>
        <v>1</v>
      </c>
      <c r="W72" s="139">
        <f>+V72/2+0.5</f>
        <v>1</v>
      </c>
      <c r="X72" s="139">
        <f t="shared" si="20"/>
        <v>1</v>
      </c>
      <c r="Y72" s="139">
        <f t="shared" ref="Y72" si="76">+X72/2</f>
        <v>0.5</v>
      </c>
      <c r="Z72" s="68"/>
      <c r="AA72" s="68"/>
      <c r="AB72" s="68"/>
      <c r="AC72" s="68"/>
      <c r="AD72" s="68"/>
      <c r="AE72" s="68"/>
      <c r="AF72" s="68"/>
      <c r="AG72" s="68"/>
      <c r="AH72" s="68"/>
      <c r="AI72" s="68"/>
      <c r="AJ72" s="68"/>
      <c r="AK72" s="68"/>
      <c r="AL72" s="68"/>
      <c r="AM72" s="68"/>
      <c r="AN72" s="68"/>
      <c r="AO72" s="68"/>
      <c r="AP72" s="68"/>
      <c r="AQ72" s="68"/>
      <c r="AR72" s="68"/>
      <c r="AS72" s="68"/>
      <c r="AT72" s="187">
        <f t="shared" si="10"/>
        <v>4.5</v>
      </c>
    </row>
    <row r="73" spans="1:46" x14ac:dyDescent="0.25">
      <c r="A73" s="190" t="s">
        <v>264</v>
      </c>
      <c r="B73" s="68"/>
      <c r="C73" s="68"/>
      <c r="D73" s="68"/>
      <c r="E73" s="68"/>
      <c r="F73" s="68"/>
      <c r="G73" s="68"/>
      <c r="H73" s="68"/>
      <c r="I73" s="68"/>
      <c r="J73" s="68"/>
      <c r="K73" s="68"/>
      <c r="L73" s="68"/>
      <c r="M73" s="68"/>
      <c r="N73" s="68"/>
      <c r="O73" s="68"/>
      <c r="P73" s="68"/>
      <c r="Q73" s="68"/>
      <c r="R73" s="68"/>
      <c r="S73" s="68"/>
      <c r="T73" s="68"/>
      <c r="U73" s="68"/>
      <c r="V73" s="139">
        <f t="shared" si="18"/>
        <v>1</v>
      </c>
      <c r="W73" s="139">
        <f>+V73/2</f>
        <v>0.5</v>
      </c>
      <c r="X73" s="139">
        <f t="shared" si="20"/>
        <v>1</v>
      </c>
      <c r="Y73" s="139">
        <f>+X73/2</f>
        <v>0.5</v>
      </c>
      <c r="Z73" s="68"/>
      <c r="AA73" s="68"/>
      <c r="AB73" s="68"/>
      <c r="AC73" s="68"/>
      <c r="AD73" s="68"/>
      <c r="AE73" s="68"/>
      <c r="AF73" s="68"/>
      <c r="AG73" s="68"/>
      <c r="AH73" s="68"/>
      <c r="AI73" s="68"/>
      <c r="AJ73" s="68"/>
      <c r="AK73" s="68"/>
      <c r="AL73" s="68"/>
      <c r="AM73" s="68"/>
      <c r="AN73" s="68"/>
      <c r="AO73" s="68"/>
      <c r="AP73" s="68"/>
      <c r="AQ73" s="68"/>
      <c r="AR73" s="68"/>
      <c r="AS73" s="68"/>
      <c r="AT73" s="187">
        <f t="shared" si="10"/>
        <v>3</v>
      </c>
    </row>
    <row r="74" spans="1:46" x14ac:dyDescent="0.25">
      <c r="A74" s="190" t="s">
        <v>271</v>
      </c>
      <c r="B74" s="68"/>
      <c r="C74" s="68"/>
      <c r="D74" s="68"/>
      <c r="E74" s="68"/>
      <c r="F74" s="68"/>
      <c r="G74" s="68"/>
      <c r="H74" s="68"/>
      <c r="I74" s="68"/>
      <c r="J74" s="68"/>
      <c r="K74" s="68"/>
      <c r="L74" s="68"/>
      <c r="M74" s="68"/>
      <c r="N74" s="68"/>
      <c r="O74" s="68"/>
      <c r="P74" s="68"/>
      <c r="Q74" s="68"/>
      <c r="R74" s="68"/>
      <c r="S74" s="68"/>
      <c r="T74" s="68"/>
      <c r="U74" s="68"/>
      <c r="V74" s="139">
        <f t="shared" si="18"/>
        <v>1</v>
      </c>
      <c r="W74" s="139">
        <f>+V74/2</f>
        <v>0.5</v>
      </c>
      <c r="X74" s="139">
        <f t="shared" si="20"/>
        <v>1</v>
      </c>
      <c r="Y74" s="139">
        <f>+X74/2</f>
        <v>0.5</v>
      </c>
      <c r="Z74" s="68"/>
      <c r="AA74" s="68"/>
      <c r="AB74" s="68"/>
      <c r="AC74" s="68"/>
      <c r="AD74" s="68"/>
      <c r="AE74" s="68"/>
      <c r="AF74" s="68"/>
      <c r="AG74" s="68"/>
      <c r="AH74" s="68"/>
      <c r="AI74" s="68"/>
      <c r="AJ74" s="68"/>
      <c r="AK74" s="68"/>
      <c r="AL74" s="68"/>
      <c r="AM74" s="68"/>
      <c r="AN74" s="68"/>
      <c r="AO74" s="68"/>
      <c r="AP74" s="68"/>
      <c r="AQ74" s="68"/>
      <c r="AR74" s="68"/>
      <c r="AS74" s="68"/>
      <c r="AT74" s="187">
        <f>SUM(B74:AS74)</f>
        <v>3</v>
      </c>
    </row>
    <row r="75" spans="1:46" x14ac:dyDescent="0.25">
      <c r="A75" s="190" t="s">
        <v>259</v>
      </c>
      <c r="B75" s="194">
        <f t="shared" ref="B75:AS75" si="77">+SUM(B58:B74)</f>
        <v>6.5</v>
      </c>
      <c r="C75" s="194">
        <f t="shared" si="77"/>
        <v>6.5</v>
      </c>
      <c r="D75" s="194">
        <f t="shared" si="77"/>
        <v>4.5</v>
      </c>
      <c r="E75" s="194">
        <f t="shared" si="77"/>
        <v>4.5</v>
      </c>
      <c r="F75" s="194">
        <f t="shared" si="77"/>
        <v>3</v>
      </c>
      <c r="G75" s="194">
        <f t="shared" si="77"/>
        <v>3</v>
      </c>
      <c r="H75" s="194">
        <f t="shared" si="77"/>
        <v>2</v>
      </c>
      <c r="I75" s="194">
        <f t="shared" si="77"/>
        <v>2</v>
      </c>
      <c r="J75" s="194">
        <f t="shared" si="77"/>
        <v>4</v>
      </c>
      <c r="K75" s="194">
        <f t="shared" si="77"/>
        <v>4</v>
      </c>
      <c r="L75" s="194">
        <f t="shared" si="77"/>
        <v>4</v>
      </c>
      <c r="M75" s="194">
        <f t="shared" si="77"/>
        <v>4</v>
      </c>
      <c r="N75" s="194">
        <f t="shared" si="77"/>
        <v>11</v>
      </c>
      <c r="O75" s="194">
        <f t="shared" si="77"/>
        <v>8.5</v>
      </c>
      <c r="P75" s="194">
        <f t="shared" si="77"/>
        <v>7</v>
      </c>
      <c r="Q75" s="194">
        <f t="shared" si="77"/>
        <v>6</v>
      </c>
      <c r="R75" s="194">
        <f t="shared" si="77"/>
        <v>11</v>
      </c>
      <c r="S75" s="194">
        <f t="shared" si="77"/>
        <v>9</v>
      </c>
      <c r="T75" s="194">
        <f t="shared" si="77"/>
        <v>9</v>
      </c>
      <c r="U75" s="194">
        <f t="shared" si="77"/>
        <v>6</v>
      </c>
      <c r="V75" s="194">
        <f t="shared" si="77"/>
        <v>14</v>
      </c>
      <c r="W75" s="194">
        <f t="shared" si="77"/>
        <v>10</v>
      </c>
      <c r="X75" s="194">
        <f t="shared" si="77"/>
        <v>6</v>
      </c>
      <c r="Y75" s="194">
        <f t="shared" si="77"/>
        <v>4</v>
      </c>
      <c r="Z75" s="194">
        <f t="shared" si="77"/>
        <v>11</v>
      </c>
      <c r="AA75" s="194">
        <f t="shared" si="77"/>
        <v>8</v>
      </c>
      <c r="AB75" s="194">
        <f t="shared" si="77"/>
        <v>6</v>
      </c>
      <c r="AC75" s="194">
        <f t="shared" si="77"/>
        <v>4.5</v>
      </c>
      <c r="AD75" s="194">
        <f t="shared" si="77"/>
        <v>11</v>
      </c>
      <c r="AE75" s="194">
        <f t="shared" si="77"/>
        <v>8</v>
      </c>
      <c r="AF75" s="194">
        <f t="shared" si="77"/>
        <v>8</v>
      </c>
      <c r="AG75" s="194">
        <f t="shared" si="77"/>
        <v>6.5</v>
      </c>
      <c r="AH75" s="194">
        <f t="shared" si="77"/>
        <v>12</v>
      </c>
      <c r="AI75" s="194">
        <f t="shared" si="77"/>
        <v>9</v>
      </c>
      <c r="AJ75" s="194">
        <f t="shared" si="77"/>
        <v>6</v>
      </c>
      <c r="AK75" s="194">
        <f t="shared" si="77"/>
        <v>5</v>
      </c>
      <c r="AL75" s="194">
        <f t="shared" si="77"/>
        <v>4</v>
      </c>
      <c r="AM75" s="194">
        <f t="shared" si="77"/>
        <v>3</v>
      </c>
      <c r="AN75" s="194">
        <f t="shared" si="77"/>
        <v>2</v>
      </c>
      <c r="AO75" s="194">
        <f t="shared" si="77"/>
        <v>2</v>
      </c>
      <c r="AP75" s="194">
        <f t="shared" si="77"/>
        <v>0</v>
      </c>
      <c r="AQ75" s="194">
        <f t="shared" si="77"/>
        <v>0</v>
      </c>
      <c r="AR75" s="194">
        <f t="shared" si="77"/>
        <v>0</v>
      </c>
      <c r="AS75" s="194">
        <f t="shared" si="77"/>
        <v>0</v>
      </c>
      <c r="AT75" s="206">
        <f>SUM(AT58:AT74)</f>
        <v>255.5</v>
      </c>
    </row>
  </sheetData>
  <mergeCells count="111">
    <mergeCell ref="AJ56:AK56"/>
    <mergeCell ref="AL56:AM56"/>
    <mergeCell ref="AN56:AO56"/>
    <mergeCell ref="AP56:AQ56"/>
    <mergeCell ref="AR56:AS56"/>
    <mergeCell ref="X56:Y56"/>
    <mergeCell ref="Z56:AA56"/>
    <mergeCell ref="AB56:AC56"/>
    <mergeCell ref="AD56:AE56"/>
    <mergeCell ref="AF56:AG56"/>
    <mergeCell ref="AH56:AI56"/>
    <mergeCell ref="AP55:AS55"/>
    <mergeCell ref="B56:C56"/>
    <mergeCell ref="D56:E56"/>
    <mergeCell ref="F56:G56"/>
    <mergeCell ref="H56:I56"/>
    <mergeCell ref="J56:K56"/>
    <mergeCell ref="AI49:AJ49"/>
    <mergeCell ref="AI51:AJ51"/>
    <mergeCell ref="A54:AS54"/>
    <mergeCell ref="A55:A56"/>
    <mergeCell ref="B55:E55"/>
    <mergeCell ref="F55:I55"/>
    <mergeCell ref="J55:M55"/>
    <mergeCell ref="N55:Q55"/>
    <mergeCell ref="R55:U55"/>
    <mergeCell ref="V55:Y55"/>
    <mergeCell ref="L56:M56"/>
    <mergeCell ref="N56:O56"/>
    <mergeCell ref="P56:Q56"/>
    <mergeCell ref="R56:S56"/>
    <mergeCell ref="T56:U56"/>
    <mergeCell ref="V56:W56"/>
    <mergeCell ref="Z55:AC55"/>
    <mergeCell ref="AD55:AG55"/>
    <mergeCell ref="AI47:AJ47"/>
    <mergeCell ref="AI48:AJ48"/>
    <mergeCell ref="AI37:AJ37"/>
    <mergeCell ref="AI38:AJ38"/>
    <mergeCell ref="AI39:AJ39"/>
    <mergeCell ref="AI40:AJ40"/>
    <mergeCell ref="AI41:AJ41"/>
    <mergeCell ref="AI42:AJ42"/>
    <mergeCell ref="AL55:AO55"/>
    <mergeCell ref="AH55:AK55"/>
    <mergeCell ref="AI33:AJ33"/>
    <mergeCell ref="AI36:AJ36"/>
    <mergeCell ref="Z32:AB32"/>
    <mergeCell ref="AC32:AE32"/>
    <mergeCell ref="AF32:AH32"/>
    <mergeCell ref="AI43:AJ43"/>
    <mergeCell ref="AI44:AJ44"/>
    <mergeCell ref="AI45:AJ45"/>
    <mergeCell ref="AI46:AJ46"/>
    <mergeCell ref="B33:C33"/>
    <mergeCell ref="E33:F33"/>
    <mergeCell ref="H33:I33"/>
    <mergeCell ref="K33:L33"/>
    <mergeCell ref="N33:O33"/>
    <mergeCell ref="Q33:R33"/>
    <mergeCell ref="T33:U33"/>
    <mergeCell ref="A31:AH31"/>
    <mergeCell ref="A32:A33"/>
    <mergeCell ref="B32:D32"/>
    <mergeCell ref="E32:G32"/>
    <mergeCell ref="H32:J32"/>
    <mergeCell ref="K32:M32"/>
    <mergeCell ref="N32:P32"/>
    <mergeCell ref="Q32:S32"/>
    <mergeCell ref="T32:V32"/>
    <mergeCell ref="W32:Y32"/>
    <mergeCell ref="W33:X33"/>
    <mergeCell ref="Z33:AA33"/>
    <mergeCell ref="AC33:AD33"/>
    <mergeCell ref="AF33:AG33"/>
    <mergeCell ref="A11:AJ11"/>
    <mergeCell ref="B12:D12"/>
    <mergeCell ref="E12:G12"/>
    <mergeCell ref="H12:J12"/>
    <mergeCell ref="K12:M12"/>
    <mergeCell ref="N12:P12"/>
    <mergeCell ref="Q12:S12"/>
    <mergeCell ref="T12:V12"/>
    <mergeCell ref="Q21:S21"/>
    <mergeCell ref="T21:V21"/>
    <mergeCell ref="W21:Y21"/>
    <mergeCell ref="Z21:AB21"/>
    <mergeCell ref="AC21:AE21"/>
    <mergeCell ref="AF21:AH21"/>
    <mergeCell ref="W12:Y12"/>
    <mergeCell ref="Z12:AB12"/>
    <mergeCell ref="AC12:AE12"/>
    <mergeCell ref="AF12:AH12"/>
    <mergeCell ref="A20:AJ20"/>
    <mergeCell ref="B21:D21"/>
    <mergeCell ref="E21:G21"/>
    <mergeCell ref="H21:J21"/>
    <mergeCell ref="K21:M21"/>
    <mergeCell ref="N21:P21"/>
    <mergeCell ref="A1:AJ1"/>
    <mergeCell ref="B2:D2"/>
    <mergeCell ref="E2:G2"/>
    <mergeCell ref="H2:J2"/>
    <mergeCell ref="K2:M2"/>
    <mergeCell ref="N2:P2"/>
    <mergeCell ref="Q2:S2"/>
    <mergeCell ref="T2:V2"/>
    <mergeCell ref="W2:Y2"/>
    <mergeCell ref="Z2:AB2"/>
    <mergeCell ref="AC2:AE2"/>
    <mergeCell ref="AF2:A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CE08D-5BF0-4549-A5F3-1C62A9931E13}">
  <dimension ref="A1:O97"/>
  <sheetViews>
    <sheetView workbookViewId="0">
      <selection activeCell="H1" sqref="H1"/>
    </sheetView>
  </sheetViews>
  <sheetFormatPr baseColWidth="10" defaultColWidth="8.7109375" defaultRowHeight="15" x14ac:dyDescent="0.25"/>
  <cols>
    <col min="2" max="2" width="16.5703125" bestFit="1" customWidth="1"/>
    <col min="3" max="3" width="23.140625" bestFit="1" customWidth="1"/>
    <col min="4" max="5" width="8.7109375" customWidth="1"/>
    <col min="6" max="6" width="13.85546875" customWidth="1"/>
    <col min="7" max="7" width="16" customWidth="1"/>
    <col min="8" max="8" width="14.42578125" customWidth="1"/>
    <col min="9" max="9" width="9.140625" customWidth="1"/>
    <col min="10" max="12" width="8.7109375" customWidth="1"/>
    <col min="13" max="13" width="14.85546875" customWidth="1"/>
  </cols>
  <sheetData>
    <row r="1" spans="1:15" ht="60" x14ac:dyDescent="0.25">
      <c r="A1" s="47" t="s">
        <v>272</v>
      </c>
      <c r="B1" s="47" t="s">
        <v>1</v>
      </c>
      <c r="C1" s="48" t="s">
        <v>273</v>
      </c>
      <c r="D1" s="48" t="s">
        <v>274</v>
      </c>
      <c r="E1" s="48" t="s">
        <v>275</v>
      </c>
      <c r="F1" s="47" t="s">
        <v>276</v>
      </c>
      <c r="G1" s="47" t="s">
        <v>277</v>
      </c>
      <c r="H1" s="48" t="s">
        <v>117</v>
      </c>
      <c r="I1" s="48" t="s">
        <v>118</v>
      </c>
      <c r="J1" s="49" t="s">
        <v>117</v>
      </c>
      <c r="K1" s="49" t="s">
        <v>118</v>
      </c>
      <c r="L1" s="49" t="s">
        <v>119</v>
      </c>
      <c r="M1" s="49" t="s">
        <v>120</v>
      </c>
    </row>
    <row r="2" spans="1:15" x14ac:dyDescent="0.25">
      <c r="A2" s="55">
        <v>1</v>
      </c>
      <c r="B2" s="51" t="s">
        <v>132</v>
      </c>
      <c r="C2" s="50">
        <v>194</v>
      </c>
      <c r="D2" s="50">
        <v>5</v>
      </c>
      <c r="E2" s="50">
        <v>1</v>
      </c>
      <c r="F2" s="50">
        <v>1</v>
      </c>
      <c r="G2" s="50" t="s">
        <v>143</v>
      </c>
      <c r="H2" s="50">
        <v>5</v>
      </c>
      <c r="I2" s="50">
        <v>3</v>
      </c>
      <c r="J2" s="52">
        <f>+Detallado!C10</f>
        <v>5</v>
      </c>
      <c r="K2" s="52">
        <f>+Detallado!Y10</f>
        <v>5</v>
      </c>
      <c r="L2" s="139">
        <f>+D2-J2</f>
        <v>0</v>
      </c>
      <c r="M2" s="139">
        <f>+D2-K2</f>
        <v>0</v>
      </c>
    </row>
    <row r="3" spans="1:15" x14ac:dyDescent="0.25">
      <c r="A3" s="55">
        <v>2</v>
      </c>
      <c r="B3" s="51" t="s">
        <v>133</v>
      </c>
      <c r="C3" s="50">
        <f t="shared" ref="C3:C12" si="0">D3*$C$15*$C$16</f>
        <v>320</v>
      </c>
      <c r="D3" s="50">
        <v>5</v>
      </c>
      <c r="E3" s="50">
        <v>1</v>
      </c>
      <c r="F3" s="50" t="s">
        <v>143</v>
      </c>
      <c r="G3" s="50" t="s">
        <v>143</v>
      </c>
      <c r="H3" s="50">
        <v>5</v>
      </c>
      <c r="I3" s="50">
        <v>5</v>
      </c>
      <c r="J3" s="52">
        <f>+Detallado!C16</f>
        <v>5</v>
      </c>
      <c r="K3" s="52">
        <f>+Detallado!Y16</f>
        <v>5</v>
      </c>
      <c r="L3" s="139">
        <f t="shared" ref="L3:L13" si="1">+D3-J3</f>
        <v>0</v>
      </c>
      <c r="M3" s="139">
        <f t="shared" ref="M3:M13" si="2">+D3-K3</f>
        <v>0</v>
      </c>
    </row>
    <row r="4" spans="1:15" x14ac:dyDescent="0.25">
      <c r="A4" s="55">
        <v>3</v>
      </c>
      <c r="B4" s="51" t="s">
        <v>134</v>
      </c>
      <c r="C4" s="50">
        <f t="shared" si="0"/>
        <v>320</v>
      </c>
      <c r="D4" s="50">
        <v>5</v>
      </c>
      <c r="E4" s="50">
        <v>1</v>
      </c>
      <c r="F4" s="50" t="s">
        <v>278</v>
      </c>
      <c r="G4" s="50" t="s">
        <v>143</v>
      </c>
      <c r="H4" s="50">
        <v>4</v>
      </c>
      <c r="I4" s="50">
        <v>3</v>
      </c>
      <c r="J4" s="52">
        <f>+Detallado!C20</f>
        <v>4</v>
      </c>
      <c r="K4" s="52">
        <f>+Detallado!Y20</f>
        <v>3</v>
      </c>
      <c r="L4" s="139">
        <f t="shared" si="1"/>
        <v>1</v>
      </c>
      <c r="M4" s="139">
        <f t="shared" si="2"/>
        <v>2</v>
      </c>
    </row>
    <row r="5" spans="1:15" x14ac:dyDescent="0.25">
      <c r="A5" s="55">
        <v>4</v>
      </c>
      <c r="B5" s="51" t="s">
        <v>136</v>
      </c>
      <c r="C5" s="50">
        <f t="shared" si="0"/>
        <v>704</v>
      </c>
      <c r="D5" s="50">
        <v>11</v>
      </c>
      <c r="E5" s="50" t="s">
        <v>279</v>
      </c>
      <c r="F5" s="50">
        <v>1</v>
      </c>
      <c r="G5" s="50">
        <v>1</v>
      </c>
      <c r="H5" s="50">
        <v>10</v>
      </c>
      <c r="I5" s="50">
        <v>10</v>
      </c>
      <c r="J5" s="157">
        <f>+Detallado!C30</f>
        <v>11</v>
      </c>
      <c r="K5" s="157">
        <f>+Detallado!Y30+1</f>
        <v>10</v>
      </c>
      <c r="L5" s="139">
        <f t="shared" si="1"/>
        <v>0</v>
      </c>
      <c r="M5" s="139">
        <f t="shared" si="2"/>
        <v>1</v>
      </c>
      <c r="N5" t="s">
        <v>280</v>
      </c>
    </row>
    <row r="6" spans="1:15" x14ac:dyDescent="0.25">
      <c r="A6" s="55">
        <v>5</v>
      </c>
      <c r="B6" s="51" t="s">
        <v>137</v>
      </c>
      <c r="C6" s="50">
        <f t="shared" si="0"/>
        <v>704</v>
      </c>
      <c r="D6" s="50">
        <v>11</v>
      </c>
      <c r="E6" s="50" t="s">
        <v>279</v>
      </c>
      <c r="F6" s="50">
        <v>1</v>
      </c>
      <c r="G6" s="50" t="s">
        <v>143</v>
      </c>
      <c r="H6" s="50">
        <v>11</v>
      </c>
      <c r="I6" s="50">
        <v>9</v>
      </c>
      <c r="J6" s="52">
        <f>+Detallado!C40</f>
        <v>11</v>
      </c>
      <c r="K6" s="52">
        <f>+Detallado!Y40</f>
        <v>9</v>
      </c>
      <c r="L6" s="139">
        <f t="shared" si="1"/>
        <v>0</v>
      </c>
      <c r="M6" s="139">
        <f t="shared" si="2"/>
        <v>2</v>
      </c>
    </row>
    <row r="7" spans="1:15" x14ac:dyDescent="0.25">
      <c r="A7" s="55">
        <v>6</v>
      </c>
      <c r="B7" s="51" t="s">
        <v>88</v>
      </c>
      <c r="C7" s="50">
        <f t="shared" si="0"/>
        <v>768</v>
      </c>
      <c r="D7" s="50">
        <v>12</v>
      </c>
      <c r="E7" s="50">
        <v>1</v>
      </c>
      <c r="F7" s="50">
        <v>1</v>
      </c>
      <c r="G7" s="50">
        <v>1</v>
      </c>
      <c r="H7" s="50">
        <v>11</v>
      </c>
      <c r="I7" s="50">
        <v>8</v>
      </c>
      <c r="J7" s="52">
        <f>+Detallado!C50</f>
        <v>11</v>
      </c>
      <c r="K7" s="52">
        <f>+Detallado!Y50</f>
        <v>8</v>
      </c>
      <c r="L7" s="139">
        <f t="shared" si="1"/>
        <v>1</v>
      </c>
      <c r="M7" s="139">
        <f t="shared" si="2"/>
        <v>4</v>
      </c>
    </row>
    <row r="8" spans="1:15" x14ac:dyDescent="0.25">
      <c r="A8" s="55">
        <v>7</v>
      </c>
      <c r="B8" s="51" t="s">
        <v>91</v>
      </c>
      <c r="C8" s="50">
        <f t="shared" si="0"/>
        <v>896</v>
      </c>
      <c r="D8" s="50">
        <v>14</v>
      </c>
      <c r="E8" s="50">
        <v>1</v>
      </c>
      <c r="F8" s="50">
        <v>1</v>
      </c>
      <c r="G8" s="50">
        <v>1</v>
      </c>
      <c r="H8" s="50">
        <v>13</v>
      </c>
      <c r="I8" s="50">
        <v>10</v>
      </c>
      <c r="J8" s="161">
        <f>+Detallado!C65+1</f>
        <v>14</v>
      </c>
      <c r="K8" s="52">
        <f>+Detallado!Y65</f>
        <v>10</v>
      </c>
      <c r="L8" s="139">
        <f t="shared" si="1"/>
        <v>0</v>
      </c>
      <c r="M8" s="139">
        <f t="shared" si="2"/>
        <v>4</v>
      </c>
      <c r="N8" t="s">
        <v>281</v>
      </c>
      <c r="O8" t="s">
        <v>282</v>
      </c>
    </row>
    <row r="9" spans="1:15" x14ac:dyDescent="0.25">
      <c r="A9" s="55">
        <v>8</v>
      </c>
      <c r="B9" s="51" t="s">
        <v>283</v>
      </c>
      <c r="C9" s="50">
        <f t="shared" si="0"/>
        <v>192</v>
      </c>
      <c r="D9" s="50">
        <v>3</v>
      </c>
      <c r="E9" s="50" t="s">
        <v>284</v>
      </c>
      <c r="F9" s="50">
        <v>1</v>
      </c>
      <c r="G9" s="50" t="s">
        <v>143</v>
      </c>
      <c r="H9" s="50">
        <v>3</v>
      </c>
      <c r="I9" s="50">
        <v>3</v>
      </c>
      <c r="J9" s="136">
        <v>3</v>
      </c>
      <c r="K9" s="136">
        <v>3</v>
      </c>
      <c r="L9" s="139">
        <f t="shared" si="1"/>
        <v>0</v>
      </c>
      <c r="M9" s="139">
        <f t="shared" si="2"/>
        <v>0</v>
      </c>
    </row>
    <row r="10" spans="1:15" x14ac:dyDescent="0.25">
      <c r="A10" s="55">
        <v>9</v>
      </c>
      <c r="B10" s="51" t="s">
        <v>138</v>
      </c>
      <c r="C10" s="50">
        <f t="shared" si="0"/>
        <v>832</v>
      </c>
      <c r="D10" s="50">
        <v>13</v>
      </c>
      <c r="E10" s="50">
        <v>1</v>
      </c>
      <c r="F10" s="50">
        <v>1</v>
      </c>
      <c r="G10" s="50" t="s">
        <v>143</v>
      </c>
      <c r="H10" s="50">
        <v>10</v>
      </c>
      <c r="I10" s="50">
        <v>9</v>
      </c>
      <c r="J10" s="52">
        <f>+Detallado!C78</f>
        <v>11</v>
      </c>
      <c r="K10" s="52">
        <f>+Detallado!Y78</f>
        <v>9</v>
      </c>
      <c r="L10" s="139">
        <f t="shared" si="1"/>
        <v>2</v>
      </c>
      <c r="M10" s="139">
        <f t="shared" si="2"/>
        <v>4</v>
      </c>
    </row>
    <row r="11" spans="1:15" x14ac:dyDescent="0.25">
      <c r="A11" s="55">
        <v>10</v>
      </c>
      <c r="B11" s="51" t="s">
        <v>139</v>
      </c>
      <c r="C11" s="50">
        <f t="shared" si="0"/>
        <v>960</v>
      </c>
      <c r="D11" s="50">
        <v>15</v>
      </c>
      <c r="E11" s="50">
        <v>1</v>
      </c>
      <c r="F11" s="50">
        <v>1</v>
      </c>
      <c r="G11" s="50">
        <v>1</v>
      </c>
      <c r="H11" s="50">
        <v>10</v>
      </c>
      <c r="I11" s="50">
        <v>8</v>
      </c>
      <c r="J11" s="157">
        <f>+Detallado!C88</f>
        <v>13</v>
      </c>
      <c r="K11" s="157">
        <f>+Detallado!Y88+1</f>
        <v>9</v>
      </c>
      <c r="L11" s="139">
        <f t="shared" si="1"/>
        <v>2</v>
      </c>
      <c r="M11" s="139">
        <f t="shared" si="2"/>
        <v>6</v>
      </c>
      <c r="N11" t="s">
        <v>285</v>
      </c>
    </row>
    <row r="12" spans="1:15" x14ac:dyDescent="0.25">
      <c r="A12" s="55">
        <v>11</v>
      </c>
      <c r="B12" s="51" t="s">
        <v>140</v>
      </c>
      <c r="C12" s="50">
        <f t="shared" si="0"/>
        <v>256</v>
      </c>
      <c r="D12" s="50">
        <v>4</v>
      </c>
      <c r="E12" s="50">
        <v>1</v>
      </c>
      <c r="F12" s="50" t="s">
        <v>143</v>
      </c>
      <c r="G12" s="50">
        <v>1</v>
      </c>
      <c r="H12" s="50">
        <v>4</v>
      </c>
      <c r="I12" s="50">
        <v>3</v>
      </c>
      <c r="J12" s="52">
        <f>+Detallado!C93</f>
        <v>4</v>
      </c>
      <c r="K12" s="52">
        <f>+Detallado!Y93</f>
        <v>3</v>
      </c>
      <c r="L12" s="139">
        <f t="shared" si="1"/>
        <v>0</v>
      </c>
      <c r="M12" s="139">
        <f t="shared" si="2"/>
        <v>1</v>
      </c>
    </row>
    <row r="13" spans="1:15" x14ac:dyDescent="0.25">
      <c r="A13" s="50"/>
      <c r="B13" s="53" t="s">
        <v>141</v>
      </c>
      <c r="C13" s="54">
        <f>SUM(C2:C12)</f>
        <v>6146</v>
      </c>
      <c r="D13" s="54">
        <f>SUM(D2:D12)</f>
        <v>98</v>
      </c>
      <c r="E13" s="54">
        <f>SUM(E2:E12)</f>
        <v>8</v>
      </c>
      <c r="F13" s="54">
        <f>SUM(F2:F12)</f>
        <v>8</v>
      </c>
      <c r="G13" s="54"/>
      <c r="H13" s="54">
        <f>SUM(H2:H12)</f>
        <v>86</v>
      </c>
      <c r="I13" s="54">
        <f>SUM(I2:I12)</f>
        <v>71</v>
      </c>
      <c r="J13" s="54">
        <f>SUM(J2:J12)</f>
        <v>92</v>
      </c>
      <c r="K13" s="54">
        <f>SUM(K2:K12)</f>
        <v>74</v>
      </c>
      <c r="L13" s="54">
        <f t="shared" si="1"/>
        <v>6</v>
      </c>
      <c r="M13" s="54">
        <f t="shared" si="2"/>
        <v>24</v>
      </c>
    </row>
    <row r="14" spans="1:15" x14ac:dyDescent="0.25">
      <c r="A14" s="46"/>
    </row>
    <row r="15" spans="1:15" x14ac:dyDescent="0.25">
      <c r="A15" s="46"/>
      <c r="B15" s="44" t="s">
        <v>286</v>
      </c>
      <c r="C15" s="45">
        <v>32</v>
      </c>
    </row>
    <row r="16" spans="1:15" x14ac:dyDescent="0.25">
      <c r="A16" s="46"/>
      <c r="B16" s="44" t="s">
        <v>287</v>
      </c>
      <c r="C16" s="45">
        <v>2</v>
      </c>
    </row>
    <row r="19" spans="2:10" ht="60" x14ac:dyDescent="0.25">
      <c r="B19" s="47" t="s">
        <v>1</v>
      </c>
      <c r="C19" s="48" t="s">
        <v>2</v>
      </c>
      <c r="D19" s="69" t="s">
        <v>288</v>
      </c>
      <c r="E19" s="69" t="s">
        <v>206</v>
      </c>
      <c r="F19" s="69" t="s">
        <v>207</v>
      </c>
      <c r="G19" s="47" t="s">
        <v>208</v>
      </c>
      <c r="H19" s="47" t="s">
        <v>209</v>
      </c>
    </row>
    <row r="20" spans="2:10" x14ac:dyDescent="0.25">
      <c r="B20" s="288" t="s">
        <v>213</v>
      </c>
      <c r="C20" s="56" t="s">
        <v>214</v>
      </c>
      <c r="D20" s="68"/>
      <c r="E20" s="73"/>
      <c r="F20" s="73">
        <v>1</v>
      </c>
      <c r="G20" s="75">
        <v>1</v>
      </c>
      <c r="H20" s="76">
        <v>1</v>
      </c>
    </row>
    <row r="21" spans="2:10" x14ac:dyDescent="0.25">
      <c r="B21" s="288"/>
      <c r="C21" s="56" t="s">
        <v>38</v>
      </c>
      <c r="D21" s="68">
        <v>2</v>
      </c>
      <c r="E21" s="73">
        <v>1</v>
      </c>
      <c r="F21" s="73">
        <v>2</v>
      </c>
      <c r="G21" s="77">
        <v>2</v>
      </c>
      <c r="H21" s="78">
        <v>1</v>
      </c>
      <c r="J21" t="s">
        <v>289</v>
      </c>
    </row>
    <row r="22" spans="2:10" x14ac:dyDescent="0.25">
      <c r="B22" s="288"/>
      <c r="C22" s="56" t="s">
        <v>220</v>
      </c>
      <c r="D22" s="68">
        <v>2</v>
      </c>
      <c r="E22" s="73">
        <v>1</v>
      </c>
      <c r="F22" s="73">
        <v>1</v>
      </c>
      <c r="G22" s="75">
        <v>1</v>
      </c>
      <c r="H22" s="76">
        <v>1</v>
      </c>
    </row>
    <row r="23" spans="2:10" x14ac:dyDescent="0.25">
      <c r="B23" s="289"/>
      <c r="C23" s="56" t="s">
        <v>41</v>
      </c>
      <c r="D23" s="68">
        <v>1</v>
      </c>
      <c r="E23" s="73">
        <v>1</v>
      </c>
      <c r="F23" s="73">
        <v>1</v>
      </c>
      <c r="G23" s="79">
        <v>1</v>
      </c>
      <c r="H23" s="76">
        <v>1</v>
      </c>
    </row>
    <row r="24" spans="2:10" x14ac:dyDescent="0.25">
      <c r="B24" s="290" t="s">
        <v>43</v>
      </c>
      <c r="C24" s="70" t="s">
        <v>40</v>
      </c>
      <c r="D24" s="68">
        <v>0</v>
      </c>
      <c r="E24" s="73">
        <v>1</v>
      </c>
      <c r="F24" s="73">
        <v>1</v>
      </c>
      <c r="G24" s="79">
        <v>2</v>
      </c>
      <c r="H24" s="80">
        <v>1</v>
      </c>
    </row>
    <row r="25" spans="2:10" x14ac:dyDescent="0.25">
      <c r="B25" s="290"/>
      <c r="C25" s="70" t="s">
        <v>41</v>
      </c>
      <c r="D25" s="68">
        <v>0</v>
      </c>
      <c r="E25" s="73">
        <v>1</v>
      </c>
      <c r="F25" s="73">
        <v>1</v>
      </c>
      <c r="G25" s="79">
        <v>2</v>
      </c>
      <c r="H25" s="80">
        <v>1</v>
      </c>
    </row>
    <row r="26" spans="2:10" x14ac:dyDescent="0.25">
      <c r="B26" s="290"/>
      <c r="C26" s="70" t="s">
        <v>45</v>
      </c>
      <c r="D26" s="68">
        <v>0</v>
      </c>
      <c r="E26" s="73">
        <v>0</v>
      </c>
      <c r="F26" s="137">
        <v>1</v>
      </c>
      <c r="G26" s="79">
        <v>1</v>
      </c>
      <c r="H26" s="80">
        <v>1</v>
      </c>
    </row>
    <row r="27" spans="2:10" x14ac:dyDescent="0.25">
      <c r="B27" s="290"/>
      <c r="C27" s="70" t="s">
        <v>46</v>
      </c>
      <c r="D27" s="68">
        <v>0</v>
      </c>
      <c r="E27" s="73">
        <v>0</v>
      </c>
      <c r="F27" s="137">
        <v>1</v>
      </c>
      <c r="G27" s="79">
        <v>0</v>
      </c>
      <c r="H27" s="80">
        <v>1</v>
      </c>
    </row>
    <row r="28" spans="2:10" x14ac:dyDescent="0.25">
      <c r="B28" s="290"/>
      <c r="C28" s="70" t="s">
        <v>47</v>
      </c>
      <c r="D28" s="68">
        <v>0</v>
      </c>
      <c r="E28" s="73">
        <v>0</v>
      </c>
      <c r="F28" s="137">
        <v>1</v>
      </c>
      <c r="G28" s="79">
        <v>0</v>
      </c>
      <c r="H28" s="80">
        <v>1</v>
      </c>
    </row>
    <row r="29" spans="2:10" ht="15" customHeight="1" x14ac:dyDescent="0.25">
      <c r="B29" s="291" t="s">
        <v>48</v>
      </c>
      <c r="C29" s="71" t="s">
        <v>38</v>
      </c>
      <c r="D29" s="68">
        <v>0</v>
      </c>
      <c r="E29" s="73">
        <v>0</v>
      </c>
      <c r="F29" s="73">
        <v>2</v>
      </c>
      <c r="G29" s="79">
        <v>2</v>
      </c>
      <c r="H29" s="80">
        <v>1</v>
      </c>
      <c r="J29" t="s">
        <v>290</v>
      </c>
    </row>
    <row r="30" spans="2:10" x14ac:dyDescent="0.25">
      <c r="B30" s="292"/>
      <c r="C30" s="71" t="s">
        <v>40</v>
      </c>
      <c r="D30" s="68">
        <v>2</v>
      </c>
      <c r="E30" s="73">
        <v>2</v>
      </c>
      <c r="F30" s="73">
        <v>1</v>
      </c>
      <c r="G30" s="79">
        <v>1</v>
      </c>
      <c r="H30" s="80">
        <v>1</v>
      </c>
    </row>
    <row r="31" spans="2:10" x14ac:dyDescent="0.25">
      <c r="B31" s="292"/>
      <c r="C31" s="71" t="s">
        <v>41</v>
      </c>
      <c r="D31" s="68">
        <v>2</v>
      </c>
      <c r="E31" s="73">
        <v>2</v>
      </c>
      <c r="F31" s="73">
        <v>1</v>
      </c>
      <c r="G31" s="79">
        <v>1</v>
      </c>
      <c r="H31" s="80">
        <v>1</v>
      </c>
    </row>
    <row r="32" spans="2:10" x14ac:dyDescent="0.25">
      <c r="B32" s="293"/>
      <c r="C32" s="71" t="s">
        <v>45</v>
      </c>
      <c r="D32" s="68">
        <v>1</v>
      </c>
      <c r="E32" s="73"/>
      <c r="F32" s="73"/>
      <c r="G32" s="79"/>
      <c r="H32" s="80"/>
    </row>
    <row r="33" spans="2:10" x14ac:dyDescent="0.25">
      <c r="B33" s="223" t="s">
        <v>50</v>
      </c>
      <c r="C33" s="71" t="s">
        <v>46</v>
      </c>
      <c r="D33" s="68">
        <v>0</v>
      </c>
      <c r="E33" s="73">
        <v>2</v>
      </c>
      <c r="F33" s="73">
        <v>2</v>
      </c>
      <c r="G33" s="79">
        <v>2</v>
      </c>
      <c r="H33" s="80">
        <v>2</v>
      </c>
      <c r="J33" t="s">
        <v>291</v>
      </c>
    </row>
    <row r="34" spans="2:10" x14ac:dyDescent="0.25">
      <c r="B34" s="223"/>
      <c r="C34" s="71" t="s">
        <v>47</v>
      </c>
      <c r="D34" s="68">
        <v>0</v>
      </c>
      <c r="E34" s="73">
        <v>1</v>
      </c>
      <c r="F34" s="73">
        <v>2</v>
      </c>
      <c r="G34" s="79">
        <v>2</v>
      </c>
      <c r="H34" s="80">
        <v>2</v>
      </c>
    </row>
    <row r="35" spans="2:10" x14ac:dyDescent="0.25">
      <c r="B35" s="223"/>
      <c r="C35" s="71" t="s">
        <v>51</v>
      </c>
      <c r="D35" s="68">
        <v>0</v>
      </c>
      <c r="E35" s="73">
        <v>1</v>
      </c>
      <c r="F35" s="73">
        <v>2</v>
      </c>
      <c r="G35" s="79">
        <v>1</v>
      </c>
      <c r="H35" s="80">
        <v>2</v>
      </c>
    </row>
    <row r="36" spans="2:10" x14ac:dyDescent="0.25">
      <c r="B36" s="223"/>
      <c r="C36" s="71" t="s">
        <v>52</v>
      </c>
      <c r="D36" s="68">
        <v>0</v>
      </c>
      <c r="E36" s="73">
        <v>0.5</v>
      </c>
      <c r="F36" s="73">
        <v>1</v>
      </c>
      <c r="G36" s="79">
        <v>1</v>
      </c>
      <c r="H36" s="80">
        <v>1</v>
      </c>
      <c r="J36" t="s">
        <v>292</v>
      </c>
    </row>
    <row r="37" spans="2:10" x14ac:dyDescent="0.25">
      <c r="B37" s="223"/>
      <c r="C37" s="71" t="s">
        <v>53</v>
      </c>
      <c r="D37" s="68">
        <v>0</v>
      </c>
      <c r="E37" s="73">
        <v>0.5</v>
      </c>
      <c r="F37" s="73">
        <v>1</v>
      </c>
      <c r="G37" s="79">
        <v>1</v>
      </c>
      <c r="H37" s="80">
        <v>1</v>
      </c>
    </row>
    <row r="38" spans="2:10" x14ac:dyDescent="0.25">
      <c r="B38" s="223"/>
      <c r="C38" s="71" t="s">
        <v>54</v>
      </c>
      <c r="D38" s="68">
        <v>0</v>
      </c>
      <c r="E38" s="73">
        <v>0</v>
      </c>
      <c r="F38" s="73">
        <v>1</v>
      </c>
      <c r="G38" s="79">
        <v>1</v>
      </c>
      <c r="H38" s="80">
        <v>0</v>
      </c>
    </row>
    <row r="39" spans="2:10" x14ac:dyDescent="0.25">
      <c r="B39" s="223"/>
      <c r="C39" s="71" t="s">
        <v>55</v>
      </c>
      <c r="D39" s="68">
        <v>0</v>
      </c>
      <c r="E39" s="73">
        <v>0</v>
      </c>
      <c r="F39" s="73">
        <v>1</v>
      </c>
      <c r="G39" s="79">
        <v>1</v>
      </c>
      <c r="H39" s="80">
        <v>0</v>
      </c>
    </row>
    <row r="40" spans="2:10" x14ac:dyDescent="0.25">
      <c r="B40" s="223"/>
      <c r="C40" s="71" t="s">
        <v>57</v>
      </c>
      <c r="D40" s="68">
        <v>0</v>
      </c>
      <c r="E40" s="73">
        <v>0</v>
      </c>
      <c r="F40" s="73">
        <v>1</v>
      </c>
      <c r="G40" s="79">
        <v>1</v>
      </c>
      <c r="H40" s="80">
        <v>0</v>
      </c>
    </row>
    <row r="41" spans="2:10" x14ac:dyDescent="0.25">
      <c r="B41" s="223"/>
      <c r="C41" s="71" t="s">
        <v>58</v>
      </c>
      <c r="D41" s="68">
        <v>0</v>
      </c>
      <c r="E41" s="73">
        <v>0</v>
      </c>
      <c r="F41" s="73">
        <v>1</v>
      </c>
      <c r="G41" s="79">
        <v>0</v>
      </c>
      <c r="H41" s="80">
        <v>1</v>
      </c>
    </row>
    <row r="42" spans="2:10" x14ac:dyDescent="0.25">
      <c r="B42" s="223" t="s">
        <v>59</v>
      </c>
      <c r="C42" s="71" t="s">
        <v>45</v>
      </c>
      <c r="D42" s="68">
        <v>0</v>
      </c>
      <c r="E42" s="73"/>
      <c r="F42" s="73">
        <v>2</v>
      </c>
      <c r="G42" s="79">
        <v>2</v>
      </c>
      <c r="H42" s="80">
        <v>2</v>
      </c>
    </row>
    <row r="43" spans="2:10" x14ac:dyDescent="0.25">
      <c r="B43" s="223"/>
      <c r="C43" s="71" t="s">
        <v>46</v>
      </c>
      <c r="D43" s="68">
        <v>0</v>
      </c>
      <c r="E43" s="73">
        <v>2</v>
      </c>
      <c r="F43" s="73">
        <v>2</v>
      </c>
      <c r="G43" s="79">
        <v>1</v>
      </c>
      <c r="H43" s="80">
        <v>2</v>
      </c>
    </row>
    <row r="44" spans="2:10" x14ac:dyDescent="0.25">
      <c r="B44" s="223"/>
      <c r="C44" s="71" t="s">
        <v>47</v>
      </c>
      <c r="D44" s="68">
        <v>0</v>
      </c>
      <c r="E44" s="73">
        <v>1</v>
      </c>
      <c r="F44" s="73">
        <v>2</v>
      </c>
      <c r="G44" s="79">
        <v>2</v>
      </c>
      <c r="H44" s="80">
        <v>2</v>
      </c>
      <c r="J44" t="s">
        <v>293</v>
      </c>
    </row>
    <row r="45" spans="2:10" x14ac:dyDescent="0.25">
      <c r="B45" s="223"/>
      <c r="C45" s="71" t="s">
        <v>51</v>
      </c>
      <c r="D45" s="68">
        <v>0</v>
      </c>
      <c r="E45" s="73"/>
      <c r="F45" s="73">
        <v>1</v>
      </c>
      <c r="G45" s="79">
        <v>1</v>
      </c>
      <c r="H45" s="80">
        <v>1</v>
      </c>
    </row>
    <row r="46" spans="2:10" x14ac:dyDescent="0.25">
      <c r="B46" s="223"/>
      <c r="C46" s="71" t="s">
        <v>52</v>
      </c>
      <c r="D46" s="68">
        <v>0</v>
      </c>
      <c r="E46" s="73">
        <v>0</v>
      </c>
      <c r="F46" s="73">
        <v>1</v>
      </c>
      <c r="G46" s="79">
        <v>1</v>
      </c>
      <c r="H46" s="80">
        <v>1</v>
      </c>
    </row>
    <row r="47" spans="2:10" x14ac:dyDescent="0.25">
      <c r="B47" s="223"/>
      <c r="C47" s="71" t="s">
        <v>53</v>
      </c>
      <c r="D47" s="68">
        <v>0</v>
      </c>
      <c r="E47" s="73">
        <v>0</v>
      </c>
      <c r="F47" s="73">
        <v>1</v>
      </c>
      <c r="G47" s="79">
        <v>1</v>
      </c>
      <c r="H47" s="80">
        <v>1</v>
      </c>
    </row>
    <row r="48" spans="2:10" x14ac:dyDescent="0.25">
      <c r="B48" s="223"/>
      <c r="C48" s="71" t="s">
        <v>54</v>
      </c>
      <c r="D48" s="68">
        <v>0</v>
      </c>
      <c r="E48" s="73">
        <v>0</v>
      </c>
      <c r="F48" s="73">
        <v>1</v>
      </c>
      <c r="G48" s="79">
        <v>1</v>
      </c>
      <c r="H48" s="80">
        <v>0</v>
      </c>
    </row>
    <row r="49" spans="2:8" x14ac:dyDescent="0.25">
      <c r="B49" s="223"/>
      <c r="C49" s="71" t="s">
        <v>55</v>
      </c>
      <c r="D49" s="68">
        <v>0</v>
      </c>
      <c r="E49" s="73">
        <v>0</v>
      </c>
      <c r="F49" s="73">
        <v>1</v>
      </c>
      <c r="G49" s="79">
        <v>1</v>
      </c>
      <c r="H49" s="80">
        <v>0</v>
      </c>
    </row>
    <row r="50" spans="2:8" x14ac:dyDescent="0.25">
      <c r="B50" s="223"/>
      <c r="C50" s="71" t="s">
        <v>57</v>
      </c>
      <c r="D50" s="68">
        <v>0</v>
      </c>
      <c r="E50" s="73">
        <v>0</v>
      </c>
      <c r="F50" s="73">
        <v>1</v>
      </c>
      <c r="G50" s="79">
        <v>1</v>
      </c>
      <c r="H50" s="80">
        <v>0</v>
      </c>
    </row>
    <row r="51" spans="2:8" x14ac:dyDescent="0.25">
      <c r="B51" s="223" t="s">
        <v>60</v>
      </c>
      <c r="C51" s="71" t="s">
        <v>45</v>
      </c>
      <c r="D51" s="68">
        <v>0</v>
      </c>
      <c r="E51" s="73">
        <v>1</v>
      </c>
      <c r="F51" s="73">
        <v>2</v>
      </c>
      <c r="G51" s="79">
        <v>2</v>
      </c>
      <c r="H51" s="80">
        <v>2</v>
      </c>
    </row>
    <row r="52" spans="2:8" x14ac:dyDescent="0.25">
      <c r="B52" s="223"/>
      <c r="C52" s="71" t="s">
        <v>46</v>
      </c>
      <c r="D52" s="68">
        <v>0</v>
      </c>
      <c r="E52" s="73">
        <v>1</v>
      </c>
      <c r="F52" s="73">
        <v>2</v>
      </c>
      <c r="G52" s="79">
        <v>1</v>
      </c>
      <c r="H52" s="80">
        <v>2</v>
      </c>
    </row>
    <row r="53" spans="2:8" x14ac:dyDescent="0.25">
      <c r="B53" s="223"/>
      <c r="C53" s="71" t="s">
        <v>47</v>
      </c>
      <c r="D53" s="68">
        <v>0</v>
      </c>
      <c r="E53" s="73">
        <v>1</v>
      </c>
      <c r="F53" s="73">
        <v>2</v>
      </c>
      <c r="G53" s="79">
        <v>2</v>
      </c>
      <c r="H53" s="80">
        <v>1</v>
      </c>
    </row>
    <row r="54" spans="2:8" x14ac:dyDescent="0.25">
      <c r="B54" s="223"/>
      <c r="C54" s="71" t="s">
        <v>51</v>
      </c>
      <c r="D54" s="68">
        <v>0</v>
      </c>
      <c r="E54" s="73">
        <v>1</v>
      </c>
      <c r="F54" s="73">
        <v>1</v>
      </c>
      <c r="G54" s="79">
        <v>1</v>
      </c>
      <c r="H54" s="80">
        <v>1</v>
      </c>
    </row>
    <row r="55" spans="2:8" x14ac:dyDescent="0.25">
      <c r="B55" s="223"/>
      <c r="C55" s="71" t="s">
        <v>52</v>
      </c>
      <c r="D55" s="68">
        <v>0</v>
      </c>
      <c r="E55" s="73">
        <v>1</v>
      </c>
      <c r="F55" s="73">
        <v>1</v>
      </c>
      <c r="G55" s="79">
        <v>1</v>
      </c>
      <c r="H55" s="80">
        <v>1</v>
      </c>
    </row>
    <row r="56" spans="2:8" x14ac:dyDescent="0.25">
      <c r="B56" s="223"/>
      <c r="C56" s="71" t="s">
        <v>53</v>
      </c>
      <c r="D56" s="68">
        <v>0</v>
      </c>
      <c r="E56" s="73">
        <v>1</v>
      </c>
      <c r="F56" s="73">
        <v>1</v>
      </c>
      <c r="G56" s="79">
        <v>1</v>
      </c>
      <c r="H56" s="80">
        <v>0</v>
      </c>
    </row>
    <row r="57" spans="2:8" x14ac:dyDescent="0.25">
      <c r="B57" s="223"/>
      <c r="C57" s="71" t="s">
        <v>54</v>
      </c>
      <c r="D57" s="68">
        <v>0</v>
      </c>
      <c r="E57" s="73">
        <v>0</v>
      </c>
      <c r="F57" s="73">
        <v>1</v>
      </c>
      <c r="G57" s="79">
        <v>1</v>
      </c>
      <c r="H57" s="80">
        <v>1</v>
      </c>
    </row>
    <row r="58" spans="2:8" x14ac:dyDescent="0.25">
      <c r="B58" s="223"/>
      <c r="C58" s="71" t="s">
        <v>55</v>
      </c>
      <c r="D58" s="68">
        <v>0</v>
      </c>
      <c r="E58" s="73">
        <v>0</v>
      </c>
      <c r="F58" s="73">
        <v>1</v>
      </c>
      <c r="G58" s="79">
        <v>1</v>
      </c>
      <c r="H58" s="80">
        <v>0</v>
      </c>
    </row>
    <row r="59" spans="2:8" x14ac:dyDescent="0.25">
      <c r="B59" s="223"/>
      <c r="C59" s="71" t="s">
        <v>57</v>
      </c>
      <c r="D59" s="68">
        <v>0</v>
      </c>
      <c r="E59" s="73">
        <v>0</v>
      </c>
      <c r="F59" s="73">
        <v>1</v>
      </c>
      <c r="G59" s="79">
        <v>1</v>
      </c>
      <c r="H59" s="80">
        <v>0</v>
      </c>
    </row>
    <row r="60" spans="2:8" x14ac:dyDescent="0.25">
      <c r="B60" s="224" t="s">
        <v>62</v>
      </c>
      <c r="C60" s="71" t="s">
        <v>40</v>
      </c>
      <c r="D60" s="68">
        <v>0</v>
      </c>
      <c r="E60" s="73">
        <v>0</v>
      </c>
      <c r="F60" s="73">
        <v>1</v>
      </c>
      <c r="G60" s="79">
        <v>1</v>
      </c>
      <c r="H60" s="80">
        <v>1</v>
      </c>
    </row>
    <row r="61" spans="2:8" x14ac:dyDescent="0.25">
      <c r="B61" s="224"/>
      <c r="C61" s="71" t="s">
        <v>41</v>
      </c>
      <c r="D61" s="68">
        <v>0</v>
      </c>
      <c r="E61" s="73">
        <v>0</v>
      </c>
      <c r="F61" s="73">
        <v>1</v>
      </c>
      <c r="G61" s="79">
        <v>1</v>
      </c>
      <c r="H61" s="80">
        <v>1</v>
      </c>
    </row>
    <row r="62" spans="2:8" x14ac:dyDescent="0.25">
      <c r="B62" s="224"/>
      <c r="C62" s="71" t="s">
        <v>45</v>
      </c>
      <c r="D62" s="68">
        <v>0</v>
      </c>
      <c r="E62" s="73">
        <v>0</v>
      </c>
      <c r="F62" s="73">
        <v>1</v>
      </c>
      <c r="G62" s="79">
        <v>1</v>
      </c>
      <c r="H62" s="80">
        <v>1</v>
      </c>
    </row>
    <row r="63" spans="2:8" x14ac:dyDescent="0.25">
      <c r="B63" s="224"/>
      <c r="C63" s="71" t="s">
        <v>46</v>
      </c>
      <c r="D63" s="68">
        <v>0</v>
      </c>
      <c r="E63" s="73">
        <v>0</v>
      </c>
      <c r="F63" s="73">
        <v>2</v>
      </c>
      <c r="G63" s="79">
        <v>1</v>
      </c>
      <c r="H63" s="80">
        <v>2</v>
      </c>
    </row>
    <row r="64" spans="2:8" x14ac:dyDescent="0.25">
      <c r="B64" s="224"/>
      <c r="C64" s="71" t="s">
        <v>47</v>
      </c>
      <c r="D64" s="68">
        <v>0</v>
      </c>
      <c r="E64" s="73">
        <v>0</v>
      </c>
      <c r="F64" s="73">
        <v>1</v>
      </c>
      <c r="G64" s="79">
        <v>1</v>
      </c>
      <c r="H64" s="80">
        <v>1</v>
      </c>
    </row>
    <row r="65" spans="2:8" x14ac:dyDescent="0.25">
      <c r="B65" s="224"/>
      <c r="C65" s="71" t="s">
        <v>51</v>
      </c>
      <c r="D65" s="68">
        <v>0</v>
      </c>
      <c r="E65" s="73">
        <v>0</v>
      </c>
      <c r="F65" s="73">
        <v>1</v>
      </c>
      <c r="G65" s="79">
        <v>1</v>
      </c>
      <c r="H65" s="80">
        <v>0</v>
      </c>
    </row>
    <row r="66" spans="2:8" x14ac:dyDescent="0.25">
      <c r="B66" s="224"/>
      <c r="C66" s="71" t="s">
        <v>52</v>
      </c>
      <c r="D66" s="68">
        <v>0</v>
      </c>
      <c r="E66" s="73">
        <v>0</v>
      </c>
      <c r="F66" s="73">
        <v>1</v>
      </c>
      <c r="G66" s="79">
        <v>1</v>
      </c>
      <c r="H66" s="80">
        <v>0</v>
      </c>
    </row>
    <row r="67" spans="2:8" x14ac:dyDescent="0.25">
      <c r="B67" s="224"/>
      <c r="C67" s="71" t="s">
        <v>53</v>
      </c>
      <c r="D67" s="68">
        <v>0</v>
      </c>
      <c r="E67" s="73">
        <v>0</v>
      </c>
      <c r="F67" s="73">
        <v>1</v>
      </c>
      <c r="G67" s="79">
        <v>1</v>
      </c>
      <c r="H67" s="80">
        <v>0</v>
      </c>
    </row>
    <row r="68" spans="2:8" x14ac:dyDescent="0.25">
      <c r="B68" s="224"/>
      <c r="C68" s="71" t="s">
        <v>54</v>
      </c>
      <c r="D68" s="68">
        <v>0</v>
      </c>
      <c r="E68" s="73">
        <v>0</v>
      </c>
      <c r="F68" s="73">
        <v>1</v>
      </c>
      <c r="G68" s="79">
        <v>1</v>
      </c>
      <c r="H68" s="80">
        <v>1</v>
      </c>
    </row>
    <row r="69" spans="2:8" x14ac:dyDescent="0.25">
      <c r="B69" s="224"/>
      <c r="C69" s="71" t="s">
        <v>55</v>
      </c>
      <c r="D69" s="68">
        <v>0</v>
      </c>
      <c r="E69" s="73">
        <v>0</v>
      </c>
      <c r="F69" s="73">
        <v>1</v>
      </c>
      <c r="G69" s="79">
        <v>1</v>
      </c>
      <c r="H69" s="80">
        <v>0</v>
      </c>
    </row>
    <row r="70" spans="2:8" x14ac:dyDescent="0.25">
      <c r="B70" s="224"/>
      <c r="C70" s="71" t="s">
        <v>57</v>
      </c>
      <c r="D70" s="68">
        <v>0</v>
      </c>
      <c r="E70" s="73">
        <v>1</v>
      </c>
      <c r="F70" s="73">
        <v>1</v>
      </c>
      <c r="G70" s="79">
        <v>1</v>
      </c>
      <c r="H70" s="80">
        <v>1</v>
      </c>
    </row>
    <row r="71" spans="2:8" x14ac:dyDescent="0.25">
      <c r="B71" s="224"/>
      <c r="C71" s="71" t="s">
        <v>58</v>
      </c>
      <c r="D71" s="68">
        <v>0</v>
      </c>
      <c r="E71" s="73">
        <v>1</v>
      </c>
      <c r="F71" s="73">
        <v>1</v>
      </c>
      <c r="G71" s="79">
        <v>1</v>
      </c>
      <c r="H71" s="80">
        <v>1</v>
      </c>
    </row>
    <row r="72" spans="2:8" x14ac:dyDescent="0.25">
      <c r="B72" s="224"/>
      <c r="C72" s="71" t="s">
        <v>235</v>
      </c>
      <c r="D72" s="68"/>
      <c r="E72" s="73">
        <v>1</v>
      </c>
      <c r="F72" s="73"/>
      <c r="G72" s="79"/>
      <c r="H72" s="80"/>
    </row>
    <row r="73" spans="2:8" x14ac:dyDescent="0.25">
      <c r="B73" s="224"/>
      <c r="C73" s="71" t="s">
        <v>66</v>
      </c>
      <c r="D73" s="68">
        <v>0</v>
      </c>
      <c r="E73" s="73">
        <v>0</v>
      </c>
      <c r="F73" s="73">
        <v>1</v>
      </c>
      <c r="G73" s="79">
        <v>1</v>
      </c>
      <c r="H73" s="80">
        <v>1</v>
      </c>
    </row>
    <row r="74" spans="2:8" x14ac:dyDescent="0.25">
      <c r="B74" s="223" t="s">
        <v>70</v>
      </c>
      <c r="C74" s="71" t="s">
        <v>45</v>
      </c>
      <c r="D74" s="68">
        <v>0</v>
      </c>
      <c r="E74" s="73">
        <v>1</v>
      </c>
      <c r="F74" s="73">
        <v>2</v>
      </c>
      <c r="G74" s="79">
        <v>2</v>
      </c>
      <c r="H74" s="80">
        <v>2</v>
      </c>
    </row>
    <row r="75" spans="2:8" x14ac:dyDescent="0.25">
      <c r="B75" s="223"/>
      <c r="C75" s="71" t="s">
        <v>46</v>
      </c>
      <c r="D75" s="68">
        <v>0</v>
      </c>
      <c r="E75" s="73">
        <v>1</v>
      </c>
      <c r="F75" s="73">
        <v>2</v>
      </c>
      <c r="G75" s="79">
        <v>1</v>
      </c>
      <c r="H75" s="80">
        <v>2</v>
      </c>
    </row>
    <row r="76" spans="2:8" x14ac:dyDescent="0.25">
      <c r="B76" s="223"/>
      <c r="C76" s="71" t="s">
        <v>47</v>
      </c>
      <c r="D76" s="68">
        <v>0</v>
      </c>
      <c r="E76" s="73">
        <v>1</v>
      </c>
      <c r="F76" s="73">
        <v>2</v>
      </c>
      <c r="G76" s="79">
        <v>1</v>
      </c>
      <c r="H76" s="80">
        <v>2</v>
      </c>
    </row>
    <row r="77" spans="2:8" x14ac:dyDescent="0.25">
      <c r="B77" s="223"/>
      <c r="C77" s="71" t="s">
        <v>51</v>
      </c>
      <c r="D77" s="68">
        <v>0</v>
      </c>
      <c r="E77" s="73">
        <v>1</v>
      </c>
      <c r="F77" s="73">
        <v>1</v>
      </c>
      <c r="G77" s="79">
        <v>1</v>
      </c>
      <c r="H77" s="80">
        <v>1</v>
      </c>
    </row>
    <row r="78" spans="2:8" x14ac:dyDescent="0.25">
      <c r="B78" s="223"/>
      <c r="C78" s="71" t="s">
        <v>52</v>
      </c>
      <c r="D78" s="68">
        <v>0</v>
      </c>
      <c r="E78" s="73">
        <v>1</v>
      </c>
      <c r="F78" s="73">
        <v>1</v>
      </c>
      <c r="G78" s="79">
        <v>1</v>
      </c>
      <c r="H78" s="80">
        <v>1</v>
      </c>
    </row>
    <row r="79" spans="2:8" x14ac:dyDescent="0.25">
      <c r="B79" s="223"/>
      <c r="C79" s="71" t="s">
        <v>53</v>
      </c>
      <c r="D79" s="68">
        <v>0</v>
      </c>
      <c r="E79" s="73">
        <v>1</v>
      </c>
      <c r="F79" s="73">
        <v>1</v>
      </c>
      <c r="G79" s="79">
        <v>1</v>
      </c>
      <c r="H79" s="80">
        <v>1</v>
      </c>
    </row>
    <row r="80" spans="2:8" x14ac:dyDescent="0.25">
      <c r="B80" s="223"/>
      <c r="C80" s="71" t="s">
        <v>54</v>
      </c>
      <c r="D80" s="68">
        <v>0</v>
      </c>
      <c r="E80" s="73">
        <v>0</v>
      </c>
      <c r="F80" s="73">
        <v>1</v>
      </c>
      <c r="G80" s="79">
        <v>1</v>
      </c>
      <c r="H80" s="80">
        <v>0</v>
      </c>
    </row>
    <row r="81" spans="2:8" x14ac:dyDescent="0.25">
      <c r="B81" s="223"/>
      <c r="C81" s="71" t="s">
        <v>55</v>
      </c>
      <c r="D81" s="68">
        <v>0</v>
      </c>
      <c r="E81" s="73">
        <v>0</v>
      </c>
      <c r="F81" s="73">
        <v>1</v>
      </c>
      <c r="G81" s="79">
        <v>1</v>
      </c>
      <c r="H81" s="80">
        <v>0</v>
      </c>
    </row>
    <row r="82" spans="2:8" x14ac:dyDescent="0.25">
      <c r="B82" s="223"/>
      <c r="C82" s="71" t="s">
        <v>57</v>
      </c>
      <c r="D82" s="68">
        <v>0</v>
      </c>
      <c r="E82" s="73">
        <v>0</v>
      </c>
      <c r="F82" s="73">
        <v>1</v>
      </c>
      <c r="G82" s="79">
        <v>1</v>
      </c>
      <c r="H82" s="81">
        <v>0</v>
      </c>
    </row>
    <row r="83" spans="2:8" x14ac:dyDescent="0.25">
      <c r="B83" s="225" t="s">
        <v>71</v>
      </c>
      <c r="C83" s="71" t="s">
        <v>40</v>
      </c>
      <c r="D83" s="68">
        <v>2</v>
      </c>
      <c r="E83" s="74"/>
      <c r="F83" s="73"/>
      <c r="G83" s="79"/>
      <c r="H83" s="81"/>
    </row>
    <row r="84" spans="2:8" x14ac:dyDescent="0.25">
      <c r="B84" s="227"/>
      <c r="C84" s="71" t="s">
        <v>41</v>
      </c>
      <c r="D84" s="68">
        <v>2</v>
      </c>
      <c r="E84" s="73"/>
      <c r="F84" s="73"/>
      <c r="G84" s="79"/>
      <c r="H84" s="81"/>
    </row>
    <row r="85" spans="2:8" ht="15" customHeight="1" x14ac:dyDescent="0.25">
      <c r="B85" s="227"/>
      <c r="C85" s="71" t="s">
        <v>45</v>
      </c>
      <c r="D85" s="68">
        <v>2</v>
      </c>
      <c r="E85" s="73">
        <v>0</v>
      </c>
      <c r="F85" s="73">
        <v>2</v>
      </c>
      <c r="G85" s="79">
        <v>1</v>
      </c>
      <c r="H85" s="80">
        <v>2</v>
      </c>
    </row>
    <row r="86" spans="2:8" x14ac:dyDescent="0.25">
      <c r="B86" s="227"/>
      <c r="C86" s="71" t="s">
        <v>46</v>
      </c>
      <c r="D86" s="68">
        <v>0</v>
      </c>
      <c r="E86" s="73">
        <v>1</v>
      </c>
      <c r="F86" s="73">
        <v>2</v>
      </c>
      <c r="G86" s="79">
        <v>2</v>
      </c>
      <c r="H86" s="80">
        <v>2</v>
      </c>
    </row>
    <row r="87" spans="2:8" x14ac:dyDescent="0.25">
      <c r="B87" s="227"/>
      <c r="C87" s="71" t="s">
        <v>47</v>
      </c>
      <c r="D87" s="68">
        <v>0</v>
      </c>
      <c r="E87" s="73">
        <v>1</v>
      </c>
      <c r="F87" s="73">
        <v>1</v>
      </c>
      <c r="G87" s="79">
        <v>1</v>
      </c>
      <c r="H87" s="80">
        <v>1</v>
      </c>
    </row>
    <row r="88" spans="2:8" x14ac:dyDescent="0.25">
      <c r="B88" s="227"/>
      <c r="C88" s="71" t="s">
        <v>51</v>
      </c>
      <c r="D88" s="68">
        <v>0</v>
      </c>
      <c r="E88" s="73">
        <v>1</v>
      </c>
      <c r="F88" s="73">
        <v>1</v>
      </c>
      <c r="G88" s="79">
        <v>1</v>
      </c>
      <c r="H88" s="80">
        <v>1</v>
      </c>
    </row>
    <row r="89" spans="2:8" x14ac:dyDescent="0.25">
      <c r="B89" s="227"/>
      <c r="C89" s="71" t="s">
        <v>52</v>
      </c>
      <c r="D89" s="68">
        <v>0</v>
      </c>
      <c r="E89" s="73">
        <v>1</v>
      </c>
      <c r="F89" s="73">
        <v>1</v>
      </c>
      <c r="G89" s="79">
        <v>1</v>
      </c>
      <c r="H89" s="80">
        <v>1</v>
      </c>
    </row>
    <row r="90" spans="2:8" x14ac:dyDescent="0.25">
      <c r="B90" s="227"/>
      <c r="C90" s="71" t="s">
        <v>53</v>
      </c>
      <c r="D90" s="68">
        <v>0</v>
      </c>
      <c r="E90" s="73">
        <v>1</v>
      </c>
      <c r="F90" s="73">
        <v>1</v>
      </c>
      <c r="G90" s="79">
        <v>1</v>
      </c>
      <c r="H90" s="80">
        <v>0</v>
      </c>
    </row>
    <row r="91" spans="2:8" x14ac:dyDescent="0.25">
      <c r="B91" s="227"/>
      <c r="C91" s="71" t="s">
        <v>54</v>
      </c>
      <c r="D91" s="68">
        <v>0</v>
      </c>
      <c r="E91" s="73">
        <v>0</v>
      </c>
      <c r="F91" s="73">
        <v>1</v>
      </c>
      <c r="G91" s="79">
        <v>1</v>
      </c>
      <c r="H91" s="80">
        <v>1</v>
      </c>
    </row>
    <row r="92" spans="2:8" x14ac:dyDescent="0.25">
      <c r="B92" s="227"/>
      <c r="C92" s="71" t="s">
        <v>55</v>
      </c>
      <c r="D92" s="68">
        <v>0</v>
      </c>
      <c r="E92" s="73">
        <v>0</v>
      </c>
      <c r="F92" s="73">
        <v>1</v>
      </c>
      <c r="G92" s="79">
        <v>1</v>
      </c>
      <c r="H92" s="80">
        <v>0</v>
      </c>
    </row>
    <row r="93" spans="2:8" x14ac:dyDescent="0.25">
      <c r="B93" s="226"/>
      <c r="C93" s="72" t="s">
        <v>57</v>
      </c>
      <c r="D93" s="68">
        <v>0</v>
      </c>
      <c r="E93" s="73">
        <v>0</v>
      </c>
      <c r="F93" s="73">
        <v>1</v>
      </c>
      <c r="G93" s="82">
        <v>1</v>
      </c>
      <c r="H93" s="80">
        <v>0</v>
      </c>
    </row>
    <row r="94" spans="2:8" x14ac:dyDescent="0.25">
      <c r="B94" s="224" t="s">
        <v>72</v>
      </c>
      <c r="C94" s="71" t="s">
        <v>46</v>
      </c>
      <c r="D94" s="68">
        <v>0</v>
      </c>
      <c r="E94" s="73">
        <v>2</v>
      </c>
      <c r="F94" s="73">
        <v>2</v>
      </c>
      <c r="G94" s="79">
        <v>0</v>
      </c>
      <c r="H94" s="80">
        <v>2</v>
      </c>
    </row>
    <row r="95" spans="2:8" x14ac:dyDescent="0.25">
      <c r="B95" s="224"/>
      <c r="C95" s="71" t="s">
        <v>47</v>
      </c>
      <c r="D95" s="68">
        <v>0</v>
      </c>
      <c r="E95" s="73">
        <v>1</v>
      </c>
      <c r="F95" s="73">
        <v>2</v>
      </c>
      <c r="G95" s="79">
        <v>2</v>
      </c>
      <c r="H95" s="83">
        <v>1</v>
      </c>
    </row>
    <row r="96" spans="2:8" x14ac:dyDescent="0.25">
      <c r="B96" s="224"/>
      <c r="C96" s="71" t="s">
        <v>51</v>
      </c>
      <c r="D96" s="68">
        <v>0</v>
      </c>
      <c r="E96" s="73">
        <v>1</v>
      </c>
      <c r="F96" s="73">
        <v>1</v>
      </c>
      <c r="G96" s="79">
        <v>1</v>
      </c>
      <c r="H96" s="80">
        <v>0</v>
      </c>
    </row>
    <row r="97" spans="2:8" x14ac:dyDescent="0.25">
      <c r="B97" s="224"/>
      <c r="C97" s="71" t="s">
        <v>52</v>
      </c>
      <c r="D97" s="68">
        <v>0</v>
      </c>
      <c r="E97" s="73">
        <v>0</v>
      </c>
      <c r="F97" s="73">
        <v>1</v>
      </c>
      <c r="G97" s="79">
        <v>1</v>
      </c>
      <c r="H97" s="80">
        <v>0</v>
      </c>
    </row>
  </sheetData>
  <mergeCells count="10">
    <mergeCell ref="B94:B97"/>
    <mergeCell ref="B20:B23"/>
    <mergeCell ref="B24:B28"/>
    <mergeCell ref="B33:B41"/>
    <mergeCell ref="B42:B50"/>
    <mergeCell ref="B51:B59"/>
    <mergeCell ref="B60:B73"/>
    <mergeCell ref="B74:B82"/>
    <mergeCell ref="B83:B93"/>
    <mergeCell ref="B29:B3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C1D1E-1139-4DB4-A32C-E85F39433B05}">
  <dimension ref="A1:AT74"/>
  <sheetViews>
    <sheetView zoomScale="80" zoomScaleNormal="80" workbookViewId="0">
      <pane xSplit="1" topLeftCell="D1" activePane="topRight" state="frozen"/>
      <selection pane="topRight" activeCell="D60" sqref="D60"/>
    </sheetView>
  </sheetViews>
  <sheetFormatPr baseColWidth="10" defaultColWidth="8.7109375" defaultRowHeight="15" customHeight="1" x14ac:dyDescent="0.25"/>
  <cols>
    <col min="1" max="1" width="16.85546875" customWidth="1"/>
  </cols>
  <sheetData>
    <row r="1" spans="1:36" x14ac:dyDescent="0.25">
      <c r="A1" s="262" t="s">
        <v>294</v>
      </c>
      <c r="B1" s="263"/>
      <c r="C1" s="263"/>
      <c r="D1" s="263"/>
      <c r="E1" s="263"/>
      <c r="F1" s="263"/>
      <c r="G1" s="263"/>
      <c r="H1" s="263"/>
      <c r="I1" s="263"/>
      <c r="J1" s="263"/>
      <c r="K1" s="263"/>
      <c r="L1" s="263"/>
      <c r="M1" s="263"/>
      <c r="N1" s="263"/>
      <c r="O1" s="263"/>
      <c r="P1" s="263"/>
      <c r="Q1" s="263"/>
      <c r="R1" s="263"/>
      <c r="S1" s="263"/>
      <c r="T1" s="263"/>
      <c r="U1" s="263"/>
      <c r="V1" s="263"/>
      <c r="W1" s="263"/>
      <c r="X1" s="263"/>
      <c r="Y1" s="263"/>
      <c r="Z1" s="263"/>
      <c r="AA1" s="263"/>
      <c r="AB1" s="263"/>
      <c r="AC1" s="263"/>
      <c r="AD1" s="263"/>
      <c r="AE1" s="263"/>
      <c r="AF1" s="263"/>
      <c r="AG1" s="263"/>
      <c r="AH1" s="263"/>
      <c r="AI1" s="263"/>
      <c r="AJ1" s="264"/>
    </row>
    <row r="2" spans="1:36" ht="14.45" customHeight="1" x14ac:dyDescent="0.25">
      <c r="A2" s="173" t="s">
        <v>240</v>
      </c>
      <c r="B2" s="265" t="s">
        <v>241</v>
      </c>
      <c r="C2" s="266"/>
      <c r="D2" s="267"/>
      <c r="E2" s="268" t="s">
        <v>242</v>
      </c>
      <c r="F2" s="269"/>
      <c r="G2" s="270"/>
      <c r="H2" s="265" t="s">
        <v>133</v>
      </c>
      <c r="I2" s="266"/>
      <c r="J2" s="267"/>
      <c r="K2" s="268" t="s">
        <v>243</v>
      </c>
      <c r="L2" s="269"/>
      <c r="M2" s="270"/>
      <c r="N2" s="265" t="s">
        <v>136</v>
      </c>
      <c r="O2" s="266"/>
      <c r="P2" s="267"/>
      <c r="Q2" s="268" t="s">
        <v>91</v>
      </c>
      <c r="R2" s="269"/>
      <c r="S2" s="270"/>
      <c r="T2" s="265" t="s">
        <v>138</v>
      </c>
      <c r="U2" s="266"/>
      <c r="V2" s="267"/>
      <c r="W2" s="268" t="s">
        <v>137</v>
      </c>
      <c r="X2" s="269"/>
      <c r="Y2" s="270"/>
      <c r="Z2" s="265" t="s">
        <v>139</v>
      </c>
      <c r="AA2" s="266"/>
      <c r="AB2" s="267"/>
      <c r="AC2" s="268" t="s">
        <v>140</v>
      </c>
      <c r="AD2" s="269"/>
      <c r="AE2" s="270"/>
      <c r="AF2" s="294" t="s">
        <v>135</v>
      </c>
      <c r="AG2" s="295"/>
      <c r="AH2" s="296"/>
      <c r="AI2" s="174" t="s">
        <v>244</v>
      </c>
      <c r="AJ2" s="174" t="s">
        <v>245</v>
      </c>
    </row>
    <row r="3" spans="1:36" x14ac:dyDescent="0.25">
      <c r="A3" s="139" t="s">
        <v>246</v>
      </c>
      <c r="B3" s="175" cm="1">
        <f t="array" ref="B3">+SUM(B59:B62+D59:D62)</f>
        <v>8</v>
      </c>
      <c r="C3" s="176" cm="1">
        <f t="array" ref="C3">+SUM(C59:C62+E59:E62)</f>
        <v>8</v>
      </c>
      <c r="D3" s="52"/>
      <c r="E3" s="175" cm="1">
        <f t="array" ref="E3">+SUM(F60:F62+H60:H62)</f>
        <v>6</v>
      </c>
      <c r="F3" s="176" cm="1">
        <f t="array" ref="F3">+SUM(G60:G62+I60:I62)</f>
        <v>6</v>
      </c>
      <c r="G3" s="177"/>
      <c r="H3" s="175">
        <v>8</v>
      </c>
      <c r="I3" s="176">
        <v>8</v>
      </c>
      <c r="J3" s="177"/>
      <c r="K3" s="175" cm="1">
        <f t="array" ref="K3">+SUM(N60:N62+P60:P62)</f>
        <v>0</v>
      </c>
      <c r="L3" s="176" cm="1">
        <f t="array" ref="L3">+SUM(O60:O62+Q60:Q62)</f>
        <v>0</v>
      </c>
      <c r="M3" s="177"/>
      <c r="N3" s="175" cm="1">
        <f t="array" ref="N3">+SUM(R60:R62+T60:T62)</f>
        <v>0</v>
      </c>
      <c r="O3" s="176" cm="1">
        <f t="array" ref="O3">+SUM(S60:S62+U60:U62)</f>
        <v>0</v>
      </c>
      <c r="P3" s="177"/>
      <c r="Q3" s="175" cm="1">
        <f t="array" ref="Q3">+SUM(V60:V62+X60:X62)</f>
        <v>4</v>
      </c>
      <c r="R3" s="176" cm="1">
        <f t="array" ref="R3">+SUM(W60:W62+Y60:Y62)</f>
        <v>0</v>
      </c>
      <c r="S3" s="177"/>
      <c r="T3" s="175" cm="1">
        <f t="array" ref="T3">+SUM(Z60:Z62+AB60:AB62)</f>
        <v>0</v>
      </c>
      <c r="U3" s="176" cm="1">
        <f t="array" ref="U3">+SUM(AA60:AA62+AC60:AC62)</f>
        <v>0</v>
      </c>
      <c r="V3" s="177"/>
      <c r="W3" s="175" cm="1">
        <f t="array" ref="W3">+SUM(AD60:AD62+AF60:AF62)</f>
        <v>0</v>
      </c>
      <c r="X3" s="176" cm="1">
        <f t="array" ref="X3">+SUM(AE60:AE62+AG60:AG62)</f>
        <v>0</v>
      </c>
      <c r="Y3" s="177"/>
      <c r="Z3" s="175" cm="1">
        <f t="array" ref="Z3">+SUM(AH60:AH62+AJ60:AJ62)</f>
        <v>0</v>
      </c>
      <c r="AA3" s="176" cm="1">
        <f t="array" ref="AA3">+SUM(AI60:AI62+AK60:AK62)</f>
        <v>0</v>
      </c>
      <c r="AB3" s="177"/>
      <c r="AC3" s="175" cm="1">
        <f t="array" ref="AC3">+SUM(AL60:AL62+AN60:AN62)</f>
        <v>0</v>
      </c>
      <c r="AD3" s="176" cm="1">
        <f t="array" ref="AD3">+SUM(AM60:AM62+AO60:AO62)</f>
        <v>0</v>
      </c>
      <c r="AE3" s="177"/>
      <c r="AF3" s="175" cm="1">
        <f t="array" ref="AF3">+SUM(AP60:AP62+AR60:AR62)</f>
        <v>0</v>
      </c>
      <c r="AG3" s="176" cm="1">
        <f t="array" ref="AG3">+SUM(AQ60:AQ62+AS60:AS62)</f>
        <v>0</v>
      </c>
      <c r="AH3" s="177"/>
      <c r="AI3" s="139">
        <f>+B3+E3+H3+K3+N3+Q3+T3+W3+Z3+AC3</f>
        <v>26</v>
      </c>
      <c r="AJ3" s="139">
        <f>+C3+F3+I3+L3+O3+R3+U3+X3+AA3+AD3</f>
        <v>22</v>
      </c>
    </row>
    <row r="4" spans="1:36" x14ac:dyDescent="0.25">
      <c r="A4" s="139" t="s">
        <v>247</v>
      </c>
      <c r="B4" s="175" cm="1">
        <f t="array" ref="B4">+SUM(B63:B65+D63:D65)</f>
        <v>0</v>
      </c>
      <c r="C4" s="176" cm="1">
        <f t="array" ref="C4">+SUM(C63:C65+E63:E65)</f>
        <v>0</v>
      </c>
      <c r="D4" s="177"/>
      <c r="E4" s="175" cm="1">
        <f t="array" ref="E4">+SUM(F63:F65+H63:H65)</f>
        <v>0</v>
      </c>
      <c r="F4" s="176" cm="1">
        <f t="array" ref="F4">+SUM(G63:G65+I63:I65)</f>
        <v>0</v>
      </c>
      <c r="G4" s="177"/>
      <c r="H4" s="175">
        <v>2</v>
      </c>
      <c r="I4" s="176">
        <v>2</v>
      </c>
      <c r="J4" s="177"/>
      <c r="K4" s="175" cm="1">
        <f t="array" ref="K4">+SUM(N63:N65+P63:P65)</f>
        <v>10</v>
      </c>
      <c r="L4" s="176" cm="1">
        <f t="array" ref="L4">+SUM(O63:O65+Q63:Q65)</f>
        <v>0</v>
      </c>
      <c r="M4" s="177"/>
      <c r="N4" s="175" cm="1">
        <f t="array" ref="N4">+SUM(R63:R65+T63:T65)</f>
        <v>9</v>
      </c>
      <c r="O4" s="176" cm="1">
        <f t="array" ref="O4">+SUM(S63:S65+U63:U65)</f>
        <v>0</v>
      </c>
      <c r="P4" s="177"/>
      <c r="Q4" s="175" cm="1">
        <f t="array" ref="Q4">+SUM(V63:V65+X63:X65)</f>
        <v>6</v>
      </c>
      <c r="R4" s="176" cm="1">
        <f t="array" ref="R4">+SUM(W63:W65+Y63:Y65)</f>
        <v>0</v>
      </c>
      <c r="S4" s="177"/>
      <c r="T4" s="175" cm="1">
        <f t="array" ref="T4">+SUM(Z63:Z65+AB63:AB65)</f>
        <v>11</v>
      </c>
      <c r="U4" s="176" cm="1">
        <f t="array" ref="U4">+SUM(AA63:AA65+AC63:AC65)</f>
        <v>0</v>
      </c>
      <c r="V4" s="177"/>
      <c r="W4" s="175" cm="1">
        <f t="array" ref="W4">+SUM(AD63:AD65+AF63:AF65)</f>
        <v>11</v>
      </c>
      <c r="X4" s="176" cm="1">
        <f t="array" ref="X4">+SUM(AE63:AE65+AG63:AG65)</f>
        <v>0</v>
      </c>
      <c r="Y4" s="177"/>
      <c r="Z4" s="175" cm="1">
        <f t="array" ref="Z4">+SUM(AH63:AH65+AJ63:AJ65)</f>
        <v>11</v>
      </c>
      <c r="AA4" s="176" cm="1">
        <f t="array" ref="AA4">+SUM(AI63:AI65+AK63:AK65)</f>
        <v>0</v>
      </c>
      <c r="AB4" s="177"/>
      <c r="AC4" s="175" cm="1">
        <f t="array" ref="AC4">+SUM(AL63:AL65+AN63:AN65)</f>
        <v>5</v>
      </c>
      <c r="AD4" s="176" cm="1">
        <f t="array" ref="AD4">+SUM(AM63:AM65+AO63:AO65)</f>
        <v>3</v>
      </c>
      <c r="AE4" s="177"/>
      <c r="AF4" s="175" cm="1">
        <f t="array" ref="AF4">+SUM(AP63:AP65+AR63:AR65)</f>
        <v>0</v>
      </c>
      <c r="AG4" s="176" cm="1">
        <f t="array" ref="AG4">+SUM(AQ63:AQ65+AS63:AS65)</f>
        <v>0</v>
      </c>
      <c r="AH4" s="177"/>
      <c r="AI4" s="139">
        <f t="shared" ref="AI4:AI7" si="0">+B4+E4+H4+K4+N4+Q4+T4+W4+Z4+AC4</f>
        <v>65</v>
      </c>
      <c r="AJ4" s="139">
        <f>+C4+F4+I4+L4+O4+R4+U4+X4+AA4+AD4</f>
        <v>5</v>
      </c>
    </row>
    <row r="5" spans="1:36" x14ac:dyDescent="0.25">
      <c r="A5" s="139" t="s">
        <v>248</v>
      </c>
      <c r="B5" s="175" cm="1">
        <f t="array" ref="B5">+SUM(B66:B68+D66:D68)</f>
        <v>0</v>
      </c>
      <c r="C5" s="176" cm="1">
        <f t="array" ref="C5">+SUM(C66:C68+E66:E68)</f>
        <v>0</v>
      </c>
      <c r="D5" s="177"/>
      <c r="E5" s="175" cm="1">
        <f t="array" ref="E5">+SUM(F66:F68+H66:H68)</f>
        <v>0</v>
      </c>
      <c r="F5" s="176" cm="1">
        <f t="array" ref="F5">+SUM(G66:G68+I66:I68)</f>
        <v>0</v>
      </c>
      <c r="G5" s="177"/>
      <c r="H5" s="175" cm="1">
        <f t="array" ref="H5">+SUM(J66:J68+L66:L68)</f>
        <v>0</v>
      </c>
      <c r="I5" s="176" cm="1">
        <f t="array" ref="I5">+SUM(K66:K68+M66:M68)</f>
        <v>0</v>
      </c>
      <c r="J5" s="177"/>
      <c r="K5" s="175" cm="1">
        <f t="array" ref="K5">+SUM(N66:N68+P66:P68)</f>
        <v>5</v>
      </c>
      <c r="L5" s="176" cm="1">
        <f t="array" ref="L5">+SUM(O66:O68+Q66:Q68)</f>
        <v>0</v>
      </c>
      <c r="M5" s="177"/>
      <c r="N5" s="175" cm="1">
        <f t="array" ref="N5">+SUM(R66:R68+T66:T68)</f>
        <v>7</v>
      </c>
      <c r="O5" s="176" cm="1">
        <f t="array" ref="O5">+SUM(S66:S68+U66:U68)</f>
        <v>0</v>
      </c>
      <c r="P5" s="177"/>
      <c r="Q5" s="175" cm="1">
        <f t="array" ref="Q5">+SUM(V66:V68+X66:X68)</f>
        <v>3</v>
      </c>
      <c r="R5" s="176" cm="1">
        <f t="array" ref="R5">+SUM(W66:W68+Y66:Y68)</f>
        <v>0</v>
      </c>
      <c r="S5" s="177"/>
      <c r="T5" s="175" cm="1">
        <f t="array" ref="T5">+SUM(Z66:Z68+AB66:AB68)</f>
        <v>6</v>
      </c>
      <c r="U5" s="176" cm="1">
        <f t="array" ref="U5">+SUM(AA66:AA68+AC66:AC68)</f>
        <v>0</v>
      </c>
      <c r="V5" s="177"/>
      <c r="W5" s="175" cm="1">
        <f t="array" ref="W5">+SUM(AD66:AD68+AF66:AF68)</f>
        <v>7</v>
      </c>
      <c r="X5" s="176" cm="1">
        <f t="array" ref="X5">+SUM(AE66:AE68+AG66:AG68)</f>
        <v>0</v>
      </c>
      <c r="Y5" s="177"/>
      <c r="Z5" s="175" cm="1">
        <f t="array" ref="Z5">+SUM(AH66:AH68+AJ66:AJ68)</f>
        <v>5</v>
      </c>
      <c r="AA5" s="176" cm="1">
        <f t="array" ref="AA5">+SUM(AI66:AI68+AK66:AK68)</f>
        <v>0</v>
      </c>
      <c r="AB5" s="177"/>
      <c r="AC5" s="175" cm="1">
        <f t="array" ref="AC5">+SUM(AL66:AL68+AN66:AN68)</f>
        <v>2</v>
      </c>
      <c r="AD5" s="176" cm="1">
        <f t="array" ref="AD5">+SUM(AM66:AM68+AO66:AO68)</f>
        <v>0</v>
      </c>
      <c r="AE5" s="177"/>
      <c r="AF5" s="175" cm="1">
        <f t="array" ref="AF5">+SUM(AP66:AP68+AR66:AR68)</f>
        <v>0</v>
      </c>
      <c r="AG5" s="176" cm="1">
        <f t="array" ref="AG5">+SUM(AQ66:AQ68+AS66:AS68)</f>
        <v>0</v>
      </c>
      <c r="AH5" s="177"/>
      <c r="AI5" s="139">
        <f t="shared" si="0"/>
        <v>35</v>
      </c>
      <c r="AJ5" s="139">
        <f>+C5+F5+I5+L5+O5+R5+U5+X5+AA5+AD5</f>
        <v>0</v>
      </c>
    </row>
    <row r="6" spans="1:36" x14ac:dyDescent="0.25">
      <c r="A6" s="139" t="s">
        <v>249</v>
      </c>
      <c r="B6" s="175" cm="1">
        <f t="array" ref="B6">+SUM(B69:B71+D69:D71)</f>
        <v>0</v>
      </c>
      <c r="C6" s="176" cm="1">
        <f t="array" ref="C6">+SUM(C69:C71+E69:E71)</f>
        <v>0</v>
      </c>
      <c r="D6" s="177"/>
      <c r="E6" s="175" cm="1">
        <f t="array" ref="E6">+SUM(F69:F71+H69:H71)</f>
        <v>0</v>
      </c>
      <c r="F6" s="176" cm="1">
        <f t="array" ref="F6">+SUM(G67:G69+I67:I69)</f>
        <v>0</v>
      </c>
      <c r="G6" s="177"/>
      <c r="H6" s="175" cm="1">
        <f t="array" ref="H6">+SUM(J69:J71+L69:L71)</f>
        <v>0</v>
      </c>
      <c r="I6" s="176" cm="1">
        <f t="array" ref="I6">+SUM(K69:K71+M69:M71)</f>
        <v>0</v>
      </c>
      <c r="J6" s="177"/>
      <c r="K6" s="175" cm="1">
        <f t="array" ref="K6">+SUM(N69:N71+P69:P71)</f>
        <v>4</v>
      </c>
      <c r="L6" s="176" cm="1">
        <f t="array" ref="L6">+SUM(O69:O71+Q69:Q71)</f>
        <v>0</v>
      </c>
      <c r="M6" s="177"/>
      <c r="N6" s="175" cm="1">
        <f t="array" ref="N6">+SUM(R69:R71+T69:T71)</f>
        <v>3</v>
      </c>
      <c r="O6" s="176" cm="1">
        <f t="array" ref="O6">+SUM(S69:S71+U69:U71)</f>
        <v>0</v>
      </c>
      <c r="P6" s="177"/>
      <c r="Q6" s="175" cm="1">
        <f t="array" ref="Q6">+SUM(V69:V71+X69:X71)</f>
        <v>5</v>
      </c>
      <c r="R6" s="176" cm="1">
        <f t="array" ref="R6">+SUM(W69:W71+Y69:Y71)</f>
        <v>0</v>
      </c>
      <c r="S6" s="177"/>
      <c r="T6" s="175" cm="1">
        <f t="array" ref="T6">+SUM(Z69:Z71+AB69:AB71)</f>
        <v>3</v>
      </c>
      <c r="U6" s="176" cm="1">
        <f t="array" ref="U6">+SUM(AA69:AA71+AC69:AC71)</f>
        <v>0</v>
      </c>
      <c r="V6" s="177"/>
      <c r="W6" s="175" cm="1">
        <f t="array" ref="W6">+SUM(AD69:AD71+AF69:AF71)</f>
        <v>3</v>
      </c>
      <c r="X6" s="176" cm="1">
        <f t="array" ref="X6">+SUM(AE69:AE71+AG69:AG71)</f>
        <v>0</v>
      </c>
      <c r="Y6" s="177"/>
      <c r="Z6" s="175" cm="1">
        <f t="array" ref="Z6">+SUM(AH69:AH71+AJ69:AJ71)</f>
        <v>4</v>
      </c>
      <c r="AA6" s="176" cm="1">
        <f t="array" ref="AA6">+SUM(AI69:AI71+AK69:AK71)</f>
        <v>0</v>
      </c>
      <c r="AB6" s="177"/>
      <c r="AC6" s="175" cm="1">
        <f t="array" ref="AC6">+SUM(AL69:AL71+AN69:AN71)</f>
        <v>0</v>
      </c>
      <c r="AD6" s="176" cm="1">
        <f t="array" ref="AD6">+SUM(AM69:AM71+AO69:AO71)</f>
        <v>0</v>
      </c>
      <c r="AE6" s="177"/>
      <c r="AF6" s="175" cm="1">
        <f t="array" ref="AF6">+SUM(AP69:AP71+AR69:AR71)</f>
        <v>0</v>
      </c>
      <c r="AG6" s="176" cm="1">
        <f t="array" ref="AG6">+SUM(AQ69:AQ71+AS69:AS71)</f>
        <v>0</v>
      </c>
      <c r="AH6" s="177"/>
      <c r="AI6" s="139">
        <f t="shared" si="0"/>
        <v>22</v>
      </c>
      <c r="AJ6" s="139">
        <f>+C6+F6+I6+L6+O6+R6+U6+X6+AA6+AD6</f>
        <v>0</v>
      </c>
    </row>
    <row r="7" spans="1:36" x14ac:dyDescent="0.25">
      <c r="A7" s="139" t="s">
        <v>250</v>
      </c>
      <c r="B7" s="175" cm="1">
        <f t="array" ref="B7">+SUM(B72:B73+D72:D73)</f>
        <v>0</v>
      </c>
      <c r="C7" s="176" cm="1">
        <f t="array" ref="C7">+SUM(C72:C73+E72:E73)</f>
        <v>0</v>
      </c>
      <c r="D7" s="177"/>
      <c r="E7" s="175" cm="1">
        <f t="array" ref="E7">+SUM(F72:F73+H72:H73)</f>
        <v>0</v>
      </c>
      <c r="F7" s="176" cm="1">
        <f t="array" ref="F7">+SUM(G72:G73+I72:I73)</f>
        <v>0</v>
      </c>
      <c r="G7" s="177"/>
      <c r="H7" s="175" cm="1">
        <f t="array" ref="H7">+SUM(J72:J73+L72:L73)</f>
        <v>0</v>
      </c>
      <c r="I7" s="176" cm="1">
        <f t="array" ref="I7">+SUM(K72:K73+M72:M73)</f>
        <v>0</v>
      </c>
      <c r="J7" s="177"/>
      <c r="K7" s="175" cm="1">
        <f t="array" ref="K7">+SUM(N72:N73+P72:P73)</f>
        <v>0</v>
      </c>
      <c r="L7" s="176" cm="1">
        <f t="array" ref="L7">+SUM(O72:O73+Q72:Q73)</f>
        <v>0</v>
      </c>
      <c r="M7" s="177"/>
      <c r="N7" s="175" cm="1">
        <f t="array" ref="N7">+SUM(R72:R73+T72:T73)</f>
        <v>1</v>
      </c>
      <c r="O7" s="176" cm="1">
        <f t="array" ref="O7">+SUM(S72:S73+U72:U73)</f>
        <v>0</v>
      </c>
      <c r="P7" s="177"/>
      <c r="Q7" s="175" cm="1">
        <f t="array" ref="Q7">+SUM(V72:V73+X72:X73)</f>
        <v>5</v>
      </c>
      <c r="R7" s="176" cm="1">
        <f t="array" ref="R7">+SUM(W72:W73+Y72:Y73)</f>
        <v>0</v>
      </c>
      <c r="S7" s="177"/>
      <c r="T7" s="175" cm="1">
        <f t="array" ref="T7">+SUM(Z72:Z73+AB72:AB73)</f>
        <v>0</v>
      </c>
      <c r="U7" s="176" cm="1">
        <f t="array" ref="U7">+SUM(AA72:AA73+AC72:AC73)</f>
        <v>0</v>
      </c>
      <c r="V7" s="177"/>
      <c r="W7" s="175" cm="1">
        <f t="array" ref="W7">+SUM(AD72:AD73+AF72:AF73)</f>
        <v>0</v>
      </c>
      <c r="X7" s="176" cm="1">
        <f t="array" ref="X7">+SUM(AE72:AE73+AG72:AG73)</f>
        <v>0</v>
      </c>
      <c r="Y7" s="177"/>
      <c r="Z7" s="175" cm="1">
        <f t="array" ref="Z7">+SUM(AH72:AH73+AJ72:AJ73)</f>
        <v>0</v>
      </c>
      <c r="AA7" s="176" cm="1">
        <f t="array" ref="AA7">+SUM(AI72:AI73+AK72:AK73)</f>
        <v>0</v>
      </c>
      <c r="AB7" s="177"/>
      <c r="AC7" s="175" cm="1">
        <f t="array" ref="AC7">+SUM(AL72:AL73+AN72:AN73)</f>
        <v>0</v>
      </c>
      <c r="AD7" s="176" cm="1">
        <f t="array" ref="AD7">+SUM(AM72:AM73+AO72:AO73)</f>
        <v>0</v>
      </c>
      <c r="AE7" s="177"/>
      <c r="AF7" s="175" cm="1">
        <f t="array" ref="AF7">+SUM(AP72:AP73+AR72:AR73)</f>
        <v>0</v>
      </c>
      <c r="AG7" s="176" cm="1">
        <f t="array" ref="AG7">+SUM(AQ72:AQ73+AS72:AS73)</f>
        <v>0</v>
      </c>
      <c r="AH7" s="177"/>
      <c r="AI7" s="139">
        <f t="shared" si="0"/>
        <v>6</v>
      </c>
      <c r="AJ7" s="139">
        <f>+C7+F7+I7+L7+O7+R7+U7+X7+AA7+AD7</f>
        <v>0</v>
      </c>
    </row>
    <row r="8" spans="1:36" x14ac:dyDescent="0.25">
      <c r="A8" s="178" t="s">
        <v>141</v>
      </c>
      <c r="B8" s="179">
        <f t="shared" ref="B8:AJ8" si="1">SUM(B3:B7)</f>
        <v>8</v>
      </c>
      <c r="C8" s="179">
        <f t="shared" si="1"/>
        <v>8</v>
      </c>
      <c r="D8" s="179">
        <f t="shared" si="1"/>
        <v>0</v>
      </c>
      <c r="E8" s="179">
        <f t="shared" si="1"/>
        <v>6</v>
      </c>
      <c r="F8" s="179">
        <f t="shared" si="1"/>
        <v>6</v>
      </c>
      <c r="G8" s="179">
        <f t="shared" si="1"/>
        <v>0</v>
      </c>
      <c r="H8" s="179">
        <f t="shared" si="1"/>
        <v>10</v>
      </c>
      <c r="I8" s="179">
        <f t="shared" si="1"/>
        <v>10</v>
      </c>
      <c r="J8" s="179">
        <f t="shared" si="1"/>
        <v>0</v>
      </c>
      <c r="K8" s="179">
        <f t="shared" si="1"/>
        <v>19</v>
      </c>
      <c r="L8" s="179">
        <f t="shared" si="1"/>
        <v>0</v>
      </c>
      <c r="M8" s="179">
        <f t="shared" si="1"/>
        <v>0</v>
      </c>
      <c r="N8" s="179">
        <f t="shared" si="1"/>
        <v>20</v>
      </c>
      <c r="O8" s="179">
        <f t="shared" si="1"/>
        <v>0</v>
      </c>
      <c r="P8" s="179">
        <f t="shared" si="1"/>
        <v>0</v>
      </c>
      <c r="Q8" s="179">
        <f t="shared" si="1"/>
        <v>23</v>
      </c>
      <c r="R8" s="179">
        <f t="shared" si="1"/>
        <v>0</v>
      </c>
      <c r="S8" s="179">
        <f t="shared" si="1"/>
        <v>0</v>
      </c>
      <c r="T8" s="179">
        <f t="shared" si="1"/>
        <v>20</v>
      </c>
      <c r="U8" s="179">
        <f t="shared" si="1"/>
        <v>0</v>
      </c>
      <c r="V8" s="179">
        <f t="shared" si="1"/>
        <v>0</v>
      </c>
      <c r="W8" s="179">
        <f t="shared" si="1"/>
        <v>21</v>
      </c>
      <c r="X8" s="179">
        <f t="shared" si="1"/>
        <v>0</v>
      </c>
      <c r="Y8" s="179">
        <f t="shared" si="1"/>
        <v>0</v>
      </c>
      <c r="Z8" s="179">
        <f t="shared" si="1"/>
        <v>20</v>
      </c>
      <c r="AA8" s="179">
        <f t="shared" si="1"/>
        <v>0</v>
      </c>
      <c r="AB8" s="179">
        <f t="shared" si="1"/>
        <v>0</v>
      </c>
      <c r="AC8" s="179">
        <f t="shared" si="1"/>
        <v>7</v>
      </c>
      <c r="AD8" s="179">
        <f t="shared" si="1"/>
        <v>3</v>
      </c>
      <c r="AE8" s="179">
        <f t="shared" si="1"/>
        <v>0</v>
      </c>
      <c r="AF8" s="179">
        <f t="shared" si="1"/>
        <v>0</v>
      </c>
      <c r="AG8" s="179">
        <f t="shared" si="1"/>
        <v>0</v>
      </c>
      <c r="AH8" s="179">
        <f t="shared" si="1"/>
        <v>0</v>
      </c>
      <c r="AI8" s="180">
        <f>SUM(AI3:AI7)</f>
        <v>154</v>
      </c>
      <c r="AJ8" s="180">
        <f t="shared" si="1"/>
        <v>27</v>
      </c>
    </row>
    <row r="9" spans="1:36" x14ac:dyDescent="0.25">
      <c r="A9" s="181"/>
      <c r="B9" s="181"/>
      <c r="C9" s="181"/>
      <c r="D9" s="181"/>
      <c r="E9" s="181"/>
      <c r="F9" s="181"/>
      <c r="G9" s="181"/>
      <c r="H9" s="181"/>
      <c r="I9" s="181"/>
      <c r="J9" s="181"/>
      <c r="K9" s="181"/>
      <c r="L9" s="181"/>
      <c r="M9" s="181"/>
      <c r="N9" s="181"/>
      <c r="O9" s="181"/>
      <c r="P9" s="181"/>
      <c r="Q9" s="181"/>
      <c r="R9" s="181"/>
      <c r="S9" s="181"/>
      <c r="T9" s="181"/>
      <c r="U9" s="181"/>
      <c r="V9" s="181"/>
      <c r="W9" s="181"/>
      <c r="X9" s="181"/>
      <c r="Y9" s="181"/>
      <c r="Z9" s="181"/>
      <c r="AA9" s="181"/>
      <c r="AB9" s="181"/>
      <c r="AC9" s="181"/>
      <c r="AD9" s="181"/>
      <c r="AE9" s="181"/>
      <c r="AF9" s="181"/>
      <c r="AG9" s="181"/>
      <c r="AH9" s="181"/>
      <c r="AI9" s="181"/>
      <c r="AJ9" s="181"/>
    </row>
    <row r="10" spans="1:36" x14ac:dyDescent="0.25">
      <c r="A10" s="181"/>
      <c r="B10" s="181"/>
      <c r="C10" s="181"/>
      <c r="D10" s="181"/>
      <c r="E10" s="181"/>
      <c r="F10" s="181"/>
      <c r="G10" s="181"/>
      <c r="H10" s="181"/>
      <c r="I10" s="181"/>
      <c r="J10" s="181"/>
      <c r="K10" s="181"/>
      <c r="L10" s="181"/>
      <c r="M10" s="181"/>
      <c r="N10" s="181"/>
      <c r="O10" s="181"/>
      <c r="P10" s="181"/>
      <c r="Q10" s="181"/>
      <c r="R10" s="181"/>
      <c r="S10" s="181"/>
      <c r="T10" s="181"/>
      <c r="U10" s="181"/>
      <c r="V10" s="181"/>
      <c r="W10" s="181"/>
      <c r="X10" s="181"/>
      <c r="Y10" s="181"/>
      <c r="Z10" s="181"/>
      <c r="AA10" s="181"/>
      <c r="AB10" s="181"/>
      <c r="AC10" s="181"/>
      <c r="AD10" s="181"/>
      <c r="AE10" s="181"/>
      <c r="AF10" s="181"/>
      <c r="AG10" s="181"/>
      <c r="AH10" s="181"/>
      <c r="AI10" s="181"/>
      <c r="AJ10" s="181"/>
    </row>
    <row r="11" spans="1:36" x14ac:dyDescent="0.25">
      <c r="A11" s="262" t="s">
        <v>251</v>
      </c>
      <c r="B11" s="263"/>
      <c r="C11" s="263"/>
      <c r="D11" s="263"/>
      <c r="E11" s="263"/>
      <c r="F11" s="263"/>
      <c r="G11" s="263"/>
      <c r="H11" s="263"/>
      <c r="I11" s="263"/>
      <c r="J11" s="263"/>
      <c r="K11" s="263"/>
      <c r="L11" s="263"/>
      <c r="M11" s="263"/>
      <c r="N11" s="263"/>
      <c r="O11" s="263"/>
      <c r="P11" s="263"/>
      <c r="Q11" s="263"/>
      <c r="R11" s="263"/>
      <c r="S11" s="263"/>
      <c r="T11" s="263"/>
      <c r="U11" s="263"/>
      <c r="V11" s="263"/>
      <c r="W11" s="263"/>
      <c r="X11" s="263"/>
      <c r="Y11" s="263"/>
      <c r="Z11" s="263"/>
      <c r="AA11" s="263"/>
      <c r="AB11" s="263"/>
      <c r="AC11" s="263"/>
      <c r="AD11" s="263"/>
      <c r="AE11" s="263"/>
      <c r="AF11" s="263"/>
      <c r="AG11" s="263"/>
      <c r="AH11" s="263"/>
      <c r="AI11" s="263"/>
      <c r="AJ11" s="264"/>
    </row>
    <row r="12" spans="1:36" ht="14.45" customHeight="1" x14ac:dyDescent="0.25">
      <c r="A12" s="173" t="s">
        <v>240</v>
      </c>
      <c r="B12" s="265" t="s">
        <v>241</v>
      </c>
      <c r="C12" s="266"/>
      <c r="D12" s="267"/>
      <c r="E12" s="268" t="s">
        <v>242</v>
      </c>
      <c r="F12" s="269"/>
      <c r="G12" s="270"/>
      <c r="H12" s="265" t="s">
        <v>133</v>
      </c>
      <c r="I12" s="266"/>
      <c r="J12" s="267"/>
      <c r="K12" s="268" t="s">
        <v>243</v>
      </c>
      <c r="L12" s="269"/>
      <c r="M12" s="270"/>
      <c r="N12" s="265" t="s">
        <v>136</v>
      </c>
      <c r="O12" s="266"/>
      <c r="P12" s="267"/>
      <c r="Q12" s="268" t="s">
        <v>91</v>
      </c>
      <c r="R12" s="269"/>
      <c r="S12" s="270"/>
      <c r="T12" s="265" t="s">
        <v>138</v>
      </c>
      <c r="U12" s="266"/>
      <c r="V12" s="267"/>
      <c r="W12" s="268" t="s">
        <v>137</v>
      </c>
      <c r="X12" s="269"/>
      <c r="Y12" s="270"/>
      <c r="Z12" s="265" t="s">
        <v>139</v>
      </c>
      <c r="AA12" s="266"/>
      <c r="AB12" s="267"/>
      <c r="AC12" s="268" t="s">
        <v>140</v>
      </c>
      <c r="AD12" s="269"/>
      <c r="AE12" s="270"/>
      <c r="AF12" s="294" t="s">
        <v>135</v>
      </c>
      <c r="AG12" s="295"/>
      <c r="AH12" s="296"/>
      <c r="AI12" s="174" t="s">
        <v>244</v>
      </c>
      <c r="AJ12" s="174" t="s">
        <v>245</v>
      </c>
    </row>
    <row r="13" spans="1:36" x14ac:dyDescent="0.25">
      <c r="A13" s="139" t="s">
        <v>246</v>
      </c>
      <c r="B13" s="175">
        <v>11</v>
      </c>
      <c r="C13" s="176">
        <v>7</v>
      </c>
      <c r="D13" s="52">
        <v>3</v>
      </c>
      <c r="E13" s="175">
        <v>3</v>
      </c>
      <c r="F13" s="176">
        <v>4</v>
      </c>
      <c r="G13" s="177"/>
      <c r="H13" s="175">
        <v>2</v>
      </c>
      <c r="I13" s="176">
        <v>2</v>
      </c>
      <c r="J13" s="177"/>
      <c r="K13" s="175">
        <v>0</v>
      </c>
      <c r="L13" s="176">
        <v>0</v>
      </c>
      <c r="M13" s="177">
        <v>0</v>
      </c>
      <c r="N13" s="175">
        <v>0</v>
      </c>
      <c r="O13" s="176">
        <v>0</v>
      </c>
      <c r="P13" s="177">
        <v>0</v>
      </c>
      <c r="Q13" s="175"/>
      <c r="R13" s="176"/>
      <c r="S13" s="177"/>
      <c r="T13" s="175">
        <v>0</v>
      </c>
      <c r="U13" s="176">
        <v>0</v>
      </c>
      <c r="V13" s="177">
        <v>0</v>
      </c>
      <c r="W13" s="175"/>
      <c r="X13" s="176"/>
      <c r="Y13" s="177"/>
      <c r="Z13" s="175">
        <v>2</v>
      </c>
      <c r="AA13" s="176">
        <v>2</v>
      </c>
      <c r="AB13" s="177">
        <v>0</v>
      </c>
      <c r="AC13" s="175"/>
      <c r="AD13" s="176"/>
      <c r="AE13" s="177"/>
      <c r="AF13" s="175"/>
      <c r="AG13" s="176"/>
      <c r="AH13" s="177"/>
      <c r="AI13" s="139">
        <f t="shared" ref="AI13:AJ17" si="2">+B13+E13+H13+K13+N13+Q13+T13+W13+Z13+AC13+AF13</f>
        <v>18</v>
      </c>
      <c r="AJ13" s="139">
        <f t="shared" si="2"/>
        <v>15</v>
      </c>
    </row>
    <row r="14" spans="1:36" x14ac:dyDescent="0.25">
      <c r="A14" s="139" t="s">
        <v>247</v>
      </c>
      <c r="B14" s="175"/>
      <c r="C14" s="176"/>
      <c r="D14" s="177"/>
      <c r="E14" s="175"/>
      <c r="F14" s="176"/>
      <c r="G14" s="177"/>
      <c r="H14" s="175"/>
      <c r="I14" s="176"/>
      <c r="J14" s="177"/>
      <c r="K14" s="175">
        <v>5</v>
      </c>
      <c r="L14" s="176">
        <v>5</v>
      </c>
      <c r="M14" s="177">
        <v>1</v>
      </c>
      <c r="N14" s="175">
        <v>5</v>
      </c>
      <c r="O14" s="176">
        <v>4</v>
      </c>
      <c r="P14" s="177">
        <v>1</v>
      </c>
      <c r="Q14" s="175"/>
      <c r="R14" s="176"/>
      <c r="S14" s="177"/>
      <c r="T14" s="175">
        <v>6</v>
      </c>
      <c r="U14" s="176">
        <v>5</v>
      </c>
      <c r="V14" s="177">
        <v>1</v>
      </c>
      <c r="W14" s="175">
        <v>4</v>
      </c>
      <c r="X14" s="176">
        <v>4</v>
      </c>
      <c r="Y14" s="177"/>
      <c r="Z14" s="175">
        <v>7</v>
      </c>
      <c r="AA14" s="176">
        <v>8</v>
      </c>
      <c r="AB14" s="177">
        <v>1</v>
      </c>
      <c r="AC14" s="175">
        <v>4</v>
      </c>
      <c r="AD14" s="176">
        <v>4</v>
      </c>
      <c r="AE14" s="177"/>
      <c r="AF14" s="175"/>
      <c r="AG14" s="176"/>
      <c r="AH14" s="177"/>
      <c r="AI14" s="139">
        <f t="shared" si="2"/>
        <v>31</v>
      </c>
      <c r="AJ14" s="139">
        <f t="shared" si="2"/>
        <v>30</v>
      </c>
    </row>
    <row r="15" spans="1:36" x14ac:dyDescent="0.25">
      <c r="A15" s="139" t="s">
        <v>248</v>
      </c>
      <c r="B15" s="175"/>
      <c r="C15" s="176"/>
      <c r="D15" s="177"/>
      <c r="E15" s="175"/>
      <c r="F15" s="176"/>
      <c r="G15" s="177"/>
      <c r="H15" s="175"/>
      <c r="I15" s="176"/>
      <c r="J15" s="177"/>
      <c r="K15" s="175">
        <v>3</v>
      </c>
      <c r="L15" s="176">
        <v>3</v>
      </c>
      <c r="M15" s="177">
        <v>0</v>
      </c>
      <c r="N15" s="175">
        <v>4</v>
      </c>
      <c r="O15" s="176">
        <v>3</v>
      </c>
      <c r="P15" s="177">
        <v>1</v>
      </c>
      <c r="Q15" s="175"/>
      <c r="R15" s="176"/>
      <c r="S15" s="177"/>
      <c r="T15" s="175">
        <v>4</v>
      </c>
      <c r="U15" s="176">
        <v>4</v>
      </c>
      <c r="V15" s="177">
        <v>0</v>
      </c>
      <c r="W15" s="175">
        <v>1</v>
      </c>
      <c r="X15" s="176">
        <v>1</v>
      </c>
      <c r="Y15" s="177"/>
      <c r="Z15" s="175">
        <v>4</v>
      </c>
      <c r="AA15" s="176">
        <v>3</v>
      </c>
      <c r="AB15" s="177">
        <v>1</v>
      </c>
      <c r="AC15" s="175">
        <v>1</v>
      </c>
      <c r="AD15" s="176">
        <v>1</v>
      </c>
      <c r="AE15" s="177"/>
      <c r="AF15" s="175"/>
      <c r="AG15" s="176"/>
      <c r="AH15" s="177"/>
      <c r="AI15" s="139">
        <f t="shared" si="2"/>
        <v>17</v>
      </c>
      <c r="AJ15" s="139">
        <f t="shared" si="2"/>
        <v>15</v>
      </c>
    </row>
    <row r="16" spans="1:36" x14ac:dyDescent="0.25">
      <c r="A16" s="139" t="s">
        <v>249</v>
      </c>
      <c r="B16" s="175"/>
      <c r="C16" s="176"/>
      <c r="D16" s="177"/>
      <c r="E16" s="175"/>
      <c r="F16" s="176"/>
      <c r="G16" s="177"/>
      <c r="H16" s="175"/>
      <c r="I16" s="176"/>
      <c r="J16" s="177"/>
      <c r="K16" s="175"/>
      <c r="L16" s="176"/>
      <c r="M16" s="177"/>
      <c r="N16" s="175"/>
      <c r="O16" s="176"/>
      <c r="P16" s="177"/>
      <c r="Q16" s="175">
        <v>2</v>
      </c>
      <c r="R16" s="176">
        <v>1</v>
      </c>
      <c r="S16" s="177"/>
      <c r="T16" s="175"/>
      <c r="U16" s="176"/>
      <c r="V16" s="177"/>
      <c r="W16" s="175"/>
      <c r="X16" s="176"/>
      <c r="Y16" s="177"/>
      <c r="Z16" s="175"/>
      <c r="AA16" s="176"/>
      <c r="AB16" s="177"/>
      <c r="AC16" s="175"/>
      <c r="AD16" s="176"/>
      <c r="AE16" s="177"/>
      <c r="AF16" s="175"/>
      <c r="AG16" s="176"/>
      <c r="AH16" s="177"/>
      <c r="AI16" s="139">
        <f t="shared" si="2"/>
        <v>2</v>
      </c>
      <c r="AJ16" s="139">
        <f t="shared" si="2"/>
        <v>1</v>
      </c>
    </row>
    <row r="17" spans="1:36" x14ac:dyDescent="0.25">
      <c r="A17" s="139" t="s">
        <v>250</v>
      </c>
      <c r="B17" s="175"/>
      <c r="C17" s="176"/>
      <c r="D17" s="177"/>
      <c r="E17" s="175"/>
      <c r="F17" s="176"/>
      <c r="G17" s="177"/>
      <c r="H17" s="175"/>
      <c r="I17" s="176"/>
      <c r="J17" s="177"/>
      <c r="K17" s="175"/>
      <c r="L17" s="176"/>
      <c r="M17" s="177"/>
      <c r="N17" s="175"/>
      <c r="O17" s="176"/>
      <c r="P17" s="177"/>
      <c r="Q17" s="175">
        <v>2</v>
      </c>
      <c r="R17" s="176">
        <v>1</v>
      </c>
      <c r="S17" s="177"/>
      <c r="T17" s="175"/>
      <c r="U17" s="176"/>
      <c r="V17" s="177"/>
      <c r="W17" s="175"/>
      <c r="X17" s="176"/>
      <c r="Y17" s="177"/>
      <c r="Z17" s="175"/>
      <c r="AA17" s="176"/>
      <c r="AB17" s="177"/>
      <c r="AC17" s="175"/>
      <c r="AD17" s="176"/>
      <c r="AE17" s="177"/>
      <c r="AF17" s="175"/>
      <c r="AG17" s="176"/>
      <c r="AH17" s="177"/>
      <c r="AI17" s="139">
        <f t="shared" si="2"/>
        <v>2</v>
      </c>
      <c r="AJ17" s="139">
        <f t="shared" si="2"/>
        <v>1</v>
      </c>
    </row>
    <row r="18" spans="1:36" x14ac:dyDescent="0.25">
      <c r="A18" s="178" t="s">
        <v>141</v>
      </c>
      <c r="B18" s="179">
        <f t="shared" ref="B18:AJ18" si="3">SUM(B13:B17)</f>
        <v>11</v>
      </c>
      <c r="C18" s="179">
        <f t="shared" si="3"/>
        <v>7</v>
      </c>
      <c r="D18" s="179">
        <f t="shared" si="3"/>
        <v>3</v>
      </c>
      <c r="E18" s="179">
        <f t="shared" si="3"/>
        <v>3</v>
      </c>
      <c r="F18" s="179">
        <f t="shared" si="3"/>
        <v>4</v>
      </c>
      <c r="G18" s="179">
        <f t="shared" si="3"/>
        <v>0</v>
      </c>
      <c r="H18" s="179">
        <f t="shared" si="3"/>
        <v>2</v>
      </c>
      <c r="I18" s="179">
        <f t="shared" si="3"/>
        <v>2</v>
      </c>
      <c r="J18" s="179">
        <f t="shared" si="3"/>
        <v>0</v>
      </c>
      <c r="K18" s="179">
        <f t="shared" si="3"/>
        <v>8</v>
      </c>
      <c r="L18" s="179">
        <f t="shared" si="3"/>
        <v>8</v>
      </c>
      <c r="M18" s="179">
        <f t="shared" si="3"/>
        <v>1</v>
      </c>
      <c r="N18" s="179">
        <f t="shared" si="3"/>
        <v>9</v>
      </c>
      <c r="O18" s="179">
        <f t="shared" si="3"/>
        <v>7</v>
      </c>
      <c r="P18" s="179">
        <f t="shared" si="3"/>
        <v>2</v>
      </c>
      <c r="Q18" s="179">
        <f t="shared" si="3"/>
        <v>4</v>
      </c>
      <c r="R18" s="179">
        <f t="shared" si="3"/>
        <v>2</v>
      </c>
      <c r="S18" s="179">
        <f t="shared" si="3"/>
        <v>0</v>
      </c>
      <c r="T18" s="179">
        <f t="shared" si="3"/>
        <v>10</v>
      </c>
      <c r="U18" s="179">
        <f t="shared" si="3"/>
        <v>9</v>
      </c>
      <c r="V18" s="179">
        <f t="shared" si="3"/>
        <v>1</v>
      </c>
      <c r="W18" s="179">
        <f t="shared" si="3"/>
        <v>5</v>
      </c>
      <c r="X18" s="179">
        <f t="shared" si="3"/>
        <v>5</v>
      </c>
      <c r="Y18" s="179">
        <f t="shared" si="3"/>
        <v>0</v>
      </c>
      <c r="Z18" s="179">
        <f t="shared" si="3"/>
        <v>13</v>
      </c>
      <c r="AA18" s="179">
        <f t="shared" si="3"/>
        <v>13</v>
      </c>
      <c r="AB18" s="179">
        <f t="shared" si="3"/>
        <v>2</v>
      </c>
      <c r="AC18" s="179">
        <f t="shared" si="3"/>
        <v>5</v>
      </c>
      <c r="AD18" s="179">
        <f t="shared" si="3"/>
        <v>5</v>
      </c>
      <c r="AE18" s="179">
        <f t="shared" si="3"/>
        <v>0</v>
      </c>
      <c r="AF18" s="179">
        <f t="shared" si="3"/>
        <v>0</v>
      </c>
      <c r="AG18" s="179">
        <f t="shared" si="3"/>
        <v>0</v>
      </c>
      <c r="AH18" s="179">
        <f t="shared" si="3"/>
        <v>0</v>
      </c>
      <c r="AI18" s="180">
        <f t="shared" si="3"/>
        <v>70</v>
      </c>
      <c r="AJ18" s="180">
        <f t="shared" si="3"/>
        <v>62</v>
      </c>
    </row>
    <row r="20" spans="1:36" x14ac:dyDescent="0.25">
      <c r="A20" s="262" t="s">
        <v>252</v>
      </c>
      <c r="B20" s="263"/>
      <c r="C20" s="263"/>
      <c r="D20" s="263"/>
      <c r="E20" s="263"/>
      <c r="F20" s="263"/>
      <c r="G20" s="263"/>
      <c r="H20" s="263"/>
      <c r="I20" s="263"/>
      <c r="J20" s="263"/>
      <c r="K20" s="263"/>
      <c r="L20" s="263"/>
      <c r="M20" s="263"/>
      <c r="N20" s="263"/>
      <c r="O20" s="263"/>
      <c r="P20" s="263"/>
      <c r="Q20" s="263"/>
      <c r="R20" s="263"/>
      <c r="S20" s="263"/>
      <c r="T20" s="263"/>
      <c r="U20" s="263"/>
      <c r="V20" s="263"/>
      <c r="W20" s="263"/>
      <c r="X20" s="263"/>
      <c r="Y20" s="263"/>
      <c r="Z20" s="263"/>
      <c r="AA20" s="263"/>
      <c r="AB20" s="263"/>
      <c r="AC20" s="263"/>
      <c r="AD20" s="263"/>
      <c r="AE20" s="263"/>
      <c r="AF20" s="263"/>
      <c r="AG20" s="263"/>
      <c r="AH20" s="263"/>
      <c r="AI20" s="263"/>
      <c r="AJ20" s="264"/>
    </row>
    <row r="21" spans="1:36" ht="14.45" customHeight="1" x14ac:dyDescent="0.25">
      <c r="A21" s="173" t="s">
        <v>240</v>
      </c>
      <c r="B21" s="265" t="s">
        <v>241</v>
      </c>
      <c r="C21" s="266"/>
      <c r="D21" s="267"/>
      <c r="E21" s="268" t="s">
        <v>242</v>
      </c>
      <c r="F21" s="269"/>
      <c r="G21" s="270"/>
      <c r="H21" s="265" t="s">
        <v>133</v>
      </c>
      <c r="I21" s="266"/>
      <c r="J21" s="267"/>
      <c r="K21" s="268" t="s">
        <v>243</v>
      </c>
      <c r="L21" s="269"/>
      <c r="M21" s="270"/>
      <c r="N21" s="265" t="s">
        <v>136</v>
      </c>
      <c r="O21" s="266"/>
      <c r="P21" s="267"/>
      <c r="Q21" s="268" t="s">
        <v>91</v>
      </c>
      <c r="R21" s="269"/>
      <c r="S21" s="270"/>
      <c r="T21" s="265" t="s">
        <v>138</v>
      </c>
      <c r="U21" s="266"/>
      <c r="V21" s="267"/>
      <c r="W21" s="268" t="s">
        <v>137</v>
      </c>
      <c r="X21" s="269"/>
      <c r="Y21" s="270"/>
      <c r="Z21" s="265" t="s">
        <v>139</v>
      </c>
      <c r="AA21" s="266"/>
      <c r="AB21" s="267"/>
      <c r="AC21" s="268" t="s">
        <v>140</v>
      </c>
      <c r="AD21" s="269"/>
      <c r="AE21" s="270"/>
      <c r="AF21" s="294" t="s">
        <v>135</v>
      </c>
      <c r="AG21" s="295"/>
      <c r="AH21" s="296"/>
      <c r="AI21" s="174" t="s">
        <v>244</v>
      </c>
      <c r="AJ21" s="174" t="s">
        <v>245</v>
      </c>
    </row>
    <row r="22" spans="1:36" x14ac:dyDescent="0.25">
      <c r="A22" s="139" t="s">
        <v>246</v>
      </c>
      <c r="B22" s="175">
        <f t="shared" ref="B22:AJ22" si="4">+B3-B13</f>
        <v>-3</v>
      </c>
      <c r="C22" s="176">
        <f t="shared" si="4"/>
        <v>1</v>
      </c>
      <c r="D22" s="52">
        <f t="shared" si="4"/>
        <v>-3</v>
      </c>
      <c r="E22" s="175">
        <f t="shared" si="4"/>
        <v>3</v>
      </c>
      <c r="F22" s="176">
        <f t="shared" si="4"/>
        <v>2</v>
      </c>
      <c r="G22" s="177">
        <f t="shared" si="4"/>
        <v>0</v>
      </c>
      <c r="H22" s="175">
        <f t="shared" si="4"/>
        <v>6</v>
      </c>
      <c r="I22" s="176">
        <f t="shared" si="4"/>
        <v>6</v>
      </c>
      <c r="J22" s="177">
        <f t="shared" si="4"/>
        <v>0</v>
      </c>
      <c r="K22" s="175">
        <f t="shared" si="4"/>
        <v>0</v>
      </c>
      <c r="L22" s="176">
        <f t="shared" si="4"/>
        <v>0</v>
      </c>
      <c r="M22" s="177">
        <f t="shared" si="4"/>
        <v>0</v>
      </c>
      <c r="N22" s="175">
        <f t="shared" si="4"/>
        <v>0</v>
      </c>
      <c r="O22" s="176">
        <f t="shared" si="4"/>
        <v>0</v>
      </c>
      <c r="P22" s="177">
        <f t="shared" si="4"/>
        <v>0</v>
      </c>
      <c r="Q22" s="175">
        <f t="shared" si="4"/>
        <v>4</v>
      </c>
      <c r="R22" s="176">
        <f t="shared" si="4"/>
        <v>0</v>
      </c>
      <c r="S22" s="177">
        <f t="shared" si="4"/>
        <v>0</v>
      </c>
      <c r="T22" s="175">
        <f t="shared" si="4"/>
        <v>0</v>
      </c>
      <c r="U22" s="176">
        <f t="shared" si="4"/>
        <v>0</v>
      </c>
      <c r="V22" s="177">
        <f t="shared" si="4"/>
        <v>0</v>
      </c>
      <c r="W22" s="175">
        <f t="shared" si="4"/>
        <v>0</v>
      </c>
      <c r="X22" s="176">
        <f t="shared" si="4"/>
        <v>0</v>
      </c>
      <c r="Y22" s="177">
        <f t="shared" si="4"/>
        <v>0</v>
      </c>
      <c r="Z22" s="175">
        <f t="shared" si="4"/>
        <v>-2</v>
      </c>
      <c r="AA22" s="176">
        <f t="shared" si="4"/>
        <v>-2</v>
      </c>
      <c r="AB22" s="177">
        <f t="shared" si="4"/>
        <v>0</v>
      </c>
      <c r="AC22" s="175">
        <f t="shared" si="4"/>
        <v>0</v>
      </c>
      <c r="AD22" s="176">
        <f t="shared" si="4"/>
        <v>0</v>
      </c>
      <c r="AE22" s="177">
        <f t="shared" si="4"/>
        <v>0</v>
      </c>
      <c r="AF22" s="175">
        <f t="shared" si="4"/>
        <v>0</v>
      </c>
      <c r="AG22" s="176">
        <f t="shared" si="4"/>
        <v>0</v>
      </c>
      <c r="AH22" s="177">
        <f t="shared" si="4"/>
        <v>0</v>
      </c>
      <c r="AI22" s="139">
        <f t="shared" si="4"/>
        <v>8</v>
      </c>
      <c r="AJ22" s="139">
        <f t="shared" si="4"/>
        <v>7</v>
      </c>
    </row>
    <row r="23" spans="1:36" x14ac:dyDescent="0.25">
      <c r="A23" s="139" t="s">
        <v>247</v>
      </c>
      <c r="B23" s="175">
        <f t="shared" ref="B23:AJ23" si="5">+B4-B14</f>
        <v>0</v>
      </c>
      <c r="C23" s="176">
        <f t="shared" si="5"/>
        <v>0</v>
      </c>
      <c r="D23" s="177">
        <f t="shared" si="5"/>
        <v>0</v>
      </c>
      <c r="E23" s="175">
        <f t="shared" si="5"/>
        <v>0</v>
      </c>
      <c r="F23" s="176">
        <f t="shared" si="5"/>
        <v>0</v>
      </c>
      <c r="G23" s="177">
        <f t="shared" si="5"/>
        <v>0</v>
      </c>
      <c r="H23" s="175">
        <f t="shared" si="5"/>
        <v>2</v>
      </c>
      <c r="I23" s="176">
        <f t="shared" si="5"/>
        <v>2</v>
      </c>
      <c r="J23" s="177">
        <f t="shared" si="5"/>
        <v>0</v>
      </c>
      <c r="K23" s="175">
        <f t="shared" si="5"/>
        <v>5</v>
      </c>
      <c r="L23" s="176">
        <f t="shared" si="5"/>
        <v>-5</v>
      </c>
      <c r="M23" s="177">
        <f t="shared" si="5"/>
        <v>-1</v>
      </c>
      <c r="N23" s="175">
        <f t="shared" si="5"/>
        <v>4</v>
      </c>
      <c r="O23" s="176">
        <f t="shared" si="5"/>
        <v>-4</v>
      </c>
      <c r="P23" s="177">
        <f t="shared" si="5"/>
        <v>-1</v>
      </c>
      <c r="Q23" s="175">
        <f t="shared" si="5"/>
        <v>6</v>
      </c>
      <c r="R23" s="176">
        <f t="shared" si="5"/>
        <v>0</v>
      </c>
      <c r="S23" s="177">
        <f t="shared" si="5"/>
        <v>0</v>
      </c>
      <c r="T23" s="175">
        <f t="shared" si="5"/>
        <v>5</v>
      </c>
      <c r="U23" s="176">
        <f t="shared" si="5"/>
        <v>-5</v>
      </c>
      <c r="V23" s="177">
        <f t="shared" si="5"/>
        <v>-1</v>
      </c>
      <c r="W23" s="175">
        <f t="shared" si="5"/>
        <v>7</v>
      </c>
      <c r="X23" s="176">
        <f t="shared" si="5"/>
        <v>-4</v>
      </c>
      <c r="Y23" s="177">
        <f t="shared" si="5"/>
        <v>0</v>
      </c>
      <c r="Z23" s="175">
        <f t="shared" si="5"/>
        <v>4</v>
      </c>
      <c r="AA23" s="176">
        <f t="shared" si="5"/>
        <v>-8</v>
      </c>
      <c r="AB23" s="177">
        <f t="shared" si="5"/>
        <v>-1</v>
      </c>
      <c r="AC23" s="175">
        <f t="shared" si="5"/>
        <v>1</v>
      </c>
      <c r="AD23" s="176">
        <f t="shared" si="5"/>
        <v>-1</v>
      </c>
      <c r="AE23" s="177">
        <f t="shared" si="5"/>
        <v>0</v>
      </c>
      <c r="AF23" s="175">
        <f t="shared" si="5"/>
        <v>0</v>
      </c>
      <c r="AG23" s="176">
        <f t="shared" si="5"/>
        <v>0</v>
      </c>
      <c r="AH23" s="177">
        <f t="shared" si="5"/>
        <v>0</v>
      </c>
      <c r="AI23" s="139">
        <f t="shared" si="5"/>
        <v>34</v>
      </c>
      <c r="AJ23" s="139">
        <f t="shared" si="5"/>
        <v>-25</v>
      </c>
    </row>
    <row r="24" spans="1:36" x14ac:dyDescent="0.25">
      <c r="A24" s="139" t="s">
        <v>248</v>
      </c>
      <c r="B24" s="175">
        <f t="shared" ref="B24:AJ24" si="6">+B5-B15</f>
        <v>0</v>
      </c>
      <c r="C24" s="176">
        <f t="shared" si="6"/>
        <v>0</v>
      </c>
      <c r="D24" s="177">
        <f t="shared" si="6"/>
        <v>0</v>
      </c>
      <c r="E24" s="175">
        <f t="shared" si="6"/>
        <v>0</v>
      </c>
      <c r="F24" s="176">
        <f t="shared" si="6"/>
        <v>0</v>
      </c>
      <c r="G24" s="177">
        <f t="shared" si="6"/>
        <v>0</v>
      </c>
      <c r="H24" s="175">
        <f t="shared" si="6"/>
        <v>0</v>
      </c>
      <c r="I24" s="176">
        <f t="shared" si="6"/>
        <v>0</v>
      </c>
      <c r="J24" s="177">
        <f t="shared" si="6"/>
        <v>0</v>
      </c>
      <c r="K24" s="175">
        <f t="shared" si="6"/>
        <v>2</v>
      </c>
      <c r="L24" s="176">
        <f t="shared" si="6"/>
        <v>-3</v>
      </c>
      <c r="M24" s="177">
        <f t="shared" si="6"/>
        <v>0</v>
      </c>
      <c r="N24" s="175">
        <f t="shared" si="6"/>
        <v>3</v>
      </c>
      <c r="O24" s="176">
        <f t="shared" si="6"/>
        <v>-3</v>
      </c>
      <c r="P24" s="177">
        <f t="shared" si="6"/>
        <v>-1</v>
      </c>
      <c r="Q24" s="175">
        <f t="shared" si="6"/>
        <v>3</v>
      </c>
      <c r="R24" s="176">
        <f t="shared" si="6"/>
        <v>0</v>
      </c>
      <c r="S24" s="177">
        <f t="shared" si="6"/>
        <v>0</v>
      </c>
      <c r="T24" s="175">
        <f t="shared" si="6"/>
        <v>2</v>
      </c>
      <c r="U24" s="176">
        <f t="shared" si="6"/>
        <v>-4</v>
      </c>
      <c r="V24" s="177">
        <f t="shared" si="6"/>
        <v>0</v>
      </c>
      <c r="W24" s="175">
        <f t="shared" si="6"/>
        <v>6</v>
      </c>
      <c r="X24" s="176">
        <f t="shared" si="6"/>
        <v>-1</v>
      </c>
      <c r="Y24" s="177">
        <f t="shared" si="6"/>
        <v>0</v>
      </c>
      <c r="Z24" s="175">
        <f t="shared" si="6"/>
        <v>1</v>
      </c>
      <c r="AA24" s="176">
        <f t="shared" si="6"/>
        <v>-3</v>
      </c>
      <c r="AB24" s="177">
        <f t="shared" si="6"/>
        <v>-1</v>
      </c>
      <c r="AC24" s="175">
        <f t="shared" si="6"/>
        <v>1</v>
      </c>
      <c r="AD24" s="176">
        <f t="shared" si="6"/>
        <v>-1</v>
      </c>
      <c r="AE24" s="177">
        <f t="shared" si="6"/>
        <v>0</v>
      </c>
      <c r="AF24" s="175">
        <f t="shared" si="6"/>
        <v>0</v>
      </c>
      <c r="AG24" s="176">
        <f t="shared" si="6"/>
        <v>0</v>
      </c>
      <c r="AH24" s="177">
        <f t="shared" si="6"/>
        <v>0</v>
      </c>
      <c r="AI24" s="139">
        <f t="shared" si="6"/>
        <v>18</v>
      </c>
      <c r="AJ24" s="139">
        <f t="shared" si="6"/>
        <v>-15</v>
      </c>
    </row>
    <row r="25" spans="1:36" x14ac:dyDescent="0.25">
      <c r="A25" s="139" t="s">
        <v>249</v>
      </c>
      <c r="B25" s="175">
        <f t="shared" ref="B25:AJ25" si="7">+B6-B16</f>
        <v>0</v>
      </c>
      <c r="C25" s="176">
        <f t="shared" si="7"/>
        <v>0</v>
      </c>
      <c r="D25" s="177">
        <f t="shared" si="7"/>
        <v>0</v>
      </c>
      <c r="E25" s="175">
        <f t="shared" si="7"/>
        <v>0</v>
      </c>
      <c r="F25" s="176">
        <f t="shared" si="7"/>
        <v>0</v>
      </c>
      <c r="G25" s="177">
        <f t="shared" si="7"/>
        <v>0</v>
      </c>
      <c r="H25" s="175">
        <f t="shared" si="7"/>
        <v>0</v>
      </c>
      <c r="I25" s="176">
        <f t="shared" si="7"/>
        <v>0</v>
      </c>
      <c r="J25" s="177">
        <f t="shared" si="7"/>
        <v>0</v>
      </c>
      <c r="K25" s="175">
        <f t="shared" si="7"/>
        <v>4</v>
      </c>
      <c r="L25" s="176">
        <f t="shared" si="7"/>
        <v>0</v>
      </c>
      <c r="M25" s="177">
        <f t="shared" si="7"/>
        <v>0</v>
      </c>
      <c r="N25" s="175">
        <f t="shared" si="7"/>
        <v>3</v>
      </c>
      <c r="O25" s="176">
        <f t="shared" si="7"/>
        <v>0</v>
      </c>
      <c r="P25" s="177">
        <f t="shared" si="7"/>
        <v>0</v>
      </c>
      <c r="Q25" s="175">
        <f t="shared" si="7"/>
        <v>3</v>
      </c>
      <c r="R25" s="176">
        <f t="shared" si="7"/>
        <v>-1</v>
      </c>
      <c r="S25" s="177">
        <f t="shared" si="7"/>
        <v>0</v>
      </c>
      <c r="T25" s="175">
        <f t="shared" si="7"/>
        <v>3</v>
      </c>
      <c r="U25" s="176">
        <f t="shared" si="7"/>
        <v>0</v>
      </c>
      <c r="V25" s="177">
        <f t="shared" si="7"/>
        <v>0</v>
      </c>
      <c r="W25" s="175">
        <f t="shared" si="7"/>
        <v>3</v>
      </c>
      <c r="X25" s="176">
        <f t="shared" si="7"/>
        <v>0</v>
      </c>
      <c r="Y25" s="177">
        <f t="shared" si="7"/>
        <v>0</v>
      </c>
      <c r="Z25" s="175">
        <f t="shared" si="7"/>
        <v>4</v>
      </c>
      <c r="AA25" s="176">
        <f t="shared" si="7"/>
        <v>0</v>
      </c>
      <c r="AB25" s="177">
        <f t="shared" si="7"/>
        <v>0</v>
      </c>
      <c r="AC25" s="175">
        <f t="shared" si="7"/>
        <v>0</v>
      </c>
      <c r="AD25" s="176">
        <f t="shared" si="7"/>
        <v>0</v>
      </c>
      <c r="AE25" s="177">
        <f t="shared" si="7"/>
        <v>0</v>
      </c>
      <c r="AF25" s="175">
        <f t="shared" si="7"/>
        <v>0</v>
      </c>
      <c r="AG25" s="176">
        <f t="shared" si="7"/>
        <v>0</v>
      </c>
      <c r="AH25" s="177">
        <f t="shared" si="7"/>
        <v>0</v>
      </c>
      <c r="AI25" s="139">
        <f t="shared" si="7"/>
        <v>20</v>
      </c>
      <c r="AJ25" s="139">
        <f t="shared" si="7"/>
        <v>-1</v>
      </c>
    </row>
    <row r="26" spans="1:36" x14ac:dyDescent="0.25">
      <c r="A26" s="139" t="s">
        <v>250</v>
      </c>
      <c r="B26" s="175">
        <f t="shared" ref="B26:AJ26" si="8">+B7-B17</f>
        <v>0</v>
      </c>
      <c r="C26" s="176">
        <f t="shared" si="8"/>
        <v>0</v>
      </c>
      <c r="D26" s="177">
        <f t="shared" si="8"/>
        <v>0</v>
      </c>
      <c r="E26" s="175">
        <f t="shared" si="8"/>
        <v>0</v>
      </c>
      <c r="F26" s="176">
        <f t="shared" si="8"/>
        <v>0</v>
      </c>
      <c r="G26" s="177">
        <f t="shared" si="8"/>
        <v>0</v>
      </c>
      <c r="H26" s="175">
        <f t="shared" si="8"/>
        <v>0</v>
      </c>
      <c r="I26" s="176">
        <f t="shared" si="8"/>
        <v>0</v>
      </c>
      <c r="J26" s="177">
        <f t="shared" si="8"/>
        <v>0</v>
      </c>
      <c r="K26" s="175">
        <f t="shared" si="8"/>
        <v>0</v>
      </c>
      <c r="L26" s="176">
        <f t="shared" si="8"/>
        <v>0</v>
      </c>
      <c r="M26" s="177">
        <f t="shared" si="8"/>
        <v>0</v>
      </c>
      <c r="N26" s="175">
        <f t="shared" si="8"/>
        <v>1</v>
      </c>
      <c r="O26" s="176">
        <f t="shared" si="8"/>
        <v>0</v>
      </c>
      <c r="P26" s="177">
        <f t="shared" si="8"/>
        <v>0</v>
      </c>
      <c r="Q26" s="175">
        <f t="shared" si="8"/>
        <v>3</v>
      </c>
      <c r="R26" s="176">
        <f t="shared" si="8"/>
        <v>-1</v>
      </c>
      <c r="S26" s="177">
        <f t="shared" si="8"/>
        <v>0</v>
      </c>
      <c r="T26" s="175">
        <f t="shared" si="8"/>
        <v>0</v>
      </c>
      <c r="U26" s="176">
        <f t="shared" si="8"/>
        <v>0</v>
      </c>
      <c r="V26" s="177">
        <f t="shared" si="8"/>
        <v>0</v>
      </c>
      <c r="W26" s="175">
        <f t="shared" si="8"/>
        <v>0</v>
      </c>
      <c r="X26" s="176">
        <f t="shared" si="8"/>
        <v>0</v>
      </c>
      <c r="Y26" s="177">
        <f t="shared" si="8"/>
        <v>0</v>
      </c>
      <c r="Z26" s="175">
        <f t="shared" si="8"/>
        <v>0</v>
      </c>
      <c r="AA26" s="176">
        <f t="shared" si="8"/>
        <v>0</v>
      </c>
      <c r="AB26" s="177">
        <f t="shared" si="8"/>
        <v>0</v>
      </c>
      <c r="AC26" s="175">
        <f t="shared" si="8"/>
        <v>0</v>
      </c>
      <c r="AD26" s="176">
        <f t="shared" si="8"/>
        <v>0</v>
      </c>
      <c r="AE26" s="177">
        <f t="shared" si="8"/>
        <v>0</v>
      </c>
      <c r="AF26" s="175">
        <f t="shared" si="8"/>
        <v>0</v>
      </c>
      <c r="AG26" s="176">
        <f t="shared" si="8"/>
        <v>0</v>
      </c>
      <c r="AH26" s="177">
        <f t="shared" si="8"/>
        <v>0</v>
      </c>
      <c r="AI26" s="139">
        <f t="shared" si="8"/>
        <v>4</v>
      </c>
      <c r="AJ26" s="139">
        <f t="shared" si="8"/>
        <v>-1</v>
      </c>
    </row>
    <row r="27" spans="1:36" x14ac:dyDescent="0.25">
      <c r="A27" s="178" t="s">
        <v>141</v>
      </c>
      <c r="B27" s="179">
        <f t="shared" ref="B27:AJ27" si="9">SUM(B22:B26)</f>
        <v>-3</v>
      </c>
      <c r="C27" s="179">
        <f t="shared" si="9"/>
        <v>1</v>
      </c>
      <c r="D27" s="179">
        <f t="shared" si="9"/>
        <v>-3</v>
      </c>
      <c r="E27" s="179">
        <f t="shared" si="9"/>
        <v>3</v>
      </c>
      <c r="F27" s="179">
        <f t="shared" si="9"/>
        <v>2</v>
      </c>
      <c r="G27" s="179">
        <f t="shared" si="9"/>
        <v>0</v>
      </c>
      <c r="H27" s="179">
        <f t="shared" si="9"/>
        <v>8</v>
      </c>
      <c r="I27" s="179">
        <f t="shared" si="9"/>
        <v>8</v>
      </c>
      <c r="J27" s="179">
        <f t="shared" si="9"/>
        <v>0</v>
      </c>
      <c r="K27" s="179">
        <f t="shared" si="9"/>
        <v>11</v>
      </c>
      <c r="L27" s="179">
        <f t="shared" si="9"/>
        <v>-8</v>
      </c>
      <c r="M27" s="179">
        <f t="shared" si="9"/>
        <v>-1</v>
      </c>
      <c r="N27" s="179">
        <f t="shared" si="9"/>
        <v>11</v>
      </c>
      <c r="O27" s="179">
        <f t="shared" si="9"/>
        <v>-7</v>
      </c>
      <c r="P27" s="179">
        <f t="shared" si="9"/>
        <v>-2</v>
      </c>
      <c r="Q27" s="179">
        <f t="shared" si="9"/>
        <v>19</v>
      </c>
      <c r="R27" s="179">
        <f t="shared" si="9"/>
        <v>-2</v>
      </c>
      <c r="S27" s="179">
        <f t="shared" si="9"/>
        <v>0</v>
      </c>
      <c r="T27" s="179">
        <f t="shared" si="9"/>
        <v>10</v>
      </c>
      <c r="U27" s="179">
        <f t="shared" si="9"/>
        <v>-9</v>
      </c>
      <c r="V27" s="179">
        <f t="shared" si="9"/>
        <v>-1</v>
      </c>
      <c r="W27" s="179">
        <f t="shared" si="9"/>
        <v>16</v>
      </c>
      <c r="X27" s="179">
        <f t="shared" si="9"/>
        <v>-5</v>
      </c>
      <c r="Y27" s="179">
        <f t="shared" si="9"/>
        <v>0</v>
      </c>
      <c r="Z27" s="179">
        <f t="shared" si="9"/>
        <v>7</v>
      </c>
      <c r="AA27" s="179">
        <f t="shared" si="9"/>
        <v>-13</v>
      </c>
      <c r="AB27" s="179">
        <f t="shared" si="9"/>
        <v>-2</v>
      </c>
      <c r="AC27" s="179">
        <f t="shared" si="9"/>
        <v>2</v>
      </c>
      <c r="AD27" s="179">
        <f t="shared" si="9"/>
        <v>-2</v>
      </c>
      <c r="AE27" s="179">
        <f t="shared" si="9"/>
        <v>0</v>
      </c>
      <c r="AF27" s="179">
        <f t="shared" si="9"/>
        <v>0</v>
      </c>
      <c r="AG27" s="179">
        <f t="shared" si="9"/>
        <v>0</v>
      </c>
      <c r="AH27" s="179">
        <f t="shared" si="9"/>
        <v>0</v>
      </c>
      <c r="AI27" s="180">
        <f t="shared" si="9"/>
        <v>84</v>
      </c>
      <c r="AJ27" s="180">
        <f t="shared" si="9"/>
        <v>-35</v>
      </c>
    </row>
    <row r="28" spans="1:36" x14ac:dyDescent="0.25">
      <c r="A28" s="149" t="s">
        <v>253</v>
      </c>
    </row>
    <row r="29" spans="1:36" x14ac:dyDescent="0.25">
      <c r="A29" s="182" t="s">
        <v>254</v>
      </c>
    </row>
    <row r="30" spans="1:36" x14ac:dyDescent="0.25">
      <c r="A30" s="183" t="s">
        <v>255</v>
      </c>
    </row>
    <row r="31" spans="1:36" x14ac:dyDescent="0.25">
      <c r="A31" s="275" t="s">
        <v>256</v>
      </c>
      <c r="B31" s="276"/>
      <c r="C31" s="276"/>
      <c r="D31" s="276"/>
      <c r="E31" s="276"/>
      <c r="F31" s="276"/>
      <c r="G31" s="276"/>
      <c r="H31" s="276"/>
      <c r="I31" s="276"/>
      <c r="J31" s="276"/>
      <c r="K31" s="276"/>
      <c r="L31" s="276"/>
      <c r="M31" s="276"/>
      <c r="N31" s="276"/>
      <c r="O31" s="276"/>
      <c r="P31" s="276"/>
      <c r="Q31" s="276"/>
      <c r="R31" s="276"/>
      <c r="S31" s="276"/>
      <c r="T31" s="276"/>
      <c r="U31" s="276"/>
      <c r="V31" s="276"/>
      <c r="W31" s="276"/>
      <c r="X31" s="276"/>
      <c r="Y31" s="276"/>
      <c r="Z31" s="276"/>
      <c r="AA31" s="276"/>
      <c r="AB31" s="276"/>
      <c r="AC31" s="276"/>
      <c r="AD31" s="276"/>
      <c r="AE31" s="276"/>
      <c r="AF31" s="276"/>
      <c r="AG31" s="276"/>
      <c r="AH31" s="277"/>
    </row>
    <row r="32" spans="1:36" ht="14.45" customHeight="1" x14ac:dyDescent="0.25">
      <c r="A32" s="278" t="s">
        <v>257</v>
      </c>
      <c r="B32" s="280" t="s">
        <v>241</v>
      </c>
      <c r="C32" s="280"/>
      <c r="D32" s="280"/>
      <c r="E32" s="281" t="s">
        <v>242</v>
      </c>
      <c r="F32" s="281"/>
      <c r="G32" s="281"/>
      <c r="H32" s="280" t="s">
        <v>133</v>
      </c>
      <c r="I32" s="280"/>
      <c r="J32" s="280"/>
      <c r="K32" s="281" t="s">
        <v>258</v>
      </c>
      <c r="L32" s="281"/>
      <c r="M32" s="281"/>
      <c r="N32" s="280" t="s">
        <v>136</v>
      </c>
      <c r="O32" s="280"/>
      <c r="P32" s="280"/>
      <c r="Q32" s="281" t="s">
        <v>91</v>
      </c>
      <c r="R32" s="281"/>
      <c r="S32" s="281"/>
      <c r="T32" s="280" t="s">
        <v>138</v>
      </c>
      <c r="U32" s="280"/>
      <c r="V32" s="280"/>
      <c r="W32" s="281" t="s">
        <v>137</v>
      </c>
      <c r="X32" s="281"/>
      <c r="Y32" s="281"/>
      <c r="Z32" s="280" t="s">
        <v>139</v>
      </c>
      <c r="AA32" s="280"/>
      <c r="AB32" s="280"/>
      <c r="AC32" s="281" t="s">
        <v>140</v>
      </c>
      <c r="AD32" s="281"/>
      <c r="AE32" s="281"/>
      <c r="AF32" s="297" t="s">
        <v>135</v>
      </c>
      <c r="AG32" s="298"/>
      <c r="AH32" s="299"/>
    </row>
    <row r="33" spans="1:36" x14ac:dyDescent="0.25">
      <c r="A33" s="279"/>
      <c r="B33" s="271" t="s">
        <v>80</v>
      </c>
      <c r="C33" s="272"/>
      <c r="D33" s="186" t="s">
        <v>81</v>
      </c>
      <c r="E33" s="273" t="s">
        <v>80</v>
      </c>
      <c r="F33" s="274"/>
      <c r="G33" s="39" t="s">
        <v>81</v>
      </c>
      <c r="H33" s="271" t="s">
        <v>80</v>
      </c>
      <c r="I33" s="272"/>
      <c r="J33" s="186" t="s">
        <v>81</v>
      </c>
      <c r="K33" s="273" t="s">
        <v>80</v>
      </c>
      <c r="L33" s="274"/>
      <c r="M33" s="39" t="s">
        <v>81</v>
      </c>
      <c r="N33" s="271" t="s">
        <v>80</v>
      </c>
      <c r="O33" s="272"/>
      <c r="P33" s="186" t="s">
        <v>81</v>
      </c>
      <c r="Q33" s="273" t="s">
        <v>80</v>
      </c>
      <c r="R33" s="274"/>
      <c r="S33" s="39" t="s">
        <v>81</v>
      </c>
      <c r="T33" s="271" t="s">
        <v>80</v>
      </c>
      <c r="U33" s="272"/>
      <c r="V33" s="186" t="s">
        <v>81</v>
      </c>
      <c r="W33" s="273" t="s">
        <v>80</v>
      </c>
      <c r="X33" s="274"/>
      <c r="Y33" s="39" t="s">
        <v>81</v>
      </c>
      <c r="Z33" s="271" t="s">
        <v>80</v>
      </c>
      <c r="AA33" s="272"/>
      <c r="AB33" s="186" t="s">
        <v>81</v>
      </c>
      <c r="AC33" s="273" t="s">
        <v>80</v>
      </c>
      <c r="AD33" s="274"/>
      <c r="AE33" s="39" t="s">
        <v>81</v>
      </c>
      <c r="AF33" s="271" t="s">
        <v>80</v>
      </c>
      <c r="AG33" s="272"/>
      <c r="AH33" s="185" t="s">
        <v>81</v>
      </c>
      <c r="AI33" s="282" t="s">
        <v>259</v>
      </c>
      <c r="AJ33" s="282"/>
    </row>
    <row r="34" spans="1:36" x14ac:dyDescent="0.25">
      <c r="A34" s="184" t="s">
        <v>270</v>
      </c>
      <c r="B34" s="139">
        <v>1</v>
      </c>
      <c r="C34" s="139"/>
      <c r="D34" s="139">
        <v>1</v>
      </c>
      <c r="E34" s="139"/>
      <c r="F34" s="139"/>
      <c r="G34" s="139"/>
      <c r="H34" s="139"/>
      <c r="I34" s="139"/>
      <c r="J34" s="139"/>
      <c r="K34" s="139"/>
      <c r="L34" s="139"/>
      <c r="M34" s="139"/>
      <c r="N34" s="139"/>
      <c r="O34" s="139"/>
      <c r="P34" s="139"/>
      <c r="Q34" s="139"/>
      <c r="R34" s="139"/>
      <c r="S34" s="139"/>
      <c r="T34" s="139"/>
      <c r="U34" s="139"/>
      <c r="V34" s="139"/>
      <c r="W34" s="139"/>
      <c r="X34" s="139"/>
      <c r="Y34" s="139"/>
      <c r="Z34" s="139"/>
      <c r="AA34" s="139"/>
      <c r="AB34" s="139"/>
      <c r="AC34" s="139"/>
      <c r="AD34" s="139"/>
      <c r="AE34" s="139"/>
      <c r="AF34" s="139"/>
      <c r="AG34" s="139"/>
      <c r="AH34" s="139"/>
      <c r="AI34" s="282">
        <f t="shared" ref="AI34:AI50" si="10">SUM(B34:AH34)</f>
        <v>2</v>
      </c>
      <c r="AJ34" s="282"/>
    </row>
    <row r="35" spans="1:36" x14ac:dyDescent="0.25">
      <c r="A35" s="184" t="s">
        <v>39</v>
      </c>
      <c r="B35" s="139">
        <f>+Detallado!I6</f>
        <v>1</v>
      </c>
      <c r="C35" s="139"/>
      <c r="D35" s="139">
        <f>+Detallado!AE6</f>
        <v>1</v>
      </c>
      <c r="E35" s="139"/>
      <c r="F35" s="139"/>
      <c r="G35" s="139"/>
      <c r="H35" s="139"/>
      <c r="I35" s="139"/>
      <c r="J35" s="139"/>
      <c r="K35" s="139"/>
      <c r="L35" s="139"/>
      <c r="M35" s="139"/>
      <c r="N35" s="139"/>
      <c r="O35" s="139"/>
      <c r="P35" s="139"/>
      <c r="Q35" s="139"/>
      <c r="R35" s="139"/>
      <c r="S35" s="139"/>
      <c r="T35" s="139"/>
      <c r="U35" s="139"/>
      <c r="V35" s="139"/>
      <c r="W35" s="139"/>
      <c r="X35" s="139"/>
      <c r="Y35" s="139"/>
      <c r="Z35" s="139"/>
      <c r="AA35" s="139"/>
      <c r="AB35" s="139"/>
      <c r="AC35" s="139"/>
      <c r="AD35" s="139"/>
      <c r="AE35" s="139"/>
      <c r="AF35" s="139"/>
      <c r="AG35" s="139"/>
      <c r="AH35" s="139"/>
      <c r="AI35" s="282">
        <f t="shared" si="10"/>
        <v>2</v>
      </c>
      <c r="AJ35" s="282"/>
    </row>
    <row r="36" spans="1:36" x14ac:dyDescent="0.25">
      <c r="A36" s="188" t="s">
        <v>38</v>
      </c>
      <c r="B36" s="139">
        <f>+Detallado!I5</f>
        <v>1</v>
      </c>
      <c r="C36" s="139"/>
      <c r="D36" s="139">
        <f>+Detallado!AE5</f>
        <v>1</v>
      </c>
      <c r="E36" s="139">
        <f>+Detallado!I17</f>
        <v>1</v>
      </c>
      <c r="F36" s="139"/>
      <c r="G36" s="139">
        <f>+Detallado!AE17</f>
        <v>1</v>
      </c>
      <c r="H36" s="139"/>
      <c r="I36" s="139"/>
      <c r="J36" s="139"/>
      <c r="K36" s="139"/>
      <c r="L36" s="139"/>
      <c r="M36" s="139"/>
      <c r="N36" s="139"/>
      <c r="O36" s="139"/>
      <c r="P36" s="139"/>
      <c r="Q36" s="139"/>
      <c r="R36" s="139"/>
      <c r="S36" s="139"/>
      <c r="T36" s="139"/>
      <c r="U36" s="139"/>
      <c r="V36" s="139"/>
      <c r="W36" s="139"/>
      <c r="X36" s="139"/>
      <c r="Y36" s="139"/>
      <c r="Z36" s="139"/>
      <c r="AA36" s="139"/>
      <c r="AB36" s="139"/>
      <c r="AC36" s="139"/>
      <c r="AD36" s="139"/>
      <c r="AE36" s="139"/>
      <c r="AF36" s="139"/>
      <c r="AG36" s="139"/>
      <c r="AH36" s="56"/>
      <c r="AI36" s="282">
        <f t="shared" si="10"/>
        <v>4</v>
      </c>
      <c r="AJ36" s="282"/>
    </row>
    <row r="37" spans="1:36" x14ac:dyDescent="0.25">
      <c r="A37" s="188" t="s">
        <v>40</v>
      </c>
      <c r="B37" s="139">
        <f>+Detallado!I7</f>
        <v>1</v>
      </c>
      <c r="C37" s="139"/>
      <c r="D37" s="139">
        <f>+Detallado!AE7</f>
        <v>1</v>
      </c>
      <c r="E37" s="139">
        <f>+Detallado!I18</f>
        <v>1</v>
      </c>
      <c r="F37" s="139"/>
      <c r="G37" s="139">
        <f>+Detallado!AE18</f>
        <v>1</v>
      </c>
      <c r="H37" s="139">
        <f>+Detallado!I11</f>
        <v>1</v>
      </c>
      <c r="I37" s="139"/>
      <c r="J37" s="139">
        <f>+Detallado!AE11</f>
        <v>1</v>
      </c>
      <c r="K37" s="139"/>
      <c r="L37" s="139"/>
      <c r="M37" s="139"/>
      <c r="N37" s="139"/>
      <c r="O37" s="139"/>
      <c r="P37" s="139"/>
      <c r="Q37" s="139">
        <f>+Detallado!I51</f>
        <v>1</v>
      </c>
      <c r="R37" s="139"/>
      <c r="S37" s="139">
        <f>+Detallado!AE51</f>
        <v>1</v>
      </c>
      <c r="T37" s="139"/>
      <c r="U37" s="139"/>
      <c r="V37" s="139"/>
      <c r="W37" s="139"/>
      <c r="X37" s="139"/>
      <c r="Y37" s="139"/>
      <c r="Z37" s="139"/>
      <c r="AA37" s="139"/>
      <c r="AB37" s="139"/>
      <c r="AC37" s="139"/>
      <c r="AD37" s="139"/>
      <c r="AE37" s="139"/>
      <c r="AF37" s="139"/>
      <c r="AG37" s="139"/>
      <c r="AH37" s="56"/>
      <c r="AI37" s="282">
        <f t="shared" si="10"/>
        <v>8</v>
      </c>
      <c r="AJ37" s="282"/>
    </row>
    <row r="38" spans="1:36" x14ac:dyDescent="0.25">
      <c r="A38" s="188" t="s">
        <v>41</v>
      </c>
      <c r="B38" s="139">
        <f>+Detallado!I8</f>
        <v>1</v>
      </c>
      <c r="C38" s="139"/>
      <c r="D38" s="139">
        <f>+Detallado!AE8</f>
        <v>1</v>
      </c>
      <c r="E38" s="139">
        <f>+Detallado!I19</f>
        <v>1</v>
      </c>
      <c r="F38" s="139"/>
      <c r="G38" s="139">
        <f>+Detallado!AE19</f>
        <v>1</v>
      </c>
      <c r="H38" s="139">
        <f>+Detallado!I12</f>
        <v>2</v>
      </c>
      <c r="I38" s="139"/>
      <c r="J38" s="139">
        <f>+Detallado!AE12</f>
        <v>1</v>
      </c>
      <c r="K38" s="139"/>
      <c r="L38" s="139"/>
      <c r="M38" s="139"/>
      <c r="N38" s="139"/>
      <c r="O38" s="139"/>
      <c r="P38" s="139"/>
      <c r="Q38" s="139">
        <f>+Detallado!I52</f>
        <v>1</v>
      </c>
      <c r="R38" s="139"/>
      <c r="S38" s="139">
        <f>+Detallado!AE52</f>
        <v>1</v>
      </c>
      <c r="T38" s="139"/>
      <c r="U38" s="139"/>
      <c r="V38" s="139"/>
      <c r="W38" s="139"/>
      <c r="X38" s="139"/>
      <c r="Y38" s="139"/>
      <c r="Z38" s="139"/>
      <c r="AA38" s="139"/>
      <c r="AB38" s="139"/>
      <c r="AC38" s="139"/>
      <c r="AD38" s="139"/>
      <c r="AE38" s="139"/>
      <c r="AF38" s="139"/>
      <c r="AG38" s="139"/>
      <c r="AH38" s="56"/>
      <c r="AI38" s="282">
        <f t="shared" si="10"/>
        <v>9</v>
      </c>
      <c r="AJ38" s="282"/>
    </row>
    <row r="39" spans="1:36" x14ac:dyDescent="0.25">
      <c r="A39" s="188" t="s">
        <v>83</v>
      </c>
      <c r="B39" s="139"/>
      <c r="C39" s="139"/>
      <c r="D39" s="139"/>
      <c r="E39" s="139"/>
      <c r="F39" s="139"/>
      <c r="G39" s="139"/>
      <c r="H39" s="139">
        <f>+Detallado!I13</f>
        <v>1</v>
      </c>
      <c r="I39" s="139"/>
      <c r="J39" s="139">
        <f>+Detallado!AE13</f>
        <v>1</v>
      </c>
      <c r="K39" s="139">
        <f>+Detallado!I41</f>
        <v>2</v>
      </c>
      <c r="L39" s="139"/>
      <c r="M39" s="139">
        <f>+Detallado!AE41</f>
        <v>2</v>
      </c>
      <c r="N39" s="139"/>
      <c r="O39" s="139"/>
      <c r="P39" s="139"/>
      <c r="Q39" s="139">
        <f>+Detallado!I53</f>
        <v>1</v>
      </c>
      <c r="R39" s="139"/>
      <c r="S39" s="139">
        <f>+Detallado!AE53</f>
        <v>1</v>
      </c>
      <c r="T39" s="139">
        <f>+Detallado!I69</f>
        <v>2</v>
      </c>
      <c r="U39" s="139"/>
      <c r="V39" s="139">
        <f>+Detallado!AE69</f>
        <v>2</v>
      </c>
      <c r="W39" s="139">
        <f>+Detallado!I31</f>
        <v>2</v>
      </c>
      <c r="X39" s="139"/>
      <c r="Y39" s="139">
        <f>+Detallado!AE31</f>
        <v>2</v>
      </c>
      <c r="Z39" s="139">
        <f>+Detallado!I79</f>
        <v>2</v>
      </c>
      <c r="AA39" s="139"/>
      <c r="AB39" s="139">
        <f>+Detallado!AE79</f>
        <v>2</v>
      </c>
      <c r="AC39" s="139"/>
      <c r="AD39" s="139"/>
      <c r="AE39" s="139"/>
      <c r="AF39" s="139"/>
      <c r="AG39" s="139"/>
      <c r="AH39" s="56"/>
      <c r="AI39" s="282">
        <f t="shared" si="10"/>
        <v>20</v>
      </c>
      <c r="AJ39" s="282"/>
    </row>
    <row r="40" spans="1:36" x14ac:dyDescent="0.25">
      <c r="A40" s="188" t="s">
        <v>46</v>
      </c>
      <c r="B40" s="139"/>
      <c r="C40" s="139"/>
      <c r="D40" s="139"/>
      <c r="E40" s="139"/>
      <c r="F40" s="139"/>
      <c r="G40" s="139"/>
      <c r="H40" s="139"/>
      <c r="I40" s="139"/>
      <c r="J40" s="139">
        <f>+Detallado!AE14</f>
        <v>1</v>
      </c>
      <c r="K40" s="139">
        <f>+Detallado!I42</f>
        <v>1</v>
      </c>
      <c r="L40" s="139"/>
      <c r="M40" s="139">
        <f>+Detallado!AE42</f>
        <v>2</v>
      </c>
      <c r="N40" s="139">
        <f>+Detallado!I21</f>
        <v>3</v>
      </c>
      <c r="O40" s="139"/>
      <c r="P40" s="139">
        <f>+Detallado!AE21</f>
        <v>2</v>
      </c>
      <c r="Q40" s="139">
        <f>+Detallado!I54</f>
        <v>1</v>
      </c>
      <c r="R40" s="139"/>
      <c r="S40" s="139">
        <f>+Detallado!AE54</f>
        <v>1</v>
      </c>
      <c r="T40" s="139">
        <f>+Detallado!I70</f>
        <v>2</v>
      </c>
      <c r="U40" s="139"/>
      <c r="V40" s="139">
        <f>+Detallado!AE70</f>
        <v>2</v>
      </c>
      <c r="W40" s="139">
        <f>+Detallado!I32</f>
        <v>1</v>
      </c>
      <c r="X40" s="139"/>
      <c r="Y40" s="139">
        <f>+Detallado!AE32</f>
        <v>2</v>
      </c>
      <c r="Z40" s="139">
        <f>+Detallado!I80</f>
        <v>2</v>
      </c>
      <c r="AA40" s="139"/>
      <c r="AB40" s="139">
        <f>+Detallado!AE80</f>
        <v>2</v>
      </c>
      <c r="AC40" s="139">
        <f>+Detallado!I89</f>
        <v>0</v>
      </c>
      <c r="AD40" s="139"/>
      <c r="AE40" s="139">
        <f>+Detallado!AE89</f>
        <v>2</v>
      </c>
      <c r="AF40" s="139"/>
      <c r="AG40" s="139"/>
      <c r="AH40" s="56"/>
      <c r="AI40" s="282">
        <f t="shared" si="10"/>
        <v>24</v>
      </c>
      <c r="AJ40" s="282"/>
    </row>
    <row r="41" spans="1:36" x14ac:dyDescent="0.25">
      <c r="A41" s="188" t="s">
        <v>47</v>
      </c>
      <c r="B41" s="139"/>
      <c r="C41" s="139"/>
      <c r="D41" s="139"/>
      <c r="E41" s="139"/>
      <c r="F41" s="139"/>
      <c r="G41" s="139"/>
      <c r="H41" s="139"/>
      <c r="I41" s="139"/>
      <c r="J41" s="139">
        <f>+Detallado!AE15</f>
        <v>1</v>
      </c>
      <c r="K41" s="139">
        <f>+Detallado!I43</f>
        <v>2</v>
      </c>
      <c r="L41" s="139"/>
      <c r="M41" s="139">
        <f>+Detallado!AE43</f>
        <v>1</v>
      </c>
      <c r="N41" s="139">
        <f>+Detallado!I22</f>
        <v>2</v>
      </c>
      <c r="O41" s="139"/>
      <c r="P41" s="139">
        <f>+Detallado!AE22</f>
        <v>2</v>
      </c>
      <c r="Q41" s="139">
        <f>+Detallado!I55</f>
        <v>1</v>
      </c>
      <c r="R41" s="139"/>
      <c r="S41" s="139">
        <f>+Detallado!AE55</f>
        <v>1</v>
      </c>
      <c r="T41" s="139">
        <f>+Detallado!I71</f>
        <v>1</v>
      </c>
      <c r="U41" s="139"/>
      <c r="V41" s="139">
        <f>+Detallado!AE71</f>
        <v>2</v>
      </c>
      <c r="W41" s="139">
        <f>+Detallado!I33</f>
        <v>2</v>
      </c>
      <c r="X41" s="139"/>
      <c r="Y41" s="139">
        <f>+Detallado!AE33</f>
        <v>2</v>
      </c>
      <c r="Z41" s="139">
        <f>+Detallado!I81</f>
        <v>2</v>
      </c>
      <c r="AA41" s="139"/>
      <c r="AB41" s="139">
        <f>+Detallado!AE81</f>
        <v>1</v>
      </c>
      <c r="AC41" s="139">
        <f>+Detallado!I90</f>
        <v>2</v>
      </c>
      <c r="AD41" s="139"/>
      <c r="AE41" s="139">
        <f>+Detallado!AE90</f>
        <v>1</v>
      </c>
      <c r="AF41" s="139"/>
      <c r="AG41" s="139"/>
      <c r="AH41" s="56"/>
      <c r="AI41" s="282">
        <f t="shared" si="10"/>
        <v>23</v>
      </c>
      <c r="AJ41" s="282"/>
    </row>
    <row r="42" spans="1:36" x14ac:dyDescent="0.25">
      <c r="A42" s="188" t="s">
        <v>51</v>
      </c>
      <c r="B42" s="139"/>
      <c r="C42" s="139"/>
      <c r="D42" s="139"/>
      <c r="E42" s="139"/>
      <c r="F42" s="139"/>
      <c r="G42" s="139"/>
      <c r="H42" s="139"/>
      <c r="I42" s="139"/>
      <c r="J42" s="139"/>
      <c r="K42" s="139">
        <f>+Detallado!I44</f>
        <v>1</v>
      </c>
      <c r="L42" s="139"/>
      <c r="M42" s="139">
        <f>+Detallado!AE44</f>
        <v>1</v>
      </c>
      <c r="N42" s="139">
        <f>+Detallado!I23</f>
        <v>1</v>
      </c>
      <c r="O42" s="139"/>
      <c r="P42" s="139">
        <f>+Detallado!AE23</f>
        <v>2</v>
      </c>
      <c r="Q42" s="139">
        <f>+Detallado!I56</f>
        <v>1</v>
      </c>
      <c r="R42" s="139"/>
      <c r="S42" s="139">
        <f>+Detallado!AE56</f>
        <v>0</v>
      </c>
      <c r="T42" s="139">
        <f>+Detallado!I72</f>
        <v>1</v>
      </c>
      <c r="U42" s="139"/>
      <c r="V42" s="139">
        <f>+Detallado!AE72</f>
        <v>1</v>
      </c>
      <c r="W42" s="139">
        <f>+Detallado!I34</f>
        <v>2</v>
      </c>
      <c r="X42" s="139"/>
      <c r="Y42" s="139">
        <f>+Detallado!AE34</f>
        <v>1</v>
      </c>
      <c r="Z42" s="139">
        <f>+Detallado!I82</f>
        <v>1</v>
      </c>
      <c r="AA42" s="139"/>
      <c r="AB42" s="139">
        <f>+Detallado!AE82</f>
        <v>1</v>
      </c>
      <c r="AC42" s="139">
        <f>+Detallado!I91</f>
        <v>1</v>
      </c>
      <c r="AD42" s="139"/>
      <c r="AE42" s="139">
        <f>+Detallado!AE91</f>
        <v>0</v>
      </c>
      <c r="AF42" s="139"/>
      <c r="AG42" s="139"/>
      <c r="AH42" s="56"/>
      <c r="AI42" s="282">
        <f t="shared" si="10"/>
        <v>14</v>
      </c>
      <c r="AJ42" s="282"/>
    </row>
    <row r="43" spans="1:36" x14ac:dyDescent="0.25">
      <c r="A43" s="188" t="s">
        <v>52</v>
      </c>
      <c r="B43" s="139"/>
      <c r="C43" s="139"/>
      <c r="D43" s="139"/>
      <c r="E43" s="139"/>
      <c r="F43" s="139"/>
      <c r="G43" s="139"/>
      <c r="H43" s="139"/>
      <c r="I43" s="139"/>
      <c r="J43" s="139"/>
      <c r="K43" s="139">
        <f>+Detallado!I45</f>
        <v>1</v>
      </c>
      <c r="L43" s="139"/>
      <c r="M43" s="139">
        <f>+Detallado!AE45</f>
        <v>1</v>
      </c>
      <c r="N43" s="139">
        <f>+Detallado!I24</f>
        <v>1</v>
      </c>
      <c r="O43" s="139"/>
      <c r="P43" s="139">
        <f>+Detallado!AE24</f>
        <v>1</v>
      </c>
      <c r="Q43" s="139">
        <f>+Detallado!I57</f>
        <v>1</v>
      </c>
      <c r="R43" s="139"/>
      <c r="S43" s="139">
        <f>+Detallado!AE57</f>
        <v>0</v>
      </c>
      <c r="T43" s="139">
        <f>+Detallado!I73</f>
        <v>1</v>
      </c>
      <c r="U43" s="139"/>
      <c r="V43" s="139">
        <f>+Detallado!AE73</f>
        <v>1</v>
      </c>
      <c r="W43" s="139">
        <f>+Detallado!I35</f>
        <v>1</v>
      </c>
      <c r="X43" s="139"/>
      <c r="Y43" s="139">
        <f>+Detallado!AE35</f>
        <v>1</v>
      </c>
      <c r="Z43" s="139">
        <f>+Detallado!I83</f>
        <v>1</v>
      </c>
      <c r="AA43" s="139"/>
      <c r="AB43" s="139">
        <f>+Detallado!AE83</f>
        <v>1</v>
      </c>
      <c r="AC43" s="139">
        <f>+Detallado!I92</f>
        <v>1</v>
      </c>
      <c r="AD43" s="139"/>
      <c r="AE43" s="139">
        <f>+Detallado!AE92</f>
        <v>0</v>
      </c>
      <c r="AF43" s="139"/>
      <c r="AG43" s="139"/>
      <c r="AH43" s="56"/>
      <c r="AI43" s="282">
        <f t="shared" si="10"/>
        <v>12</v>
      </c>
      <c r="AJ43" s="282"/>
    </row>
    <row r="44" spans="1:36" x14ac:dyDescent="0.25">
      <c r="A44" s="188" t="s">
        <v>260</v>
      </c>
      <c r="B44" s="139"/>
      <c r="C44" s="139"/>
      <c r="D44" s="139"/>
      <c r="E44" s="139"/>
      <c r="F44" s="139"/>
      <c r="G44" s="139"/>
      <c r="H44" s="139"/>
      <c r="I44" s="139"/>
      <c r="J44" s="139"/>
      <c r="K44" s="139">
        <f>+Detallado!I46</f>
        <v>1</v>
      </c>
      <c r="L44" s="139"/>
      <c r="M44" s="139">
        <f>+Detallado!AE46</f>
        <v>0</v>
      </c>
      <c r="N44" s="139">
        <f>+Detallado!I25</f>
        <v>1</v>
      </c>
      <c r="O44" s="139"/>
      <c r="P44" s="139">
        <f>+Detallado!AE25</f>
        <v>1</v>
      </c>
      <c r="Q44" s="139">
        <f>+Detallado!I58</f>
        <v>1</v>
      </c>
      <c r="R44" s="139"/>
      <c r="S44" s="139">
        <f>+Detallado!AE58</f>
        <v>0</v>
      </c>
      <c r="T44" s="139">
        <f>+Detallado!I74</f>
        <v>1</v>
      </c>
      <c r="U44" s="139"/>
      <c r="V44" s="139">
        <f>+Detallado!AE74</f>
        <v>1</v>
      </c>
      <c r="W44" s="139">
        <f>+Detallado!I36</f>
        <v>1</v>
      </c>
      <c r="X44" s="139"/>
      <c r="Y44" s="139">
        <f>+Detallado!AE36</f>
        <v>1</v>
      </c>
      <c r="Z44" s="139">
        <f>+Detallado!I84</f>
        <v>1</v>
      </c>
      <c r="AA44" s="139"/>
      <c r="AB44" s="139">
        <f>+Detallado!AE84</f>
        <v>0</v>
      </c>
      <c r="AC44" s="139"/>
      <c r="AD44" s="139"/>
      <c r="AE44" s="139"/>
      <c r="AF44" s="139"/>
      <c r="AG44" s="139"/>
      <c r="AH44" s="56"/>
      <c r="AI44" s="282">
        <f t="shared" si="10"/>
        <v>9</v>
      </c>
      <c r="AJ44" s="282"/>
    </row>
    <row r="45" spans="1:36" x14ac:dyDescent="0.25">
      <c r="A45" s="188" t="s">
        <v>261</v>
      </c>
      <c r="B45" s="139"/>
      <c r="C45" s="139"/>
      <c r="D45" s="139"/>
      <c r="E45" s="139"/>
      <c r="F45" s="139"/>
      <c r="G45" s="139"/>
      <c r="H45" s="139"/>
      <c r="I45" s="139"/>
      <c r="J45" s="139"/>
      <c r="K45" s="139">
        <f>+Detallado!I47</f>
        <v>1</v>
      </c>
      <c r="L45" s="139"/>
      <c r="M45" s="139">
        <f>+Detallado!AE47</f>
        <v>1</v>
      </c>
      <c r="N45" s="139">
        <f>+Detallado!I26</f>
        <v>1</v>
      </c>
      <c r="O45" s="139"/>
      <c r="P45" s="139">
        <f>+Detallado!AE26</f>
        <v>0</v>
      </c>
      <c r="Q45" s="139">
        <f>+Detallado!I59</f>
        <v>1</v>
      </c>
      <c r="R45" s="139"/>
      <c r="S45" s="139">
        <f>+Detallado!AE59</f>
        <v>1</v>
      </c>
      <c r="T45" s="139">
        <f>+Detallado!I75</f>
        <v>1</v>
      </c>
      <c r="U45" s="139"/>
      <c r="V45" s="139">
        <f>+Detallado!AE75</f>
        <v>0</v>
      </c>
      <c r="W45" s="139">
        <f>+Detallado!I37</f>
        <v>1</v>
      </c>
      <c r="X45" s="139"/>
      <c r="Y45" s="139">
        <f>+Detallado!AE37</f>
        <v>0</v>
      </c>
      <c r="Z45" s="139">
        <f>+Detallado!I85</f>
        <v>1</v>
      </c>
      <c r="AA45" s="139"/>
      <c r="AB45" s="139">
        <f>+Detallado!AE85</f>
        <v>1</v>
      </c>
      <c r="AC45" s="139"/>
      <c r="AD45" s="139"/>
      <c r="AE45" s="139"/>
      <c r="AF45" s="139"/>
      <c r="AG45" s="139"/>
      <c r="AH45" s="56"/>
      <c r="AI45" s="282">
        <f t="shared" si="10"/>
        <v>9</v>
      </c>
      <c r="AJ45" s="282"/>
    </row>
    <row r="46" spans="1:36" x14ac:dyDescent="0.25">
      <c r="A46" s="188" t="s">
        <v>262</v>
      </c>
      <c r="B46" s="139"/>
      <c r="C46" s="139"/>
      <c r="D46" s="139"/>
      <c r="E46" s="139"/>
      <c r="F46" s="139"/>
      <c r="G46" s="139"/>
      <c r="H46" s="139"/>
      <c r="I46" s="139"/>
      <c r="J46" s="139"/>
      <c r="K46" s="139">
        <f>+Detallado!I48</f>
        <v>1</v>
      </c>
      <c r="L46" s="139"/>
      <c r="M46" s="139">
        <f>+Detallado!AE48</f>
        <v>0</v>
      </c>
      <c r="N46" s="139">
        <f>+Detallado!I27</f>
        <v>1</v>
      </c>
      <c r="O46" s="139"/>
      <c r="P46" s="139">
        <f>+Detallado!AE27</f>
        <v>0</v>
      </c>
      <c r="Q46" s="139">
        <f>+Detallado!I60</f>
        <v>1</v>
      </c>
      <c r="R46" s="139"/>
      <c r="S46" s="139">
        <f>+Detallado!AE60</f>
        <v>0</v>
      </c>
      <c r="T46" s="139">
        <f>+Detallado!I76</f>
        <v>1</v>
      </c>
      <c r="U46" s="139"/>
      <c r="V46" s="139">
        <f>+Detallado!AE76</f>
        <v>0</v>
      </c>
      <c r="W46" s="139">
        <f>+Detallado!I38</f>
        <v>1</v>
      </c>
      <c r="X46" s="139"/>
      <c r="Y46" s="139">
        <f>+Detallado!AE38</f>
        <v>0</v>
      </c>
      <c r="Z46" s="139">
        <f>+Detallado!I86</f>
        <v>1</v>
      </c>
      <c r="AA46" s="139"/>
      <c r="AB46" s="139">
        <f>+Detallado!AE86</f>
        <v>0</v>
      </c>
      <c r="AC46" s="139"/>
      <c r="AD46" s="139"/>
      <c r="AE46" s="139"/>
      <c r="AF46" s="139"/>
      <c r="AG46" s="139"/>
      <c r="AH46" s="56"/>
      <c r="AI46" s="282">
        <f t="shared" si="10"/>
        <v>6</v>
      </c>
      <c r="AJ46" s="282"/>
    </row>
    <row r="47" spans="1:36" x14ac:dyDescent="0.25">
      <c r="A47" s="188" t="s">
        <v>57</v>
      </c>
      <c r="B47" s="183"/>
      <c r="C47" s="183"/>
      <c r="D47" s="183"/>
      <c r="E47" s="183"/>
      <c r="F47" s="183"/>
      <c r="G47" s="183"/>
      <c r="H47" s="183"/>
      <c r="I47" s="183"/>
      <c r="J47" s="183"/>
      <c r="K47" s="183">
        <f>+Detallado!I49</f>
        <v>1</v>
      </c>
      <c r="L47" s="183"/>
      <c r="M47" s="139">
        <f>+Detallado!AE49</f>
        <v>0</v>
      </c>
      <c r="N47" s="139">
        <f>+Detallado!I28</f>
        <v>1</v>
      </c>
      <c r="O47" s="183"/>
      <c r="P47" s="139">
        <f>+Detallado!AE28</f>
        <v>0</v>
      </c>
      <c r="Q47" s="139">
        <f>+Detallado!I61</f>
        <v>1</v>
      </c>
      <c r="R47" s="183"/>
      <c r="S47" s="139">
        <f>+Detallado!AE61</f>
        <v>1</v>
      </c>
      <c r="T47" s="139">
        <f>+Detallado!I77</f>
        <v>1</v>
      </c>
      <c r="U47" s="183"/>
      <c r="V47" s="139">
        <f>+Detallado!AE77</f>
        <v>0</v>
      </c>
      <c r="W47" s="139">
        <f>+Detallado!I39</f>
        <v>1</v>
      </c>
      <c r="X47" s="183"/>
      <c r="Y47" s="139">
        <f>+Detallado!AE39</f>
        <v>0</v>
      </c>
      <c r="Z47" s="139">
        <f>+Detallado!I87</f>
        <v>1</v>
      </c>
      <c r="AA47" s="183"/>
      <c r="AB47" s="139">
        <f>+Detallado!AE87</f>
        <v>0</v>
      </c>
      <c r="AC47" s="183"/>
      <c r="AD47" s="183"/>
      <c r="AE47" s="183"/>
      <c r="AF47" s="183"/>
      <c r="AG47" s="183"/>
      <c r="AH47" s="189"/>
      <c r="AI47" s="282">
        <f t="shared" si="10"/>
        <v>7</v>
      </c>
      <c r="AJ47" s="282"/>
    </row>
    <row r="48" spans="1:36" x14ac:dyDescent="0.25">
      <c r="A48" s="190" t="s">
        <v>263</v>
      </c>
      <c r="B48" s="68"/>
      <c r="C48" s="68"/>
      <c r="D48" s="68"/>
      <c r="E48" s="68"/>
      <c r="F48" s="68"/>
      <c r="G48" s="68"/>
      <c r="H48" s="68"/>
      <c r="I48" s="68"/>
      <c r="J48" s="68"/>
      <c r="K48" s="68"/>
      <c r="L48" s="68"/>
      <c r="M48" s="68"/>
      <c r="N48" s="68"/>
      <c r="O48" s="68"/>
      <c r="P48" s="139">
        <f>+Detallado!AE29</f>
        <v>1</v>
      </c>
      <c r="Q48" s="139">
        <f>+Detallado!I62</f>
        <v>2</v>
      </c>
      <c r="R48" s="68"/>
      <c r="S48" s="139">
        <f>+Detallado!AE62</f>
        <v>1</v>
      </c>
      <c r="T48" s="68"/>
      <c r="U48" s="68"/>
      <c r="V48" s="68"/>
      <c r="W48" s="68"/>
      <c r="X48" s="68"/>
      <c r="Y48" s="68"/>
      <c r="Z48" s="68"/>
      <c r="AA48" s="68"/>
      <c r="AB48" s="68"/>
      <c r="AC48" s="68"/>
      <c r="AD48" s="68"/>
      <c r="AE48" s="68"/>
      <c r="AF48" s="68"/>
      <c r="AG48" s="68"/>
      <c r="AH48" s="191"/>
      <c r="AI48" s="282">
        <f t="shared" si="10"/>
        <v>4</v>
      </c>
      <c r="AJ48" s="282"/>
    </row>
    <row r="49" spans="1:46" x14ac:dyDescent="0.25">
      <c r="A49" s="190" t="s">
        <v>264</v>
      </c>
      <c r="B49" s="68"/>
      <c r="C49" s="68"/>
      <c r="D49" s="68"/>
      <c r="E49" s="68"/>
      <c r="F49" s="68"/>
      <c r="G49" s="68"/>
      <c r="H49" s="68"/>
      <c r="I49" s="68"/>
      <c r="J49" s="68"/>
      <c r="K49" s="68"/>
      <c r="L49" s="68"/>
      <c r="M49" s="68"/>
      <c r="N49" s="68"/>
      <c r="O49" s="68"/>
      <c r="P49" s="68"/>
      <c r="Q49" s="139">
        <f>+Detallado!I63</f>
        <v>1</v>
      </c>
      <c r="R49" s="68"/>
      <c r="S49" s="139">
        <f>+Detallado!AE63</f>
        <v>1</v>
      </c>
      <c r="T49" s="68"/>
      <c r="U49" s="68"/>
      <c r="V49" s="68"/>
      <c r="W49" s="68"/>
      <c r="X49" s="68"/>
      <c r="Y49" s="68"/>
      <c r="Z49" s="68"/>
      <c r="AA49" s="68"/>
      <c r="AB49" s="68"/>
      <c r="AC49" s="68"/>
      <c r="AD49" s="68"/>
      <c r="AE49" s="68"/>
      <c r="AF49" s="68"/>
      <c r="AG49" s="68"/>
      <c r="AH49" s="191"/>
      <c r="AI49" s="282">
        <f t="shared" si="10"/>
        <v>2</v>
      </c>
      <c r="AJ49" s="282"/>
    </row>
    <row r="50" spans="1:46" x14ac:dyDescent="0.25">
      <c r="A50" s="190"/>
      <c r="B50" s="68"/>
      <c r="C50" s="68"/>
      <c r="D50" s="68"/>
      <c r="E50" s="68"/>
      <c r="F50" s="68"/>
      <c r="G50" s="68"/>
      <c r="H50" s="68"/>
      <c r="I50" s="68"/>
      <c r="J50" s="68"/>
      <c r="K50" s="68"/>
      <c r="L50" s="68"/>
      <c r="M50" s="68"/>
      <c r="N50" s="68"/>
      <c r="O50" s="68"/>
      <c r="P50" s="68"/>
      <c r="Q50" s="139">
        <f>+Detallado!I64</f>
        <v>0</v>
      </c>
      <c r="R50" s="68"/>
      <c r="S50" s="139">
        <f>+Detallado!AE64</f>
        <v>0</v>
      </c>
      <c r="T50" s="68"/>
      <c r="U50" s="68"/>
      <c r="V50" s="68"/>
      <c r="W50" s="68"/>
      <c r="X50" s="68"/>
      <c r="Y50" s="68"/>
      <c r="Z50" s="68"/>
      <c r="AA50" s="68"/>
      <c r="AB50" s="68"/>
      <c r="AC50" s="68"/>
      <c r="AD50" s="68"/>
      <c r="AE50" s="68"/>
      <c r="AF50" s="68"/>
      <c r="AG50" s="68"/>
      <c r="AH50" s="191"/>
      <c r="AI50" s="282">
        <f t="shared" si="10"/>
        <v>0</v>
      </c>
      <c r="AJ50" s="282"/>
    </row>
    <row r="51" spans="1:46" x14ac:dyDescent="0.25">
      <c r="A51" s="190" t="s">
        <v>259</v>
      </c>
      <c r="B51" s="192">
        <f>SUM(B34:B50)</f>
        <v>5</v>
      </c>
      <c r="C51" s="192"/>
      <c r="D51" s="192">
        <f t="shared" ref="D51:E51" si="11">SUM(D34:D50)</f>
        <v>5</v>
      </c>
      <c r="E51" s="192">
        <f t="shared" si="11"/>
        <v>3</v>
      </c>
      <c r="F51" s="192"/>
      <c r="G51" s="192">
        <f t="shared" ref="G51" si="12">SUM(G34:G50)</f>
        <v>3</v>
      </c>
      <c r="H51" s="192">
        <f t="shared" ref="H51" si="13">SUM(H34:H50)</f>
        <v>4</v>
      </c>
      <c r="I51" s="192"/>
      <c r="J51" s="192">
        <f t="shared" ref="J51" si="14">SUM(J34:J50)</f>
        <v>5</v>
      </c>
      <c r="K51" s="192">
        <f t="shared" ref="K51" si="15">SUM(K34:K50)</f>
        <v>11</v>
      </c>
      <c r="L51" s="192"/>
      <c r="M51" s="192">
        <f t="shared" ref="M51" si="16">SUM(M34:M50)</f>
        <v>8</v>
      </c>
      <c r="N51" s="192">
        <f t="shared" ref="N51" si="17">SUM(N34:N50)</f>
        <v>11</v>
      </c>
      <c r="O51" s="192"/>
      <c r="P51" s="192">
        <f t="shared" ref="P51" si="18">SUM(P34:P50)</f>
        <v>9</v>
      </c>
      <c r="Q51" s="192">
        <f t="shared" ref="Q51" si="19">SUM(Q34:Q50)</f>
        <v>14</v>
      </c>
      <c r="R51" s="192"/>
      <c r="S51" s="192">
        <f t="shared" ref="S51" si="20">SUM(S34:S50)</f>
        <v>9</v>
      </c>
      <c r="T51" s="192">
        <f t="shared" ref="T51" si="21">SUM(T34:T50)</f>
        <v>11</v>
      </c>
      <c r="U51" s="192"/>
      <c r="V51" s="192">
        <f t="shared" ref="V51" si="22">SUM(V34:V50)</f>
        <v>9</v>
      </c>
      <c r="W51" s="192">
        <f t="shared" ref="W51" si="23">SUM(W34:W50)</f>
        <v>12</v>
      </c>
      <c r="X51" s="192"/>
      <c r="Y51" s="192">
        <f t="shared" ref="Y51" si="24">SUM(Y34:Y50)</f>
        <v>9</v>
      </c>
      <c r="Z51" s="192">
        <f t="shared" ref="Z51" si="25">SUM(Z34:Z50)</f>
        <v>12</v>
      </c>
      <c r="AA51" s="192"/>
      <c r="AB51" s="192">
        <f t="shared" ref="AB51" si="26">SUM(AB34:AB50)</f>
        <v>8</v>
      </c>
      <c r="AC51" s="192">
        <f t="shared" ref="AC51" si="27">SUM(AC34:AC50)</f>
        <v>4</v>
      </c>
      <c r="AD51" s="192"/>
      <c r="AE51" s="192">
        <f t="shared" ref="AE51" si="28">SUM(AE34:AE50)</f>
        <v>3</v>
      </c>
      <c r="AF51" s="192"/>
      <c r="AG51" s="192"/>
      <c r="AH51" s="192"/>
      <c r="AI51" s="282">
        <f>SUM(AI34:AJ50)</f>
        <v>155</v>
      </c>
      <c r="AJ51" s="282"/>
    </row>
    <row r="53" spans="1:46" x14ac:dyDescent="0.25">
      <c r="A53" t="s">
        <v>266</v>
      </c>
    </row>
    <row r="54" spans="1:46" x14ac:dyDescent="0.25">
      <c r="A54" s="275" t="s">
        <v>267</v>
      </c>
      <c r="B54" s="276"/>
      <c r="C54" s="276"/>
      <c r="D54" s="276"/>
      <c r="E54" s="276"/>
      <c r="F54" s="276"/>
      <c r="G54" s="276"/>
      <c r="H54" s="276"/>
      <c r="I54" s="276"/>
      <c r="J54" s="276"/>
      <c r="K54" s="276"/>
      <c r="L54" s="276"/>
      <c r="M54" s="276"/>
      <c r="N54" s="276"/>
      <c r="O54" s="276"/>
      <c r="P54" s="276"/>
      <c r="Q54" s="276"/>
      <c r="R54" s="276"/>
      <c r="S54" s="276"/>
      <c r="T54" s="276"/>
      <c r="U54" s="276"/>
      <c r="V54" s="276"/>
      <c r="W54" s="276"/>
      <c r="X54" s="276"/>
      <c r="Y54" s="276"/>
      <c r="Z54" s="276"/>
      <c r="AA54" s="276"/>
      <c r="AB54" s="276"/>
      <c r="AC54" s="276"/>
      <c r="AD54" s="276"/>
      <c r="AE54" s="276"/>
      <c r="AF54" s="276"/>
      <c r="AG54" s="276"/>
      <c r="AH54" s="276"/>
      <c r="AI54" s="276"/>
      <c r="AJ54" s="276"/>
      <c r="AK54" s="276"/>
      <c r="AL54" s="276"/>
      <c r="AM54" s="276"/>
      <c r="AN54" s="276"/>
      <c r="AO54" s="276"/>
      <c r="AP54" s="276"/>
      <c r="AQ54" s="276"/>
      <c r="AR54" s="276"/>
      <c r="AS54" s="277"/>
    </row>
    <row r="55" spans="1:46" x14ac:dyDescent="0.25">
      <c r="A55" s="278" t="s">
        <v>257</v>
      </c>
      <c r="B55" s="283" t="s">
        <v>241</v>
      </c>
      <c r="C55" s="284"/>
      <c r="D55" s="284"/>
      <c r="E55" s="285"/>
      <c r="F55" s="283" t="s">
        <v>242</v>
      </c>
      <c r="G55" s="284"/>
      <c r="H55" s="284"/>
      <c r="I55" s="285"/>
      <c r="J55" s="283" t="s">
        <v>133</v>
      </c>
      <c r="K55" s="284"/>
      <c r="L55" s="284"/>
      <c r="M55" s="285"/>
      <c r="N55" s="283" t="s">
        <v>258</v>
      </c>
      <c r="O55" s="284"/>
      <c r="P55" s="284"/>
      <c r="Q55" s="285"/>
      <c r="R55" s="283" t="s">
        <v>136</v>
      </c>
      <c r="S55" s="284"/>
      <c r="T55" s="284"/>
      <c r="U55" s="285"/>
      <c r="V55" s="283" t="s">
        <v>91</v>
      </c>
      <c r="W55" s="284"/>
      <c r="X55" s="284"/>
      <c r="Y55" s="285"/>
      <c r="Z55" s="283" t="s">
        <v>138</v>
      </c>
      <c r="AA55" s="284"/>
      <c r="AB55" s="284"/>
      <c r="AC55" s="285"/>
      <c r="AD55" s="283" t="s">
        <v>137</v>
      </c>
      <c r="AE55" s="284"/>
      <c r="AF55" s="284"/>
      <c r="AG55" s="285"/>
      <c r="AH55" s="283" t="s">
        <v>139</v>
      </c>
      <c r="AI55" s="284"/>
      <c r="AJ55" s="284"/>
      <c r="AK55" s="285"/>
      <c r="AL55" s="283" t="s">
        <v>140</v>
      </c>
      <c r="AM55" s="284"/>
      <c r="AN55" s="284"/>
      <c r="AO55" s="285"/>
      <c r="AP55" s="283" t="s">
        <v>135</v>
      </c>
      <c r="AQ55" s="284"/>
      <c r="AR55" s="284"/>
      <c r="AS55" s="285"/>
    </row>
    <row r="56" spans="1:46" ht="14.45" customHeight="1" x14ac:dyDescent="0.25">
      <c r="A56" s="279"/>
      <c r="B56" s="271" t="s">
        <v>80</v>
      </c>
      <c r="C56" s="286"/>
      <c r="D56" s="287" t="s">
        <v>81</v>
      </c>
      <c r="E56" s="287"/>
      <c r="F56" s="271" t="s">
        <v>80</v>
      </c>
      <c r="G56" s="286"/>
      <c r="H56" s="287" t="s">
        <v>81</v>
      </c>
      <c r="I56" s="287"/>
      <c r="J56" s="271" t="s">
        <v>80</v>
      </c>
      <c r="K56" s="286"/>
      <c r="L56" s="287" t="s">
        <v>81</v>
      </c>
      <c r="M56" s="287"/>
      <c r="N56" s="271" t="s">
        <v>80</v>
      </c>
      <c r="O56" s="286"/>
      <c r="P56" s="287" t="s">
        <v>81</v>
      </c>
      <c r="Q56" s="287"/>
      <c r="R56" s="271" t="s">
        <v>80</v>
      </c>
      <c r="S56" s="286"/>
      <c r="T56" s="287" t="s">
        <v>81</v>
      </c>
      <c r="U56" s="287"/>
      <c r="V56" s="271" t="s">
        <v>80</v>
      </c>
      <c r="W56" s="286"/>
      <c r="X56" s="287" t="s">
        <v>81</v>
      </c>
      <c r="Y56" s="287"/>
      <c r="Z56" s="271" t="s">
        <v>80</v>
      </c>
      <c r="AA56" s="286"/>
      <c r="AB56" s="287" t="s">
        <v>81</v>
      </c>
      <c r="AC56" s="287"/>
      <c r="AD56" s="271" t="s">
        <v>80</v>
      </c>
      <c r="AE56" s="286"/>
      <c r="AF56" s="300" t="s">
        <v>81</v>
      </c>
      <c r="AG56" s="301"/>
      <c r="AH56" s="302" t="s">
        <v>80</v>
      </c>
      <c r="AI56" s="303"/>
      <c r="AJ56" s="287" t="s">
        <v>81</v>
      </c>
      <c r="AK56" s="287"/>
      <c r="AL56" s="271" t="s">
        <v>80</v>
      </c>
      <c r="AM56" s="286"/>
      <c r="AN56" s="287" t="s">
        <v>81</v>
      </c>
      <c r="AO56" s="287"/>
      <c r="AP56" s="271" t="s">
        <v>80</v>
      </c>
      <c r="AQ56" s="286"/>
      <c r="AR56" s="287" t="s">
        <v>81</v>
      </c>
      <c r="AS56" s="287"/>
    </row>
    <row r="57" spans="1:46" x14ac:dyDescent="0.25">
      <c r="A57" s="184"/>
      <c r="B57" s="139" t="s">
        <v>268</v>
      </c>
      <c r="C57" s="139" t="s">
        <v>269</v>
      </c>
      <c r="D57" s="139" t="s">
        <v>268</v>
      </c>
      <c r="E57" s="139" t="s">
        <v>269</v>
      </c>
      <c r="F57" s="139" t="s">
        <v>268</v>
      </c>
      <c r="G57" s="139" t="s">
        <v>269</v>
      </c>
      <c r="H57" s="139" t="s">
        <v>268</v>
      </c>
      <c r="I57" s="139" t="s">
        <v>269</v>
      </c>
      <c r="J57" s="139" t="s">
        <v>268</v>
      </c>
      <c r="K57" s="139" t="s">
        <v>269</v>
      </c>
      <c r="L57" s="139" t="s">
        <v>268</v>
      </c>
      <c r="M57" s="139" t="s">
        <v>269</v>
      </c>
      <c r="N57" s="139" t="s">
        <v>268</v>
      </c>
      <c r="O57" s="139" t="s">
        <v>269</v>
      </c>
      <c r="P57" s="139" t="s">
        <v>268</v>
      </c>
      <c r="Q57" s="139" t="s">
        <v>269</v>
      </c>
      <c r="R57" s="139" t="s">
        <v>268</v>
      </c>
      <c r="S57" s="139" t="s">
        <v>269</v>
      </c>
      <c r="T57" s="139" t="s">
        <v>268</v>
      </c>
      <c r="U57" s="139" t="s">
        <v>269</v>
      </c>
      <c r="V57" s="139" t="s">
        <v>268</v>
      </c>
      <c r="W57" s="139" t="s">
        <v>269</v>
      </c>
      <c r="X57" s="139" t="s">
        <v>268</v>
      </c>
      <c r="Y57" s="139" t="s">
        <v>269</v>
      </c>
      <c r="Z57" s="139" t="s">
        <v>268</v>
      </c>
      <c r="AA57" s="139" t="s">
        <v>269</v>
      </c>
      <c r="AB57" s="139" t="s">
        <v>268</v>
      </c>
      <c r="AC57" s="139" t="s">
        <v>269</v>
      </c>
      <c r="AD57" s="139" t="s">
        <v>268</v>
      </c>
      <c r="AE57" s="139" t="s">
        <v>269</v>
      </c>
      <c r="AF57" s="139" t="s">
        <v>268</v>
      </c>
      <c r="AG57" s="139" t="s">
        <v>269</v>
      </c>
      <c r="AH57" s="139" t="s">
        <v>268</v>
      </c>
      <c r="AI57" s="139" t="s">
        <v>269</v>
      </c>
      <c r="AJ57" s="139" t="s">
        <v>268</v>
      </c>
      <c r="AK57" s="139" t="s">
        <v>269</v>
      </c>
      <c r="AL57" s="139" t="s">
        <v>268</v>
      </c>
      <c r="AM57" s="139" t="s">
        <v>269</v>
      </c>
      <c r="AN57" s="139" t="s">
        <v>268</v>
      </c>
      <c r="AO57" s="139" t="s">
        <v>269</v>
      </c>
      <c r="AP57" s="139" t="s">
        <v>268</v>
      </c>
      <c r="AQ57" s="139" t="s">
        <v>269</v>
      </c>
      <c r="AR57" s="139" t="s">
        <v>268</v>
      </c>
      <c r="AS57" s="139" t="s">
        <v>269</v>
      </c>
      <c r="AT57" s="192" t="s">
        <v>259</v>
      </c>
    </row>
    <row r="58" spans="1:46" x14ac:dyDescent="0.25">
      <c r="A58" s="184" t="s">
        <v>270</v>
      </c>
      <c r="B58" s="139">
        <f>+B34</f>
        <v>1</v>
      </c>
      <c r="C58" s="139">
        <f>+B58</f>
        <v>1</v>
      </c>
      <c r="D58" s="139">
        <f>+D34</f>
        <v>1</v>
      </c>
      <c r="E58" s="139">
        <f>+D58</f>
        <v>1</v>
      </c>
      <c r="F58" s="139"/>
      <c r="G58" s="139"/>
      <c r="H58" s="139"/>
      <c r="I58" s="139"/>
      <c r="J58" s="139"/>
      <c r="K58" s="139"/>
      <c r="L58" s="139"/>
      <c r="M58" s="139"/>
      <c r="N58" s="139"/>
      <c r="O58" s="139"/>
      <c r="P58" s="139"/>
      <c r="Q58" s="139"/>
      <c r="R58" s="139"/>
      <c r="S58" s="139"/>
      <c r="T58" s="139"/>
      <c r="U58" s="139"/>
      <c r="V58" s="139"/>
      <c r="W58" s="139"/>
      <c r="X58" s="139"/>
      <c r="Y58" s="139"/>
      <c r="Z58" s="139"/>
      <c r="AA58" s="139"/>
      <c r="AB58" s="139"/>
      <c r="AC58" s="139"/>
      <c r="AD58" s="139"/>
      <c r="AE58" s="139"/>
      <c r="AF58" s="139"/>
      <c r="AG58" s="139"/>
      <c r="AH58" s="139"/>
      <c r="AI58" s="139"/>
      <c r="AJ58" s="139"/>
      <c r="AK58" s="139"/>
      <c r="AL58" s="139"/>
      <c r="AM58" s="139"/>
      <c r="AN58" s="139"/>
      <c r="AO58" s="139"/>
      <c r="AP58" s="139"/>
      <c r="AQ58" s="139"/>
      <c r="AR58" s="139"/>
      <c r="AS58" s="139"/>
      <c r="AT58" s="187">
        <f>SUM(B58:AS58)</f>
        <v>4</v>
      </c>
    </row>
    <row r="59" spans="1:46" x14ac:dyDescent="0.25">
      <c r="A59" s="184" t="s">
        <v>39</v>
      </c>
      <c r="B59" s="139">
        <f t="shared" ref="B59:B62" si="29">+B35</f>
        <v>1</v>
      </c>
      <c r="C59" s="139">
        <f t="shared" ref="C59:C61" si="30">+B59</f>
        <v>1</v>
      </c>
      <c r="D59" s="139">
        <f t="shared" ref="D59:D62" si="31">+D35</f>
        <v>1</v>
      </c>
      <c r="E59" s="139">
        <f t="shared" ref="E59:E62" si="32">+D59</f>
        <v>1</v>
      </c>
      <c r="F59" s="139"/>
      <c r="G59" s="139"/>
      <c r="H59" s="139"/>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c r="AO59" s="139"/>
      <c r="AP59" s="139"/>
      <c r="AQ59" s="139"/>
      <c r="AR59" s="139"/>
      <c r="AS59" s="139"/>
      <c r="AT59" s="187">
        <f t="shared" ref="AT59:AT73" si="33">SUM(B59:AS59)</f>
        <v>4</v>
      </c>
    </row>
    <row r="60" spans="1:46" x14ac:dyDescent="0.25">
      <c r="A60" s="188" t="s">
        <v>38</v>
      </c>
      <c r="B60" s="139">
        <f t="shared" si="29"/>
        <v>1</v>
      </c>
      <c r="C60" s="139">
        <f t="shared" si="30"/>
        <v>1</v>
      </c>
      <c r="D60" s="139">
        <f t="shared" si="31"/>
        <v>1</v>
      </c>
      <c r="E60" s="139">
        <f t="shared" si="32"/>
        <v>1</v>
      </c>
      <c r="F60" s="139">
        <f>+E36</f>
        <v>1</v>
      </c>
      <c r="G60" s="139">
        <f>+F60</f>
        <v>1</v>
      </c>
      <c r="H60" s="139">
        <f>+G36</f>
        <v>1</v>
      </c>
      <c r="I60" s="139">
        <f>+H60</f>
        <v>1</v>
      </c>
      <c r="J60" s="139"/>
      <c r="K60" s="139"/>
      <c r="L60" s="139"/>
      <c r="M60" s="139"/>
      <c r="N60" s="139"/>
      <c r="O60" s="139"/>
      <c r="P60" s="139"/>
      <c r="Q60" s="139"/>
      <c r="R60" s="139"/>
      <c r="S60" s="139"/>
      <c r="T60" s="139"/>
      <c r="U60" s="139"/>
      <c r="V60" s="139"/>
      <c r="W60" s="139"/>
      <c r="X60" s="139"/>
      <c r="Y60" s="139"/>
      <c r="Z60" s="139"/>
      <c r="AA60" s="139"/>
      <c r="AB60" s="139"/>
      <c r="AC60" s="139"/>
      <c r="AD60" s="139"/>
      <c r="AE60" s="139"/>
      <c r="AF60" s="139"/>
      <c r="AG60" s="139"/>
      <c r="AH60" s="139"/>
      <c r="AI60" s="139"/>
      <c r="AJ60" s="139"/>
      <c r="AK60" s="139"/>
      <c r="AL60" s="139"/>
      <c r="AM60" s="139"/>
      <c r="AN60" s="139"/>
      <c r="AO60" s="139"/>
      <c r="AP60" s="139"/>
      <c r="AQ60" s="139"/>
      <c r="AR60" s="139"/>
      <c r="AS60" s="139"/>
      <c r="AT60" s="187">
        <f t="shared" si="33"/>
        <v>8</v>
      </c>
    </row>
    <row r="61" spans="1:46" x14ac:dyDescent="0.25">
      <c r="A61" s="188" t="s">
        <v>40</v>
      </c>
      <c r="B61" s="139">
        <f t="shared" si="29"/>
        <v>1</v>
      </c>
      <c r="C61" s="139">
        <f t="shared" si="30"/>
        <v>1</v>
      </c>
      <c r="D61" s="139">
        <f t="shared" si="31"/>
        <v>1</v>
      </c>
      <c r="E61" s="139">
        <f t="shared" si="32"/>
        <v>1</v>
      </c>
      <c r="F61" s="139">
        <f t="shared" ref="F61:F62" si="34">+E37</f>
        <v>1</v>
      </c>
      <c r="G61" s="139">
        <f t="shared" ref="G61:G62" si="35">+F61</f>
        <v>1</v>
      </c>
      <c r="H61" s="139">
        <f t="shared" ref="H61:H62" si="36">+G37</f>
        <v>1</v>
      </c>
      <c r="I61" s="139">
        <f t="shared" ref="I61:I62" si="37">+H61</f>
        <v>1</v>
      </c>
      <c r="J61" s="139">
        <f>+H37</f>
        <v>1</v>
      </c>
      <c r="K61" s="139">
        <f>+J61</f>
        <v>1</v>
      </c>
      <c r="L61" s="139">
        <f>+J37</f>
        <v>1</v>
      </c>
      <c r="M61" s="139"/>
      <c r="N61" s="139"/>
      <c r="O61" s="139"/>
      <c r="P61" s="139"/>
      <c r="Q61" s="139"/>
      <c r="R61" s="139"/>
      <c r="S61" s="139"/>
      <c r="T61" s="139"/>
      <c r="U61" s="139"/>
      <c r="V61" s="139">
        <f>+Q37</f>
        <v>1</v>
      </c>
      <c r="W61" s="139"/>
      <c r="X61" s="139">
        <f>+S37</f>
        <v>1</v>
      </c>
      <c r="Y61" s="139"/>
      <c r="Z61" s="139"/>
      <c r="AA61" s="139"/>
      <c r="AB61" s="139"/>
      <c r="AC61" s="139"/>
      <c r="AD61" s="139"/>
      <c r="AE61" s="139"/>
      <c r="AF61" s="139"/>
      <c r="AG61" s="139"/>
      <c r="AH61" s="139"/>
      <c r="AI61" s="139"/>
      <c r="AJ61" s="139"/>
      <c r="AK61" s="139"/>
      <c r="AL61" s="139"/>
      <c r="AM61" s="139"/>
      <c r="AN61" s="139"/>
      <c r="AO61" s="139"/>
      <c r="AP61" s="139"/>
      <c r="AQ61" s="139"/>
      <c r="AR61" s="139"/>
      <c r="AS61" s="139"/>
      <c r="AT61" s="187">
        <f t="shared" si="33"/>
        <v>13</v>
      </c>
    </row>
    <row r="62" spans="1:46" x14ac:dyDescent="0.25">
      <c r="A62" s="188" t="s">
        <v>41</v>
      </c>
      <c r="B62" s="139">
        <f t="shared" si="29"/>
        <v>1</v>
      </c>
      <c r="C62" s="139">
        <f>+B62</f>
        <v>1</v>
      </c>
      <c r="D62" s="139">
        <f t="shared" si="31"/>
        <v>1</v>
      </c>
      <c r="E62" s="139">
        <f t="shared" si="32"/>
        <v>1</v>
      </c>
      <c r="F62" s="139">
        <f t="shared" si="34"/>
        <v>1</v>
      </c>
      <c r="G62" s="139">
        <f t="shared" si="35"/>
        <v>1</v>
      </c>
      <c r="H62" s="139">
        <f t="shared" si="36"/>
        <v>1</v>
      </c>
      <c r="I62" s="139">
        <f t="shared" si="37"/>
        <v>1</v>
      </c>
      <c r="J62" s="139">
        <f t="shared" ref="J62:J65" si="38">+H38</f>
        <v>2</v>
      </c>
      <c r="K62" s="139">
        <f t="shared" ref="K62:K65" si="39">+J62</f>
        <v>2</v>
      </c>
      <c r="L62" s="139">
        <f t="shared" ref="L62:L65" si="40">+J38</f>
        <v>1</v>
      </c>
      <c r="M62" s="139"/>
      <c r="N62" s="139"/>
      <c r="O62" s="139"/>
      <c r="P62" s="139"/>
      <c r="Q62" s="139"/>
      <c r="R62" s="139"/>
      <c r="S62" s="139"/>
      <c r="T62" s="139"/>
      <c r="U62" s="139"/>
      <c r="V62" s="139">
        <f t="shared" ref="V62:V73" si="41">+Q38</f>
        <v>1</v>
      </c>
      <c r="W62" s="139"/>
      <c r="X62" s="139">
        <f t="shared" ref="X62:X73" si="42">+S38</f>
        <v>1</v>
      </c>
      <c r="Y62" s="139"/>
      <c r="Z62" s="139"/>
      <c r="AA62" s="139"/>
      <c r="AB62" s="139"/>
      <c r="AC62" s="139"/>
      <c r="AD62" s="139"/>
      <c r="AE62" s="139"/>
      <c r="AF62" s="139"/>
      <c r="AG62" s="139"/>
      <c r="AH62" s="139"/>
      <c r="AI62" s="139"/>
      <c r="AJ62" s="139"/>
      <c r="AK62" s="139"/>
      <c r="AL62" s="139"/>
      <c r="AM62" s="139"/>
      <c r="AN62" s="139"/>
      <c r="AO62" s="139"/>
      <c r="AP62" s="139"/>
      <c r="AQ62" s="139"/>
      <c r="AR62" s="139"/>
      <c r="AS62" s="139"/>
      <c r="AT62" s="187">
        <f t="shared" si="33"/>
        <v>15</v>
      </c>
    </row>
    <row r="63" spans="1:46" x14ac:dyDescent="0.25">
      <c r="A63" s="188" t="s">
        <v>83</v>
      </c>
      <c r="B63" s="139"/>
      <c r="C63" s="139"/>
      <c r="D63" s="139"/>
      <c r="E63" s="139"/>
      <c r="F63" s="139"/>
      <c r="G63" s="139"/>
      <c r="H63" s="139"/>
      <c r="I63" s="139"/>
      <c r="J63" s="139">
        <f t="shared" si="38"/>
        <v>1</v>
      </c>
      <c r="K63" s="139">
        <f t="shared" si="39"/>
        <v>1</v>
      </c>
      <c r="L63" s="139">
        <f t="shared" si="40"/>
        <v>1</v>
      </c>
      <c r="M63" s="139"/>
      <c r="N63" s="139">
        <f>+K39</f>
        <v>2</v>
      </c>
      <c r="O63" s="139"/>
      <c r="P63" s="139">
        <f>+M39</f>
        <v>2</v>
      </c>
      <c r="Q63" s="139"/>
      <c r="R63" s="139"/>
      <c r="S63" s="139"/>
      <c r="T63" s="139"/>
      <c r="U63" s="139"/>
      <c r="V63" s="139">
        <f t="shared" si="41"/>
        <v>1</v>
      </c>
      <c r="W63" s="139"/>
      <c r="X63" s="139">
        <f t="shared" si="42"/>
        <v>1</v>
      </c>
      <c r="Y63" s="139"/>
      <c r="Z63" s="139">
        <f>+T39</f>
        <v>2</v>
      </c>
      <c r="AA63" s="139"/>
      <c r="AB63" s="139">
        <f>+V39</f>
        <v>2</v>
      </c>
      <c r="AC63" s="139"/>
      <c r="AD63" s="139">
        <f>+W39</f>
        <v>2</v>
      </c>
      <c r="AE63" s="139"/>
      <c r="AF63" s="139">
        <f>+Y39</f>
        <v>2</v>
      </c>
      <c r="AG63" s="139"/>
      <c r="AH63" s="139">
        <f>+Z39</f>
        <v>2</v>
      </c>
      <c r="AI63" s="139"/>
      <c r="AJ63" s="139">
        <f>+AB39</f>
        <v>2</v>
      </c>
      <c r="AK63" s="139"/>
      <c r="AL63" s="139"/>
      <c r="AM63" s="139"/>
      <c r="AN63" s="139"/>
      <c r="AO63" s="139"/>
      <c r="AP63" s="139"/>
      <c r="AQ63" s="139"/>
      <c r="AR63" s="139"/>
      <c r="AS63" s="139"/>
      <c r="AT63" s="187">
        <f t="shared" si="33"/>
        <v>21</v>
      </c>
    </row>
    <row r="64" spans="1:46" x14ac:dyDescent="0.25">
      <c r="A64" s="188" t="s">
        <v>46</v>
      </c>
      <c r="B64" s="139"/>
      <c r="C64" s="139"/>
      <c r="D64" s="139"/>
      <c r="E64" s="139"/>
      <c r="F64" s="139"/>
      <c r="G64" s="139"/>
      <c r="H64" s="139"/>
      <c r="I64" s="139"/>
      <c r="J64" s="139">
        <f t="shared" si="38"/>
        <v>0</v>
      </c>
      <c r="K64" s="139">
        <f t="shared" si="39"/>
        <v>0</v>
      </c>
      <c r="L64" s="139">
        <f t="shared" si="40"/>
        <v>1</v>
      </c>
      <c r="M64" s="139"/>
      <c r="N64" s="139">
        <f t="shared" ref="N64:N71" si="43">+K40</f>
        <v>1</v>
      </c>
      <c r="O64" s="139"/>
      <c r="P64" s="139">
        <f t="shared" ref="P64:P71" si="44">+M40</f>
        <v>2</v>
      </c>
      <c r="Q64" s="139"/>
      <c r="R64" s="139">
        <f>+N40</f>
        <v>3</v>
      </c>
      <c r="S64" s="139"/>
      <c r="T64" s="139">
        <f>+P40</f>
        <v>2</v>
      </c>
      <c r="U64" s="139"/>
      <c r="V64" s="139">
        <f t="shared" si="41"/>
        <v>1</v>
      </c>
      <c r="W64" s="139"/>
      <c r="X64" s="139">
        <f t="shared" si="42"/>
        <v>1</v>
      </c>
      <c r="Y64" s="139"/>
      <c r="Z64" s="139">
        <f t="shared" ref="Z64:Z71" si="45">+T40</f>
        <v>2</v>
      </c>
      <c r="AA64" s="139"/>
      <c r="AB64" s="139">
        <f t="shared" ref="AB64:AB71" si="46">+V40</f>
        <v>2</v>
      </c>
      <c r="AC64" s="139"/>
      <c r="AD64" s="139">
        <f t="shared" ref="AD64:AD71" si="47">+W40</f>
        <v>1</v>
      </c>
      <c r="AE64" s="139"/>
      <c r="AF64" s="139">
        <f t="shared" ref="AF64:AF71" si="48">+Y40</f>
        <v>2</v>
      </c>
      <c r="AG64" s="139"/>
      <c r="AH64" s="139">
        <f t="shared" ref="AH64:AH71" si="49">+Z40</f>
        <v>2</v>
      </c>
      <c r="AI64" s="139"/>
      <c r="AJ64" s="139">
        <f t="shared" ref="AJ64:AJ71" si="50">+AB40</f>
        <v>2</v>
      </c>
      <c r="AK64" s="139"/>
      <c r="AL64" s="139">
        <f>+AC40</f>
        <v>0</v>
      </c>
      <c r="AM64" s="139"/>
      <c r="AN64" s="139">
        <f>+AE40</f>
        <v>2</v>
      </c>
      <c r="AO64" s="139">
        <v>2</v>
      </c>
      <c r="AP64" s="139"/>
      <c r="AQ64" s="139"/>
      <c r="AR64" s="139"/>
      <c r="AS64" s="139"/>
      <c r="AT64" s="187">
        <f t="shared" si="33"/>
        <v>26</v>
      </c>
    </row>
    <row r="65" spans="1:46" x14ac:dyDescent="0.25">
      <c r="A65" s="188" t="s">
        <v>47</v>
      </c>
      <c r="B65" s="139"/>
      <c r="C65" s="139"/>
      <c r="D65" s="139"/>
      <c r="E65" s="139"/>
      <c r="F65" s="139"/>
      <c r="G65" s="139"/>
      <c r="H65" s="139"/>
      <c r="I65" s="139"/>
      <c r="J65" s="139">
        <f t="shared" si="38"/>
        <v>0</v>
      </c>
      <c r="K65" s="139">
        <f t="shared" si="39"/>
        <v>0</v>
      </c>
      <c r="L65" s="139">
        <f t="shared" si="40"/>
        <v>1</v>
      </c>
      <c r="M65" s="139"/>
      <c r="N65" s="139">
        <f t="shared" si="43"/>
        <v>2</v>
      </c>
      <c r="O65" s="139"/>
      <c r="P65" s="139">
        <f t="shared" si="44"/>
        <v>1</v>
      </c>
      <c r="Q65" s="139"/>
      <c r="R65" s="139">
        <f t="shared" ref="R65:R72" si="51">+N41</f>
        <v>2</v>
      </c>
      <c r="S65" s="139"/>
      <c r="T65" s="139">
        <f t="shared" ref="T65:T72" si="52">+P41</f>
        <v>2</v>
      </c>
      <c r="U65" s="139"/>
      <c r="V65" s="139">
        <f t="shared" si="41"/>
        <v>1</v>
      </c>
      <c r="W65" s="139"/>
      <c r="X65" s="139">
        <f t="shared" si="42"/>
        <v>1</v>
      </c>
      <c r="Y65" s="139"/>
      <c r="Z65" s="139">
        <f t="shared" si="45"/>
        <v>1</v>
      </c>
      <c r="AA65" s="139"/>
      <c r="AB65" s="139">
        <f t="shared" si="46"/>
        <v>2</v>
      </c>
      <c r="AC65" s="139"/>
      <c r="AD65" s="139">
        <f t="shared" si="47"/>
        <v>2</v>
      </c>
      <c r="AE65" s="139"/>
      <c r="AF65" s="139">
        <f t="shared" si="48"/>
        <v>2</v>
      </c>
      <c r="AG65" s="139"/>
      <c r="AH65" s="139">
        <f t="shared" si="49"/>
        <v>2</v>
      </c>
      <c r="AI65" s="139"/>
      <c r="AJ65" s="139">
        <f t="shared" si="50"/>
        <v>1</v>
      </c>
      <c r="AK65" s="139"/>
      <c r="AL65" s="139">
        <f t="shared" ref="AL65:AL67" si="53">+AC41</f>
        <v>2</v>
      </c>
      <c r="AM65" s="139"/>
      <c r="AN65" s="139">
        <f t="shared" ref="AN65:AN67" si="54">+AE41</f>
        <v>1</v>
      </c>
      <c r="AO65" s="139">
        <v>1</v>
      </c>
      <c r="AP65" s="139"/>
      <c r="AQ65" s="139"/>
      <c r="AR65" s="139"/>
      <c r="AS65" s="139"/>
      <c r="AT65" s="187">
        <f t="shared" si="33"/>
        <v>24</v>
      </c>
    </row>
    <row r="66" spans="1:46" x14ac:dyDescent="0.25">
      <c r="A66" s="188" t="s">
        <v>51</v>
      </c>
      <c r="B66" s="139"/>
      <c r="C66" s="139"/>
      <c r="D66" s="139"/>
      <c r="E66" s="139"/>
      <c r="F66" s="139"/>
      <c r="G66" s="139"/>
      <c r="H66" s="139"/>
      <c r="I66" s="139"/>
      <c r="J66" s="139"/>
      <c r="K66" s="139"/>
      <c r="L66" s="139"/>
      <c r="M66" s="139"/>
      <c r="N66" s="139">
        <f t="shared" si="43"/>
        <v>1</v>
      </c>
      <c r="O66" s="139"/>
      <c r="P66" s="139">
        <f t="shared" si="44"/>
        <v>1</v>
      </c>
      <c r="Q66" s="139"/>
      <c r="R66" s="139">
        <f t="shared" si="51"/>
        <v>1</v>
      </c>
      <c r="S66" s="139"/>
      <c r="T66" s="139">
        <f t="shared" si="52"/>
        <v>2</v>
      </c>
      <c r="U66" s="139"/>
      <c r="V66" s="139">
        <f t="shared" si="41"/>
        <v>1</v>
      </c>
      <c r="W66" s="139"/>
      <c r="X66" s="139">
        <f t="shared" si="42"/>
        <v>0</v>
      </c>
      <c r="Y66" s="139"/>
      <c r="Z66" s="139">
        <f t="shared" si="45"/>
        <v>1</v>
      </c>
      <c r="AA66" s="139"/>
      <c r="AB66" s="139">
        <f t="shared" si="46"/>
        <v>1</v>
      </c>
      <c r="AC66" s="139"/>
      <c r="AD66" s="139">
        <f t="shared" si="47"/>
        <v>2</v>
      </c>
      <c r="AE66" s="139"/>
      <c r="AF66" s="139">
        <f t="shared" si="48"/>
        <v>1</v>
      </c>
      <c r="AG66" s="139"/>
      <c r="AH66" s="139">
        <f t="shared" si="49"/>
        <v>1</v>
      </c>
      <c r="AI66" s="139"/>
      <c r="AJ66" s="139">
        <f t="shared" si="50"/>
        <v>1</v>
      </c>
      <c r="AK66" s="139"/>
      <c r="AL66" s="139">
        <f t="shared" si="53"/>
        <v>1</v>
      </c>
      <c r="AM66" s="139"/>
      <c r="AN66" s="139">
        <f t="shared" si="54"/>
        <v>0</v>
      </c>
      <c r="AO66" s="139"/>
      <c r="AP66" s="139"/>
      <c r="AQ66" s="139"/>
      <c r="AR66" s="139"/>
      <c r="AS66" s="139"/>
      <c r="AT66" s="187">
        <f t="shared" si="33"/>
        <v>14</v>
      </c>
    </row>
    <row r="67" spans="1:46" x14ac:dyDescent="0.25">
      <c r="A67" s="188" t="s">
        <v>52</v>
      </c>
      <c r="B67" s="139"/>
      <c r="C67" s="139"/>
      <c r="D67" s="139"/>
      <c r="E67" s="139"/>
      <c r="F67" s="139"/>
      <c r="G67" s="139"/>
      <c r="H67" s="139"/>
      <c r="I67" s="139"/>
      <c r="J67" s="139"/>
      <c r="K67" s="139"/>
      <c r="L67" s="139"/>
      <c r="M67" s="139"/>
      <c r="N67" s="139">
        <f t="shared" si="43"/>
        <v>1</v>
      </c>
      <c r="O67" s="139"/>
      <c r="P67" s="139">
        <f t="shared" si="44"/>
        <v>1</v>
      </c>
      <c r="Q67" s="139"/>
      <c r="R67" s="139">
        <f t="shared" si="51"/>
        <v>1</v>
      </c>
      <c r="S67" s="139"/>
      <c r="T67" s="139">
        <f t="shared" si="52"/>
        <v>1</v>
      </c>
      <c r="U67" s="139"/>
      <c r="V67" s="139">
        <f t="shared" si="41"/>
        <v>1</v>
      </c>
      <c r="W67" s="139"/>
      <c r="X67" s="139">
        <f t="shared" si="42"/>
        <v>0</v>
      </c>
      <c r="Y67" s="139"/>
      <c r="Z67" s="139">
        <f t="shared" si="45"/>
        <v>1</v>
      </c>
      <c r="AA67" s="139"/>
      <c r="AB67" s="139">
        <f t="shared" si="46"/>
        <v>1</v>
      </c>
      <c r="AC67" s="139"/>
      <c r="AD67" s="139">
        <f t="shared" si="47"/>
        <v>1</v>
      </c>
      <c r="AE67" s="139"/>
      <c r="AF67" s="139">
        <f t="shared" si="48"/>
        <v>1</v>
      </c>
      <c r="AG67" s="139"/>
      <c r="AH67" s="139">
        <f t="shared" si="49"/>
        <v>1</v>
      </c>
      <c r="AI67" s="139"/>
      <c r="AJ67" s="139">
        <f t="shared" si="50"/>
        <v>1</v>
      </c>
      <c r="AK67" s="139"/>
      <c r="AL67" s="139">
        <f t="shared" si="53"/>
        <v>1</v>
      </c>
      <c r="AM67" s="139"/>
      <c r="AN67" s="139">
        <f t="shared" si="54"/>
        <v>0</v>
      </c>
      <c r="AO67" s="139"/>
      <c r="AP67" s="139"/>
      <c r="AQ67" s="139"/>
      <c r="AR67" s="139"/>
      <c r="AS67" s="139"/>
      <c r="AT67" s="187">
        <f t="shared" si="33"/>
        <v>12</v>
      </c>
    </row>
    <row r="68" spans="1:46" x14ac:dyDescent="0.25">
      <c r="A68" s="188" t="s">
        <v>260</v>
      </c>
      <c r="B68" s="139"/>
      <c r="C68" s="139"/>
      <c r="D68" s="139"/>
      <c r="E68" s="139"/>
      <c r="F68" s="139"/>
      <c r="G68" s="139"/>
      <c r="H68" s="139"/>
      <c r="I68" s="139"/>
      <c r="J68" s="139"/>
      <c r="K68" s="139"/>
      <c r="L68" s="139"/>
      <c r="M68" s="139"/>
      <c r="N68" s="139">
        <f t="shared" si="43"/>
        <v>1</v>
      </c>
      <c r="O68" s="139"/>
      <c r="P68" s="139">
        <f t="shared" si="44"/>
        <v>0</v>
      </c>
      <c r="Q68" s="139"/>
      <c r="R68" s="139">
        <f t="shared" si="51"/>
        <v>1</v>
      </c>
      <c r="S68" s="139"/>
      <c r="T68" s="139">
        <f t="shared" si="52"/>
        <v>1</v>
      </c>
      <c r="U68" s="139"/>
      <c r="V68" s="139">
        <f t="shared" si="41"/>
        <v>1</v>
      </c>
      <c r="W68" s="139"/>
      <c r="X68" s="139">
        <f t="shared" si="42"/>
        <v>0</v>
      </c>
      <c r="Y68" s="139"/>
      <c r="Z68" s="139">
        <f t="shared" si="45"/>
        <v>1</v>
      </c>
      <c r="AA68" s="139"/>
      <c r="AB68" s="139">
        <f t="shared" si="46"/>
        <v>1</v>
      </c>
      <c r="AC68" s="139"/>
      <c r="AD68" s="139">
        <f t="shared" si="47"/>
        <v>1</v>
      </c>
      <c r="AE68" s="139"/>
      <c r="AF68" s="139">
        <f t="shared" si="48"/>
        <v>1</v>
      </c>
      <c r="AG68" s="139"/>
      <c r="AH68" s="139">
        <f t="shared" si="49"/>
        <v>1</v>
      </c>
      <c r="AI68" s="139"/>
      <c r="AJ68" s="139">
        <f t="shared" si="50"/>
        <v>0</v>
      </c>
      <c r="AK68" s="139"/>
      <c r="AL68" s="139"/>
      <c r="AM68" s="139"/>
      <c r="AN68" s="139"/>
      <c r="AO68" s="139"/>
      <c r="AP68" s="139"/>
      <c r="AQ68" s="139"/>
      <c r="AR68" s="139"/>
      <c r="AS68" s="139"/>
      <c r="AT68" s="187">
        <f t="shared" si="33"/>
        <v>9</v>
      </c>
    </row>
    <row r="69" spans="1:46" x14ac:dyDescent="0.25">
      <c r="A69" s="188" t="s">
        <v>261</v>
      </c>
      <c r="B69" s="139"/>
      <c r="C69" s="139"/>
      <c r="D69" s="139"/>
      <c r="E69" s="139"/>
      <c r="F69" s="139"/>
      <c r="G69" s="139"/>
      <c r="H69" s="139"/>
      <c r="I69" s="139"/>
      <c r="J69" s="139"/>
      <c r="K69" s="139"/>
      <c r="L69" s="139"/>
      <c r="M69" s="139"/>
      <c r="N69" s="139">
        <f t="shared" si="43"/>
        <v>1</v>
      </c>
      <c r="O69" s="139"/>
      <c r="P69" s="139">
        <f t="shared" si="44"/>
        <v>1</v>
      </c>
      <c r="Q69" s="139"/>
      <c r="R69" s="139">
        <f t="shared" si="51"/>
        <v>1</v>
      </c>
      <c r="S69" s="139"/>
      <c r="T69" s="139">
        <f t="shared" si="52"/>
        <v>0</v>
      </c>
      <c r="U69" s="139"/>
      <c r="V69" s="139">
        <f t="shared" si="41"/>
        <v>1</v>
      </c>
      <c r="W69" s="139"/>
      <c r="X69" s="139">
        <f t="shared" si="42"/>
        <v>1</v>
      </c>
      <c r="Y69" s="139"/>
      <c r="Z69" s="139">
        <f t="shared" si="45"/>
        <v>1</v>
      </c>
      <c r="AA69" s="139"/>
      <c r="AB69" s="139">
        <f t="shared" si="46"/>
        <v>0</v>
      </c>
      <c r="AC69" s="139"/>
      <c r="AD69" s="139">
        <f t="shared" si="47"/>
        <v>1</v>
      </c>
      <c r="AE69" s="139"/>
      <c r="AF69" s="139">
        <f t="shared" si="48"/>
        <v>0</v>
      </c>
      <c r="AG69" s="139"/>
      <c r="AH69" s="139">
        <f t="shared" si="49"/>
        <v>1</v>
      </c>
      <c r="AI69" s="139"/>
      <c r="AJ69" s="139">
        <f t="shared" si="50"/>
        <v>1</v>
      </c>
      <c r="AK69" s="139"/>
      <c r="AL69" s="139"/>
      <c r="AM69" s="139"/>
      <c r="AN69" s="139"/>
      <c r="AO69" s="139"/>
      <c r="AP69" s="139"/>
      <c r="AQ69" s="139"/>
      <c r="AR69" s="139"/>
      <c r="AS69" s="139"/>
      <c r="AT69" s="187">
        <f t="shared" si="33"/>
        <v>9</v>
      </c>
    </row>
    <row r="70" spans="1:46" x14ac:dyDescent="0.25">
      <c r="A70" s="188" t="s">
        <v>262</v>
      </c>
      <c r="B70" s="139"/>
      <c r="C70" s="139"/>
      <c r="D70" s="139"/>
      <c r="E70" s="139"/>
      <c r="F70" s="139"/>
      <c r="G70" s="139"/>
      <c r="H70" s="139"/>
      <c r="I70" s="139"/>
      <c r="J70" s="139"/>
      <c r="K70" s="139"/>
      <c r="L70" s="139"/>
      <c r="M70" s="139"/>
      <c r="N70" s="139">
        <f t="shared" si="43"/>
        <v>1</v>
      </c>
      <c r="O70" s="139"/>
      <c r="P70" s="139">
        <f t="shared" si="44"/>
        <v>0</v>
      </c>
      <c r="Q70" s="139"/>
      <c r="R70" s="139">
        <f t="shared" si="51"/>
        <v>1</v>
      </c>
      <c r="S70" s="139"/>
      <c r="T70" s="139">
        <f t="shared" si="52"/>
        <v>0</v>
      </c>
      <c r="U70" s="139"/>
      <c r="V70" s="139">
        <f t="shared" si="41"/>
        <v>1</v>
      </c>
      <c r="W70" s="139"/>
      <c r="X70" s="139">
        <f t="shared" si="42"/>
        <v>0</v>
      </c>
      <c r="Y70" s="139"/>
      <c r="Z70" s="139">
        <f t="shared" si="45"/>
        <v>1</v>
      </c>
      <c r="AA70" s="139"/>
      <c r="AB70" s="139">
        <f t="shared" si="46"/>
        <v>0</v>
      </c>
      <c r="AC70" s="139"/>
      <c r="AD70" s="139">
        <f t="shared" si="47"/>
        <v>1</v>
      </c>
      <c r="AE70" s="139"/>
      <c r="AF70" s="139">
        <f t="shared" si="48"/>
        <v>0</v>
      </c>
      <c r="AG70" s="139"/>
      <c r="AH70" s="139">
        <f t="shared" si="49"/>
        <v>1</v>
      </c>
      <c r="AI70" s="139"/>
      <c r="AJ70" s="139">
        <f t="shared" si="50"/>
        <v>0</v>
      </c>
      <c r="AK70" s="139"/>
      <c r="AL70" s="139"/>
      <c r="AM70" s="139"/>
      <c r="AN70" s="139"/>
      <c r="AO70" s="139"/>
      <c r="AP70" s="139"/>
      <c r="AQ70" s="139"/>
      <c r="AR70" s="139"/>
      <c r="AS70" s="139"/>
      <c r="AT70" s="187">
        <f t="shared" si="33"/>
        <v>6</v>
      </c>
    </row>
    <row r="71" spans="1:46" x14ac:dyDescent="0.25">
      <c r="A71" s="188" t="s">
        <v>57</v>
      </c>
      <c r="B71" s="183"/>
      <c r="C71" s="183"/>
      <c r="D71" s="183"/>
      <c r="E71" s="183"/>
      <c r="F71" s="183"/>
      <c r="G71" s="183"/>
      <c r="H71" s="183"/>
      <c r="I71" s="183"/>
      <c r="J71" s="183"/>
      <c r="K71" s="183"/>
      <c r="L71" s="183"/>
      <c r="M71" s="183"/>
      <c r="N71" s="139">
        <f t="shared" si="43"/>
        <v>1</v>
      </c>
      <c r="O71" s="139"/>
      <c r="P71" s="139">
        <f t="shared" si="44"/>
        <v>0</v>
      </c>
      <c r="Q71" s="139"/>
      <c r="R71" s="139">
        <f t="shared" si="51"/>
        <v>1</v>
      </c>
      <c r="S71" s="139"/>
      <c r="T71" s="139">
        <f t="shared" si="52"/>
        <v>0</v>
      </c>
      <c r="U71" s="183"/>
      <c r="V71" s="139">
        <f t="shared" si="41"/>
        <v>1</v>
      </c>
      <c r="W71" s="139"/>
      <c r="X71" s="139">
        <f t="shared" si="42"/>
        <v>1</v>
      </c>
      <c r="Y71" s="139"/>
      <c r="Z71" s="139">
        <f t="shared" si="45"/>
        <v>1</v>
      </c>
      <c r="AA71" s="139"/>
      <c r="AB71" s="139">
        <f t="shared" si="46"/>
        <v>0</v>
      </c>
      <c r="AC71" s="183"/>
      <c r="AD71" s="139">
        <f t="shared" si="47"/>
        <v>1</v>
      </c>
      <c r="AE71" s="139"/>
      <c r="AF71" s="139">
        <f t="shared" si="48"/>
        <v>0</v>
      </c>
      <c r="AG71" s="183"/>
      <c r="AH71" s="139">
        <f t="shared" si="49"/>
        <v>1</v>
      </c>
      <c r="AI71" s="139"/>
      <c r="AJ71" s="139">
        <f t="shared" si="50"/>
        <v>0</v>
      </c>
      <c r="AK71" s="183"/>
      <c r="AL71" s="183"/>
      <c r="AM71" s="183"/>
      <c r="AN71" s="183"/>
      <c r="AO71" s="183"/>
      <c r="AP71" s="183"/>
      <c r="AQ71" s="183"/>
      <c r="AR71" s="183"/>
      <c r="AS71" s="183"/>
      <c r="AT71" s="187">
        <f t="shared" si="33"/>
        <v>7</v>
      </c>
    </row>
    <row r="72" spans="1:46" x14ac:dyDescent="0.25">
      <c r="A72" s="190" t="s">
        <v>263</v>
      </c>
      <c r="B72" s="68"/>
      <c r="C72" s="68"/>
      <c r="D72" s="68"/>
      <c r="E72" s="68"/>
      <c r="F72" s="68"/>
      <c r="G72" s="68"/>
      <c r="H72" s="68"/>
      <c r="I72" s="68"/>
      <c r="J72" s="68"/>
      <c r="K72" s="68"/>
      <c r="L72" s="68"/>
      <c r="M72" s="68"/>
      <c r="N72" s="68"/>
      <c r="O72" s="68"/>
      <c r="P72" s="68"/>
      <c r="Q72" s="68"/>
      <c r="R72" s="139">
        <f t="shared" si="51"/>
        <v>0</v>
      </c>
      <c r="S72" s="68"/>
      <c r="T72" s="139">
        <f t="shared" si="52"/>
        <v>1</v>
      </c>
      <c r="U72" s="139"/>
      <c r="V72" s="139">
        <f t="shared" si="41"/>
        <v>2</v>
      </c>
      <c r="W72" s="139"/>
      <c r="X72" s="139">
        <f t="shared" si="42"/>
        <v>1</v>
      </c>
      <c r="Y72" s="139"/>
      <c r="Z72" s="68"/>
      <c r="AA72" s="68"/>
      <c r="AB72" s="68"/>
      <c r="AC72" s="68"/>
      <c r="AD72" s="68"/>
      <c r="AE72" s="68"/>
      <c r="AF72" s="68"/>
      <c r="AG72" s="68"/>
      <c r="AH72" s="68"/>
      <c r="AI72" s="68"/>
      <c r="AJ72" s="68"/>
      <c r="AK72" s="68"/>
      <c r="AL72" s="68"/>
      <c r="AM72" s="68"/>
      <c r="AN72" s="68"/>
      <c r="AO72" s="68"/>
      <c r="AP72" s="68"/>
      <c r="AQ72" s="68"/>
      <c r="AR72" s="68"/>
      <c r="AS72" s="68"/>
      <c r="AT72" s="187">
        <f t="shared" si="33"/>
        <v>4</v>
      </c>
    </row>
    <row r="73" spans="1:46" x14ac:dyDescent="0.25">
      <c r="A73" s="190" t="s">
        <v>264</v>
      </c>
      <c r="B73" s="68"/>
      <c r="C73" s="68"/>
      <c r="D73" s="68"/>
      <c r="E73" s="68"/>
      <c r="F73" s="68"/>
      <c r="G73" s="68"/>
      <c r="H73" s="68"/>
      <c r="I73" s="68"/>
      <c r="J73" s="68"/>
      <c r="K73" s="68"/>
      <c r="L73" s="68"/>
      <c r="M73" s="68"/>
      <c r="N73" s="68"/>
      <c r="O73" s="68"/>
      <c r="P73" s="68"/>
      <c r="Q73" s="68"/>
      <c r="R73" s="68"/>
      <c r="S73" s="68"/>
      <c r="T73" s="68"/>
      <c r="U73" s="68"/>
      <c r="V73" s="139">
        <f t="shared" si="41"/>
        <v>1</v>
      </c>
      <c r="W73" s="139"/>
      <c r="X73" s="139">
        <f t="shared" si="42"/>
        <v>1</v>
      </c>
      <c r="Y73" s="139"/>
      <c r="Z73" s="68"/>
      <c r="AA73" s="68"/>
      <c r="AB73" s="68"/>
      <c r="AC73" s="68"/>
      <c r="AD73" s="68"/>
      <c r="AE73" s="68"/>
      <c r="AF73" s="68"/>
      <c r="AG73" s="68"/>
      <c r="AH73" s="68"/>
      <c r="AI73" s="68"/>
      <c r="AJ73" s="68"/>
      <c r="AK73" s="68"/>
      <c r="AL73" s="68"/>
      <c r="AM73" s="68"/>
      <c r="AN73" s="68"/>
      <c r="AO73" s="68"/>
      <c r="AP73" s="68"/>
      <c r="AQ73" s="68"/>
      <c r="AR73" s="68"/>
      <c r="AS73" s="68"/>
      <c r="AT73" s="187">
        <f t="shared" si="33"/>
        <v>2</v>
      </c>
    </row>
    <row r="74" spans="1:46" x14ac:dyDescent="0.25">
      <c r="A74" s="190" t="s">
        <v>259</v>
      </c>
      <c r="B74" s="194">
        <f t="shared" ref="B74:AS74" si="55">SUM(B60:B73)</f>
        <v>3</v>
      </c>
      <c r="C74" s="194">
        <f t="shared" si="55"/>
        <v>3</v>
      </c>
      <c r="D74" s="194">
        <f t="shared" si="55"/>
        <v>3</v>
      </c>
      <c r="E74" s="194">
        <f t="shared" si="55"/>
        <v>3</v>
      </c>
      <c r="F74" s="194">
        <f t="shared" si="55"/>
        <v>3</v>
      </c>
      <c r="G74" s="194">
        <f t="shared" si="55"/>
        <v>3</v>
      </c>
      <c r="H74" s="194">
        <f t="shared" si="55"/>
        <v>3</v>
      </c>
      <c r="I74" s="194">
        <f t="shared" si="55"/>
        <v>3</v>
      </c>
      <c r="J74" s="194">
        <f t="shared" si="55"/>
        <v>4</v>
      </c>
      <c r="K74" s="194">
        <f t="shared" si="55"/>
        <v>4</v>
      </c>
      <c r="L74" s="194">
        <f t="shared" si="55"/>
        <v>5</v>
      </c>
      <c r="M74" s="194">
        <f t="shared" si="55"/>
        <v>0</v>
      </c>
      <c r="N74" s="194">
        <f t="shared" si="55"/>
        <v>11</v>
      </c>
      <c r="O74" s="194">
        <f t="shared" si="55"/>
        <v>0</v>
      </c>
      <c r="P74" s="194">
        <f t="shared" si="55"/>
        <v>8</v>
      </c>
      <c r="Q74" s="194">
        <f t="shared" si="55"/>
        <v>0</v>
      </c>
      <c r="R74" s="194">
        <f t="shared" si="55"/>
        <v>11</v>
      </c>
      <c r="S74" s="194">
        <f t="shared" si="55"/>
        <v>0</v>
      </c>
      <c r="T74" s="194">
        <f t="shared" si="55"/>
        <v>9</v>
      </c>
      <c r="U74" s="194">
        <f t="shared" si="55"/>
        <v>0</v>
      </c>
      <c r="V74" s="194">
        <f t="shared" si="55"/>
        <v>14</v>
      </c>
      <c r="W74" s="194">
        <f t="shared" si="55"/>
        <v>0</v>
      </c>
      <c r="X74" s="194">
        <f t="shared" si="55"/>
        <v>9</v>
      </c>
      <c r="Y74" s="194">
        <f t="shared" si="55"/>
        <v>0</v>
      </c>
      <c r="Z74" s="194">
        <f t="shared" si="55"/>
        <v>11</v>
      </c>
      <c r="AA74" s="194">
        <f t="shared" si="55"/>
        <v>0</v>
      </c>
      <c r="AB74" s="194">
        <f t="shared" si="55"/>
        <v>9</v>
      </c>
      <c r="AC74" s="194">
        <f t="shared" si="55"/>
        <v>0</v>
      </c>
      <c r="AD74" s="194">
        <f t="shared" si="55"/>
        <v>12</v>
      </c>
      <c r="AE74" s="194">
        <f t="shared" si="55"/>
        <v>0</v>
      </c>
      <c r="AF74" s="194">
        <f t="shared" si="55"/>
        <v>9</v>
      </c>
      <c r="AG74" s="194">
        <f t="shared" si="55"/>
        <v>0</v>
      </c>
      <c r="AH74" s="194">
        <f t="shared" si="55"/>
        <v>12</v>
      </c>
      <c r="AI74" s="194">
        <f t="shared" si="55"/>
        <v>0</v>
      </c>
      <c r="AJ74" s="194">
        <f t="shared" si="55"/>
        <v>8</v>
      </c>
      <c r="AK74" s="194">
        <f t="shared" si="55"/>
        <v>0</v>
      </c>
      <c r="AL74" s="194">
        <f t="shared" si="55"/>
        <v>4</v>
      </c>
      <c r="AM74" s="194">
        <f t="shared" si="55"/>
        <v>0</v>
      </c>
      <c r="AN74" s="194">
        <f t="shared" si="55"/>
        <v>3</v>
      </c>
      <c r="AO74" s="194">
        <f t="shared" si="55"/>
        <v>3</v>
      </c>
      <c r="AP74" s="194">
        <f t="shared" si="55"/>
        <v>0</v>
      </c>
      <c r="AQ74" s="194">
        <f t="shared" si="55"/>
        <v>0</v>
      </c>
      <c r="AR74" s="194">
        <f t="shared" si="55"/>
        <v>0</v>
      </c>
      <c r="AS74" s="194">
        <f t="shared" si="55"/>
        <v>0</v>
      </c>
      <c r="AT74" s="187">
        <f>SUM(AT60:AT73)</f>
        <v>170</v>
      </c>
    </row>
  </sheetData>
  <mergeCells count="114">
    <mergeCell ref="AJ56:AK56"/>
    <mergeCell ref="AL56:AM56"/>
    <mergeCell ref="AN56:AO56"/>
    <mergeCell ref="AP56:AQ56"/>
    <mergeCell ref="AR56:AS56"/>
    <mergeCell ref="X56:Y56"/>
    <mergeCell ref="Z56:AA56"/>
    <mergeCell ref="AB56:AC56"/>
    <mergeCell ref="AD56:AE56"/>
    <mergeCell ref="AF56:AG56"/>
    <mergeCell ref="AH56:AI56"/>
    <mergeCell ref="AP55:AS55"/>
    <mergeCell ref="B56:C56"/>
    <mergeCell ref="D56:E56"/>
    <mergeCell ref="F56:G56"/>
    <mergeCell ref="H56:I56"/>
    <mergeCell ref="J56:K56"/>
    <mergeCell ref="AI49:AJ49"/>
    <mergeCell ref="AI51:AJ51"/>
    <mergeCell ref="A54:AS54"/>
    <mergeCell ref="A55:A56"/>
    <mergeCell ref="B55:E55"/>
    <mergeCell ref="F55:I55"/>
    <mergeCell ref="J55:M55"/>
    <mergeCell ref="N55:Q55"/>
    <mergeCell ref="R55:U55"/>
    <mergeCell ref="V55:Y55"/>
    <mergeCell ref="L56:M56"/>
    <mergeCell ref="N56:O56"/>
    <mergeCell ref="P56:Q56"/>
    <mergeCell ref="R56:S56"/>
    <mergeCell ref="T56:U56"/>
    <mergeCell ref="V56:W56"/>
    <mergeCell ref="Z55:AC55"/>
    <mergeCell ref="AD55:AG55"/>
    <mergeCell ref="AI47:AJ47"/>
    <mergeCell ref="AI48:AJ48"/>
    <mergeCell ref="AI37:AJ37"/>
    <mergeCell ref="AI38:AJ38"/>
    <mergeCell ref="AI39:AJ39"/>
    <mergeCell ref="AI40:AJ40"/>
    <mergeCell ref="AI41:AJ41"/>
    <mergeCell ref="AI42:AJ42"/>
    <mergeCell ref="AL55:AO55"/>
    <mergeCell ref="AH55:AK55"/>
    <mergeCell ref="AI50:AJ50"/>
    <mergeCell ref="AI33:AJ33"/>
    <mergeCell ref="AI36:AJ36"/>
    <mergeCell ref="Z32:AB32"/>
    <mergeCell ref="AC32:AE32"/>
    <mergeCell ref="AF32:AH32"/>
    <mergeCell ref="AI43:AJ43"/>
    <mergeCell ref="AI44:AJ44"/>
    <mergeCell ref="AI45:AJ45"/>
    <mergeCell ref="AI46:AJ46"/>
    <mergeCell ref="AI34:AJ34"/>
    <mergeCell ref="AI35:AJ35"/>
    <mergeCell ref="B33:C33"/>
    <mergeCell ref="E33:F33"/>
    <mergeCell ref="H33:I33"/>
    <mergeCell ref="K33:L33"/>
    <mergeCell ref="N33:O33"/>
    <mergeCell ref="Q33:R33"/>
    <mergeCell ref="T33:U33"/>
    <mergeCell ref="A31:AH31"/>
    <mergeCell ref="A32:A33"/>
    <mergeCell ref="B32:D32"/>
    <mergeCell ref="E32:G32"/>
    <mergeCell ref="H32:J32"/>
    <mergeCell ref="K32:M32"/>
    <mergeCell ref="N32:P32"/>
    <mergeCell ref="Q32:S32"/>
    <mergeCell ref="T32:V32"/>
    <mergeCell ref="W32:Y32"/>
    <mergeCell ref="W33:X33"/>
    <mergeCell ref="Z33:AA33"/>
    <mergeCell ref="AC33:AD33"/>
    <mergeCell ref="AF33:AG33"/>
    <mergeCell ref="A11:AJ11"/>
    <mergeCell ref="B12:D12"/>
    <mergeCell ref="E12:G12"/>
    <mergeCell ref="H12:J12"/>
    <mergeCell ref="K12:M12"/>
    <mergeCell ref="N12:P12"/>
    <mergeCell ref="Q12:S12"/>
    <mergeCell ref="T12:V12"/>
    <mergeCell ref="Q21:S21"/>
    <mergeCell ref="T21:V21"/>
    <mergeCell ref="W21:Y21"/>
    <mergeCell ref="Z21:AB21"/>
    <mergeCell ref="AC21:AE21"/>
    <mergeCell ref="AF21:AH21"/>
    <mergeCell ref="W12:Y12"/>
    <mergeCell ref="Z12:AB12"/>
    <mergeCell ref="AC12:AE12"/>
    <mergeCell ref="AF12:AH12"/>
    <mergeCell ref="A20:AJ20"/>
    <mergeCell ref="B21:D21"/>
    <mergeCell ref="E21:G21"/>
    <mergeCell ref="H21:J21"/>
    <mergeCell ref="K21:M21"/>
    <mergeCell ref="N21:P21"/>
    <mergeCell ref="A1:AJ1"/>
    <mergeCell ref="B2:D2"/>
    <mergeCell ref="E2:G2"/>
    <mergeCell ref="H2:J2"/>
    <mergeCell ref="K2:M2"/>
    <mergeCell ref="N2:P2"/>
    <mergeCell ref="Q2:S2"/>
    <mergeCell ref="T2:V2"/>
    <mergeCell ref="W2:Y2"/>
    <mergeCell ref="Z2:AB2"/>
    <mergeCell ref="AC2:AE2"/>
    <mergeCell ref="AF2:A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Detallado</vt:lpstr>
      <vt:lpstr>Seguimiento total</vt:lpstr>
      <vt:lpstr>Real vs Q10</vt:lpstr>
      <vt:lpstr>S.Pasantias</vt:lpstr>
      <vt:lpstr>Diferencias</vt:lpstr>
      <vt:lpstr>Espacios 2023</vt:lpstr>
      <vt:lpstr>Talento Humano Pagos</vt:lpstr>
      <vt:lpstr>Capacidad-Salones</vt:lpstr>
      <vt:lpstr>Talento Humano Adm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Diony Vanessa Arboleda Correa</dc:creator>
  <cp:keywords/>
  <dc:description/>
  <cp:lastModifiedBy>Temp Tech</cp:lastModifiedBy>
  <cp:revision/>
  <dcterms:created xsi:type="dcterms:W3CDTF">2022-10-06T16:01:45Z</dcterms:created>
  <dcterms:modified xsi:type="dcterms:W3CDTF">2023-02-16T13:12:55Z</dcterms:modified>
  <cp:category/>
  <cp:contentStatus/>
</cp:coreProperties>
</file>