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paje/Desktop/HC Orsted fellowship/Projects/Main/Haemorrhage assay 2.0/AHA submission/Old method/"/>
    </mc:Choice>
  </mc:AlternateContent>
  <xr:revisionPtr revIDLastSave="0" documentId="13_ncr:1_{0E407B51-7FE9-914D-98FD-AEA82FFDCD46}" xr6:coauthVersionLast="47" xr6:coauthVersionMax="47" xr10:uidLastSave="{00000000-0000-0000-0000-000000000000}"/>
  <bookViews>
    <workbookView xWindow="0" yWindow="500" windowWidth="33600" windowHeight="12580" tabRatio="715" activeTab="5" xr2:uid="{00000000-000D-0000-FFFF-FFFF00000000}"/>
  </bookViews>
  <sheets>
    <sheet name="ACTIVITY DATA" sheetId="5" r:id="rId1"/>
    <sheet name="Pantone Luminance" sheetId="11" r:id="rId2"/>
    <sheet name="Mouse Luminance" sheetId="12" r:id="rId3"/>
    <sheet name="HaU" sheetId="13" r:id="rId4"/>
    <sheet name="CALCULATION" sheetId="7" state="hidden" r:id="rId5"/>
    <sheet name="ACTIVITY RESULTS" sheetId="3" r:id="rId6"/>
    <sheet name="Sheet1" sheetId="14" r:id="rId7"/>
    <sheet name="CALCULATION NEU" sheetId="9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4" l="1"/>
  <c r="K19" i="14"/>
  <c r="K15" i="14"/>
  <c r="K11" i="14"/>
  <c r="K7" i="14"/>
  <c r="K3" i="14"/>
  <c r="G23" i="14"/>
  <c r="G19" i="14"/>
  <c r="G15" i="14"/>
  <c r="G11" i="14"/>
  <c r="G7" i="14"/>
  <c r="G3" i="14"/>
  <c r="C23" i="14"/>
  <c r="C19" i="14"/>
  <c r="C15" i="14"/>
  <c r="C11" i="14"/>
  <c r="D14" i="12"/>
  <c r="E14" i="12"/>
  <c r="F14" i="12"/>
  <c r="D6" i="12"/>
  <c r="E6" i="12"/>
  <c r="F6" i="12"/>
  <c r="I16" i="14"/>
  <c r="I17" i="14"/>
  <c r="I18" i="14"/>
  <c r="I20" i="14"/>
  <c r="I21" i="14"/>
  <c r="I22" i="14"/>
  <c r="I24" i="14"/>
  <c r="I25" i="14"/>
  <c r="I26" i="14"/>
  <c r="I23" i="14"/>
  <c r="I19" i="14"/>
  <c r="I15" i="14"/>
  <c r="I11" i="14"/>
  <c r="E24" i="14"/>
  <c r="E25" i="14"/>
  <c r="E26" i="14"/>
  <c r="E23" i="14"/>
  <c r="E20" i="14"/>
  <c r="E21" i="14"/>
  <c r="E22" i="14"/>
  <c r="E19" i="14"/>
  <c r="E16" i="14"/>
  <c r="E17" i="14"/>
  <c r="E18" i="14"/>
  <c r="E15" i="14"/>
  <c r="E12" i="14"/>
  <c r="E13" i="14"/>
  <c r="E14" i="14"/>
  <c r="E11" i="14"/>
  <c r="E8" i="14"/>
  <c r="E9" i="14"/>
  <c r="E4" i="14"/>
  <c r="E6" i="14"/>
  <c r="E3" i="14"/>
  <c r="I8" i="14"/>
  <c r="I9" i="14"/>
  <c r="I4" i="14"/>
  <c r="I6" i="14"/>
  <c r="I3" i="14"/>
  <c r="A8" i="14"/>
  <c r="A9" i="14"/>
  <c r="A10" i="14"/>
  <c r="A12" i="14"/>
  <c r="A13" i="14"/>
  <c r="A14" i="14"/>
  <c r="A16" i="14"/>
  <c r="A17" i="14"/>
  <c r="A18" i="14"/>
  <c r="A20" i="14"/>
  <c r="A21" i="14"/>
  <c r="A22" i="14"/>
  <c r="A24" i="14"/>
  <c r="A25" i="14"/>
  <c r="A26" i="14"/>
  <c r="A23" i="14"/>
  <c r="A19" i="14"/>
  <c r="A15" i="14"/>
  <c r="A11" i="14"/>
  <c r="A7" i="14"/>
  <c r="A4" i="14"/>
  <c r="A5" i="14"/>
  <c r="A6" i="14"/>
  <c r="A3" i="14"/>
  <c r="C3" i="14" s="1"/>
  <c r="D16" i="12"/>
  <c r="E16" i="12"/>
  <c r="F16" i="12"/>
  <c r="I16" i="12" s="1"/>
  <c r="L16" i="12" s="1"/>
  <c r="G16" i="12"/>
  <c r="J16" i="12" s="1"/>
  <c r="U27" i="12"/>
  <c r="U26" i="12"/>
  <c r="U25" i="12"/>
  <c r="X25" i="12" s="1"/>
  <c r="AA25" i="12" s="1"/>
  <c r="U24" i="12"/>
  <c r="X24" i="12" s="1"/>
  <c r="AA24" i="12" s="1"/>
  <c r="U16" i="12"/>
  <c r="I9" i="13"/>
  <c r="B29" i="13"/>
  <c r="D27" i="13"/>
  <c r="K7" i="13"/>
  <c r="U7" i="12"/>
  <c r="X7" i="12" s="1"/>
  <c r="AA7" i="12" s="1"/>
  <c r="U6" i="12"/>
  <c r="U4" i="12"/>
  <c r="X4" i="12" s="1"/>
  <c r="AA4" i="12" s="1"/>
  <c r="U5" i="12"/>
  <c r="P27" i="12"/>
  <c r="N29" i="12"/>
  <c r="N28" i="12"/>
  <c r="C19" i="12"/>
  <c r="C18" i="12"/>
  <c r="B15" i="12"/>
  <c r="C15" i="12" s="1"/>
  <c r="D15" i="12"/>
  <c r="G15" i="12" s="1"/>
  <c r="J15" i="12" s="1"/>
  <c r="E15" i="12"/>
  <c r="H15" i="12" s="1"/>
  <c r="K15" i="12" s="1"/>
  <c r="F15" i="12"/>
  <c r="I15" i="12"/>
  <c r="L15" i="12"/>
  <c r="B16" i="12"/>
  <c r="C16" i="12" s="1"/>
  <c r="H16" i="12"/>
  <c r="K16" i="12" s="1"/>
  <c r="B17" i="12"/>
  <c r="C17" i="12" s="1"/>
  <c r="D17" i="12"/>
  <c r="G17" i="12" s="1"/>
  <c r="J17" i="12" s="1"/>
  <c r="E17" i="12"/>
  <c r="H17" i="12" s="1"/>
  <c r="K17" i="12" s="1"/>
  <c r="F17" i="12"/>
  <c r="I17" i="12" s="1"/>
  <c r="L17" i="12" s="1"/>
  <c r="G14" i="12"/>
  <c r="J14" i="12" s="1"/>
  <c r="H14" i="12"/>
  <c r="K14" i="12" s="1"/>
  <c r="I14" i="12"/>
  <c r="L14" i="12" s="1"/>
  <c r="S25" i="12"/>
  <c r="T25" i="12" s="1"/>
  <c r="V25" i="12"/>
  <c r="Y25" i="12" s="1"/>
  <c r="AB25" i="12" s="1"/>
  <c r="W25" i="12"/>
  <c r="Z25" i="12" s="1"/>
  <c r="AC25" i="12" s="1"/>
  <c r="S26" i="12"/>
  <c r="T26" i="12" s="1"/>
  <c r="X26" i="12"/>
  <c r="AA26" i="12" s="1"/>
  <c r="V26" i="12"/>
  <c r="Y26" i="12" s="1"/>
  <c r="AB26" i="12" s="1"/>
  <c r="W26" i="12"/>
  <c r="Z26" i="12" s="1"/>
  <c r="AC26" i="12" s="1"/>
  <c r="S27" i="12"/>
  <c r="T27" i="12" s="1"/>
  <c r="X27" i="12"/>
  <c r="AA27" i="12" s="1"/>
  <c r="V27" i="12"/>
  <c r="Y27" i="12" s="1"/>
  <c r="AB27" i="12" s="1"/>
  <c r="W27" i="12"/>
  <c r="Z27" i="12" s="1"/>
  <c r="AC27" i="12" s="1"/>
  <c r="S24" i="12"/>
  <c r="T24" i="12" s="1"/>
  <c r="V24" i="12"/>
  <c r="Y24" i="12"/>
  <c r="AB24" i="12" s="1"/>
  <c r="W24" i="12"/>
  <c r="Z24" i="12" s="1"/>
  <c r="AC24" i="12" s="1"/>
  <c r="S15" i="12"/>
  <c r="T15" i="12" s="1"/>
  <c r="U15" i="12"/>
  <c r="X15" i="12" s="1"/>
  <c r="AA15" i="12" s="1"/>
  <c r="V15" i="12"/>
  <c r="Y15" i="12"/>
  <c r="AB15" i="12" s="1"/>
  <c r="W15" i="12"/>
  <c r="Z15" i="12"/>
  <c r="AC15" i="12" s="1"/>
  <c r="S16" i="12"/>
  <c r="T16" i="12" s="1"/>
  <c r="X16" i="12"/>
  <c r="AA16" i="12" s="1"/>
  <c r="V16" i="12"/>
  <c r="Y16" i="12" s="1"/>
  <c r="AB16" i="12" s="1"/>
  <c r="W16" i="12"/>
  <c r="Z16" i="12"/>
  <c r="AC16" i="12" s="1"/>
  <c r="S17" i="12"/>
  <c r="T17" i="12" s="1"/>
  <c r="U17" i="12"/>
  <c r="X17" i="12" s="1"/>
  <c r="AA17" i="12" s="1"/>
  <c r="V17" i="12"/>
  <c r="Y17" i="12" s="1"/>
  <c r="AB17" i="12" s="1"/>
  <c r="W17" i="12"/>
  <c r="Z17" i="12"/>
  <c r="AC17" i="12" s="1"/>
  <c r="S14" i="12"/>
  <c r="T14" i="12" s="1"/>
  <c r="U14" i="12"/>
  <c r="X14" i="12" s="1"/>
  <c r="AA14" i="12" s="1"/>
  <c r="V14" i="12"/>
  <c r="Y14" i="12"/>
  <c r="AB14" i="12"/>
  <c r="W14" i="12"/>
  <c r="Z14" i="12" s="1"/>
  <c r="AC14" i="12" s="1"/>
  <c r="B25" i="12"/>
  <c r="C25" i="12" s="1"/>
  <c r="D25" i="12"/>
  <c r="G25" i="12"/>
  <c r="J25" i="12"/>
  <c r="E25" i="12"/>
  <c r="H25" i="12" s="1"/>
  <c r="K25" i="12" s="1"/>
  <c r="F25" i="12"/>
  <c r="I25" i="12" s="1"/>
  <c r="L25" i="12" s="1"/>
  <c r="B26" i="12"/>
  <c r="C26" i="12" s="1"/>
  <c r="D26" i="12"/>
  <c r="G26" i="12"/>
  <c r="J26" i="12" s="1"/>
  <c r="E26" i="12"/>
  <c r="H26" i="12"/>
  <c r="K26" i="12" s="1"/>
  <c r="F26" i="12"/>
  <c r="I26" i="12" s="1"/>
  <c r="L26" i="12" s="1"/>
  <c r="B27" i="12"/>
  <c r="C27" i="12"/>
  <c r="D27" i="12"/>
  <c r="G27" i="12" s="1"/>
  <c r="J27" i="12" s="1"/>
  <c r="E27" i="12"/>
  <c r="H27" i="12" s="1"/>
  <c r="K27" i="12" s="1"/>
  <c r="F27" i="12"/>
  <c r="I27" i="12" s="1"/>
  <c r="L27" i="12" s="1"/>
  <c r="S5" i="12"/>
  <c r="T5" i="12" s="1"/>
  <c r="X5" i="12"/>
  <c r="AA5" i="12" s="1"/>
  <c r="V5" i="12"/>
  <c r="Y5" i="12" s="1"/>
  <c r="AB5" i="12" s="1"/>
  <c r="W5" i="12"/>
  <c r="Z5" i="12"/>
  <c r="AC5" i="12"/>
  <c r="S6" i="12"/>
  <c r="T6" i="12" s="1"/>
  <c r="X6" i="12"/>
  <c r="AA6" i="12" s="1"/>
  <c r="V6" i="12"/>
  <c r="Y6" i="12" s="1"/>
  <c r="AB6" i="12" s="1"/>
  <c r="W6" i="12"/>
  <c r="Z6" i="12"/>
  <c r="AC6" i="12" s="1"/>
  <c r="S7" i="12"/>
  <c r="T7" i="12" s="1"/>
  <c r="V7" i="12"/>
  <c r="Y7" i="12"/>
  <c r="AB7" i="12"/>
  <c r="W7" i="12"/>
  <c r="Z7" i="12" s="1"/>
  <c r="AC7" i="12" s="1"/>
  <c r="S4" i="12"/>
  <c r="T4" i="12" s="1"/>
  <c r="T9" i="12" s="1"/>
  <c r="V4" i="12"/>
  <c r="Y4" i="12" s="1"/>
  <c r="AB4" i="12" s="1"/>
  <c r="W4" i="12"/>
  <c r="Z4" i="12" s="1"/>
  <c r="AC4" i="12" s="1"/>
  <c r="D24" i="12"/>
  <c r="G24" i="12" s="1"/>
  <c r="J24" i="12" s="1"/>
  <c r="E24" i="12"/>
  <c r="H24" i="12" s="1"/>
  <c r="K24" i="12" s="1"/>
  <c r="F24" i="12"/>
  <c r="I24" i="12" s="1"/>
  <c r="L24" i="12" s="1"/>
  <c r="B24" i="12"/>
  <c r="C24" i="12" s="1"/>
  <c r="B14" i="12"/>
  <c r="C14" i="12" s="1"/>
  <c r="D5" i="12"/>
  <c r="G5" i="12" s="1"/>
  <c r="J5" i="12" s="1"/>
  <c r="E5" i="12"/>
  <c r="H5" i="12" s="1"/>
  <c r="K5" i="12" s="1"/>
  <c r="F5" i="12"/>
  <c r="I5" i="12" s="1"/>
  <c r="L5" i="12" s="1"/>
  <c r="G6" i="12"/>
  <c r="J6" i="12" s="1"/>
  <c r="H6" i="12"/>
  <c r="K6" i="12" s="1"/>
  <c r="I6" i="12"/>
  <c r="L6" i="12" s="1"/>
  <c r="D7" i="12"/>
  <c r="G7" i="12" s="1"/>
  <c r="J7" i="12" s="1"/>
  <c r="E7" i="12"/>
  <c r="H7" i="12"/>
  <c r="K7" i="12" s="1"/>
  <c r="F7" i="12"/>
  <c r="I7" i="12" s="1"/>
  <c r="L7" i="12" s="1"/>
  <c r="F4" i="12"/>
  <c r="I4" i="12" s="1"/>
  <c r="L4" i="12" s="1"/>
  <c r="E4" i="12"/>
  <c r="H4" i="12" s="1"/>
  <c r="K4" i="12" s="1"/>
  <c r="D4" i="12"/>
  <c r="G4" i="12" s="1"/>
  <c r="J4" i="12" s="1"/>
  <c r="B7" i="12"/>
  <c r="B6" i="12"/>
  <c r="B5" i="12"/>
  <c r="B4" i="12"/>
  <c r="AD30" i="12"/>
  <c r="AD20" i="12"/>
  <c r="AD10" i="12"/>
  <c r="M30" i="12"/>
  <c r="M20" i="12"/>
  <c r="M10" i="12"/>
  <c r="K4" i="11"/>
  <c r="X33" i="11"/>
  <c r="X22" i="11"/>
  <c r="X11" i="11"/>
  <c r="K9" i="11"/>
  <c r="K11" i="11"/>
  <c r="K33" i="11"/>
  <c r="K22" i="11"/>
  <c r="X9" i="11"/>
  <c r="X31" i="11"/>
  <c r="X20" i="11"/>
  <c r="K31" i="11"/>
  <c r="K20" i="11"/>
  <c r="X27" i="11"/>
  <c r="X28" i="11"/>
  <c r="X29" i="11"/>
  <c r="X30" i="11"/>
  <c r="X16" i="11"/>
  <c r="X17" i="11"/>
  <c r="X18" i="11"/>
  <c r="X19" i="11"/>
  <c r="X15" i="11"/>
  <c r="X5" i="11"/>
  <c r="X6" i="11"/>
  <c r="X7" i="11"/>
  <c r="X8" i="11"/>
  <c r="K27" i="11"/>
  <c r="K28" i="11"/>
  <c r="K29" i="11"/>
  <c r="K30" i="11"/>
  <c r="K16" i="11"/>
  <c r="K17" i="11"/>
  <c r="K18" i="11"/>
  <c r="K19" i="11"/>
  <c r="X26" i="11"/>
  <c r="X4" i="11"/>
  <c r="K26" i="11"/>
  <c r="K15" i="11"/>
  <c r="K5" i="11"/>
  <c r="K6" i="11"/>
  <c r="K7" i="11"/>
  <c r="K8" i="11"/>
  <c r="W27" i="11"/>
  <c r="W28" i="11"/>
  <c r="W29" i="11"/>
  <c r="W30" i="11"/>
  <c r="V27" i="11"/>
  <c r="V28" i="11"/>
  <c r="V29" i="11"/>
  <c r="V30" i="11"/>
  <c r="U27" i="11"/>
  <c r="U28" i="11"/>
  <c r="U29" i="11"/>
  <c r="U30" i="11"/>
  <c r="W16" i="11"/>
  <c r="W17" i="11"/>
  <c r="W18" i="11"/>
  <c r="W19" i="11"/>
  <c r="V16" i="11"/>
  <c r="V17" i="11"/>
  <c r="V18" i="11"/>
  <c r="V19" i="11"/>
  <c r="U16" i="11"/>
  <c r="U17" i="11"/>
  <c r="U18" i="11"/>
  <c r="U19" i="11"/>
  <c r="W5" i="11"/>
  <c r="W6" i="11"/>
  <c r="W7" i="11"/>
  <c r="W8" i="11"/>
  <c r="V5" i="11"/>
  <c r="V6" i="11"/>
  <c r="V7" i="11"/>
  <c r="V8" i="11"/>
  <c r="U5" i="11"/>
  <c r="U6" i="11"/>
  <c r="U7" i="11"/>
  <c r="U8" i="11"/>
  <c r="J27" i="11"/>
  <c r="J28" i="11"/>
  <c r="J29" i="11"/>
  <c r="J30" i="11"/>
  <c r="I27" i="11"/>
  <c r="I28" i="11"/>
  <c r="I29" i="11"/>
  <c r="I30" i="11"/>
  <c r="H27" i="11"/>
  <c r="H28" i="11"/>
  <c r="H29" i="11"/>
  <c r="H30" i="11"/>
  <c r="J16" i="11"/>
  <c r="J17" i="11"/>
  <c r="J18" i="11"/>
  <c r="J19" i="11"/>
  <c r="I16" i="11"/>
  <c r="I17" i="11"/>
  <c r="I18" i="11"/>
  <c r="I19" i="11"/>
  <c r="H16" i="11"/>
  <c r="H17" i="11"/>
  <c r="H18" i="11"/>
  <c r="H19" i="11"/>
  <c r="W26" i="11"/>
  <c r="W15" i="11"/>
  <c r="W4" i="11"/>
  <c r="J26" i="11"/>
  <c r="J15" i="11"/>
  <c r="V26" i="11"/>
  <c r="V15" i="11"/>
  <c r="V4" i="11"/>
  <c r="I26" i="11"/>
  <c r="I15" i="11"/>
  <c r="U26" i="11"/>
  <c r="U15" i="11"/>
  <c r="U4" i="11"/>
  <c r="H26" i="11"/>
  <c r="H15" i="11"/>
  <c r="J5" i="11"/>
  <c r="J6" i="11"/>
  <c r="J7" i="11"/>
  <c r="J8" i="11"/>
  <c r="I5" i="11"/>
  <c r="I6" i="11"/>
  <c r="I7" i="11"/>
  <c r="I8" i="11"/>
  <c r="I4" i="11"/>
  <c r="J4" i="11"/>
  <c r="H5" i="11"/>
  <c r="H6" i="11"/>
  <c r="H7" i="11"/>
  <c r="H8" i="11"/>
  <c r="H4" i="11"/>
  <c r="T8" i="11"/>
  <c r="S8" i="11"/>
  <c r="T7" i="11"/>
  <c r="T6" i="11"/>
  <c r="T5" i="11"/>
  <c r="S5" i="11"/>
  <c r="S6" i="11"/>
  <c r="S7" i="11"/>
  <c r="T16" i="11"/>
  <c r="T17" i="11"/>
  <c r="T18" i="11"/>
  <c r="T19" i="11"/>
  <c r="S16" i="11"/>
  <c r="S17" i="11"/>
  <c r="S18" i="11"/>
  <c r="S19" i="11"/>
  <c r="T27" i="11"/>
  <c r="T28" i="11"/>
  <c r="T29" i="11"/>
  <c r="T30" i="11"/>
  <c r="T26" i="11"/>
  <c r="S27" i="11"/>
  <c r="S28" i="11"/>
  <c r="S29" i="11"/>
  <c r="S30" i="11"/>
  <c r="S26" i="11"/>
  <c r="G27" i="11"/>
  <c r="G28" i="11"/>
  <c r="G29" i="11"/>
  <c r="G30" i="11"/>
  <c r="F27" i="11"/>
  <c r="F28" i="11"/>
  <c r="F29" i="11"/>
  <c r="F30" i="11"/>
  <c r="G16" i="11"/>
  <c r="G17" i="11"/>
  <c r="G18" i="11"/>
  <c r="G19" i="11"/>
  <c r="F16" i="11"/>
  <c r="F17" i="11"/>
  <c r="F18" i="11"/>
  <c r="F19" i="11"/>
  <c r="F15" i="11"/>
  <c r="T15" i="11"/>
  <c r="T4" i="11"/>
  <c r="G26" i="11"/>
  <c r="G15" i="11"/>
  <c r="S15" i="11"/>
  <c r="S4" i="11"/>
  <c r="F26" i="11"/>
  <c r="R27" i="11"/>
  <c r="R28" i="11"/>
  <c r="R29" i="11"/>
  <c r="R30" i="11"/>
  <c r="R16" i="11"/>
  <c r="R17" i="11"/>
  <c r="R18" i="11"/>
  <c r="R19" i="11"/>
  <c r="R15" i="11"/>
  <c r="R5" i="11"/>
  <c r="R6" i="11"/>
  <c r="R7" i="11"/>
  <c r="R8" i="11"/>
  <c r="R26" i="11"/>
  <c r="R4" i="11"/>
  <c r="E28" i="11"/>
  <c r="E27" i="11"/>
  <c r="E29" i="11"/>
  <c r="E30" i="11"/>
  <c r="E26" i="11"/>
  <c r="E17" i="11"/>
  <c r="E15" i="11"/>
  <c r="E16" i="11"/>
  <c r="E18" i="11"/>
  <c r="E19" i="11"/>
  <c r="G5" i="11"/>
  <c r="G6" i="11"/>
  <c r="G7" i="11"/>
  <c r="G8" i="11"/>
  <c r="G4" i="11"/>
  <c r="F7" i="11"/>
  <c r="F5" i="11"/>
  <c r="F6" i="11"/>
  <c r="F8" i="11"/>
  <c r="F4" i="11"/>
  <c r="E5" i="11"/>
  <c r="E6" i="11"/>
  <c r="E7" i="11"/>
  <c r="E8" i="11"/>
  <c r="E4" i="11"/>
  <c r="Q27" i="11"/>
  <c r="Q28" i="11"/>
  <c r="Q29" i="11"/>
  <c r="Q30" i="11"/>
  <c r="P27" i="11"/>
  <c r="P28" i="11"/>
  <c r="P29" i="11"/>
  <c r="P30" i="11"/>
  <c r="O27" i="11"/>
  <c r="O28" i="11"/>
  <c r="O29" i="11"/>
  <c r="O30" i="11"/>
  <c r="Q26" i="11"/>
  <c r="P26" i="11"/>
  <c r="O26" i="11"/>
  <c r="Q16" i="11"/>
  <c r="Q17" i="11"/>
  <c r="Q18" i="11"/>
  <c r="Q19" i="11"/>
  <c r="P16" i="11"/>
  <c r="P17" i="11"/>
  <c r="P18" i="11"/>
  <c r="P19" i="11"/>
  <c r="P15" i="11"/>
  <c r="O16" i="11"/>
  <c r="O17" i="11"/>
  <c r="O18" i="11"/>
  <c r="O19" i="11"/>
  <c r="Q15" i="11"/>
  <c r="O15" i="11"/>
  <c r="Q5" i="11"/>
  <c r="Q6" i="11"/>
  <c r="Q7" i="11"/>
  <c r="Q8" i="11"/>
  <c r="Q4" i="11"/>
  <c r="P8" i="11"/>
  <c r="P5" i="11"/>
  <c r="P6" i="11"/>
  <c r="P7" i="11"/>
  <c r="P4" i="11"/>
  <c r="O5" i="11"/>
  <c r="O6" i="11"/>
  <c r="O7" i="11"/>
  <c r="O8" i="11"/>
  <c r="O4" i="11"/>
  <c r="D26" i="11"/>
  <c r="D27" i="11"/>
  <c r="D28" i="11"/>
  <c r="D29" i="11"/>
  <c r="D30" i="11"/>
  <c r="C27" i="11"/>
  <c r="C28" i="11"/>
  <c r="C29" i="11"/>
  <c r="C30" i="11"/>
  <c r="B27" i="11"/>
  <c r="B28" i="11"/>
  <c r="B29" i="11"/>
  <c r="B30" i="11"/>
  <c r="B26" i="11"/>
  <c r="C26" i="11"/>
  <c r="D16" i="11"/>
  <c r="D17" i="11"/>
  <c r="D18" i="11"/>
  <c r="D19" i="11"/>
  <c r="C16" i="11"/>
  <c r="C17" i="11"/>
  <c r="C18" i="11"/>
  <c r="C19" i="11"/>
  <c r="B16" i="11"/>
  <c r="B17" i="11"/>
  <c r="B18" i="11"/>
  <c r="B19" i="11"/>
  <c r="D15" i="11"/>
  <c r="C15" i="11"/>
  <c r="B15" i="11"/>
  <c r="D5" i="11"/>
  <c r="D6" i="11"/>
  <c r="D7" i="11"/>
  <c r="D8" i="11"/>
  <c r="D4" i="11"/>
  <c r="C6" i="11"/>
  <c r="C7" i="11"/>
  <c r="C8" i="11"/>
  <c r="C5" i="11"/>
  <c r="C4" i="11"/>
  <c r="B4" i="11"/>
  <c r="B5" i="11"/>
  <c r="B6" i="11"/>
  <c r="B7" i="11"/>
  <c r="B8" i="11"/>
  <c r="D15" i="7"/>
  <c r="G15" i="7" s="1"/>
  <c r="J15" i="7" s="1"/>
  <c r="E15" i="7"/>
  <c r="H15" i="7"/>
  <c r="K15" i="7"/>
  <c r="F15" i="7"/>
  <c r="I15" i="7"/>
  <c r="L15" i="7"/>
  <c r="E30" i="5"/>
  <c r="I47" i="3"/>
  <c r="D4" i="9"/>
  <c r="G4" i="9"/>
  <c r="J4" i="9"/>
  <c r="E4" i="9"/>
  <c r="H4" i="9" s="1"/>
  <c r="K4" i="9" s="1"/>
  <c r="F4" i="9"/>
  <c r="I4" i="9" s="1"/>
  <c r="L4" i="9" s="1"/>
  <c r="W4" i="9"/>
  <c r="Z4" i="9" s="1"/>
  <c r="AC4" i="9" s="1"/>
  <c r="AF4" i="9" s="1"/>
  <c r="AF9" i="9" s="1"/>
  <c r="AF11" i="9" s="1"/>
  <c r="X4" i="9"/>
  <c r="AA4" i="9" s="1"/>
  <c r="AD4" i="9" s="1"/>
  <c r="Y4" i="9"/>
  <c r="AB4" i="9"/>
  <c r="AE4" i="9"/>
  <c r="W5" i="9"/>
  <c r="Z5" i="9"/>
  <c r="AC5" i="9" s="1"/>
  <c r="X5" i="9"/>
  <c r="AA5" i="9"/>
  <c r="AD5" i="9"/>
  <c r="Y5" i="9"/>
  <c r="AB5" i="9" s="1"/>
  <c r="AE5" i="9" s="1"/>
  <c r="W6" i="9"/>
  <c r="Z6" i="9" s="1"/>
  <c r="AC6" i="9" s="1"/>
  <c r="X6" i="9"/>
  <c r="AA6" i="9"/>
  <c r="AD6" i="9"/>
  <c r="Y6" i="9"/>
  <c r="AB6" i="9"/>
  <c r="AE6" i="9" s="1"/>
  <c r="W7" i="9"/>
  <c r="Z7" i="9"/>
  <c r="AC7" i="9"/>
  <c r="X7" i="9"/>
  <c r="AA7" i="9" s="1"/>
  <c r="AD7" i="9" s="1"/>
  <c r="AF7" i="9" s="1"/>
  <c r="Y7" i="9"/>
  <c r="AB7" i="9"/>
  <c r="AE7" i="9"/>
  <c r="W8" i="9"/>
  <c r="Z8" i="9" s="1"/>
  <c r="AC8" i="9" s="1"/>
  <c r="X8" i="9"/>
  <c r="AA8" i="9"/>
  <c r="AD8" i="9" s="1"/>
  <c r="Y8" i="9"/>
  <c r="AB8" i="9" s="1"/>
  <c r="AE8" i="9" s="1"/>
  <c r="B4" i="9"/>
  <c r="C4" i="9" s="1"/>
  <c r="D5" i="9"/>
  <c r="G5" i="9"/>
  <c r="J5" i="9"/>
  <c r="E5" i="9"/>
  <c r="H5" i="9"/>
  <c r="K5" i="9" s="1"/>
  <c r="F5" i="9"/>
  <c r="I5" i="9"/>
  <c r="L5" i="9"/>
  <c r="B5" i="9"/>
  <c r="C5" i="9"/>
  <c r="D6" i="9"/>
  <c r="G6" i="9"/>
  <c r="J6" i="9"/>
  <c r="E6" i="9"/>
  <c r="H6" i="9"/>
  <c r="K6" i="9" s="1"/>
  <c r="F6" i="9"/>
  <c r="I6" i="9"/>
  <c r="L6" i="9" s="1"/>
  <c r="B6" i="9"/>
  <c r="C6" i="9" s="1"/>
  <c r="D7" i="9"/>
  <c r="G7" i="9"/>
  <c r="J7" i="9" s="1"/>
  <c r="E7" i="9"/>
  <c r="H7" i="9"/>
  <c r="K7" i="9"/>
  <c r="F7" i="9"/>
  <c r="I7" i="9" s="1"/>
  <c r="L7" i="9" s="1"/>
  <c r="B7" i="9"/>
  <c r="C7" i="9"/>
  <c r="D8" i="9"/>
  <c r="G8" i="9" s="1"/>
  <c r="J8" i="9" s="1"/>
  <c r="E8" i="9"/>
  <c r="H8" i="9" s="1"/>
  <c r="K8" i="9" s="1"/>
  <c r="F8" i="9"/>
  <c r="I8" i="9"/>
  <c r="L8" i="9"/>
  <c r="D9" i="9"/>
  <c r="G9" i="9" s="1"/>
  <c r="J9" i="9" s="1"/>
  <c r="E9" i="9"/>
  <c r="H9" i="9" s="1"/>
  <c r="K9" i="9" s="1"/>
  <c r="F9" i="9"/>
  <c r="I9" i="9" s="1"/>
  <c r="L9" i="9" s="1"/>
  <c r="X70" i="9"/>
  <c r="AA70" i="9" s="1"/>
  <c r="AD70" i="9" s="1"/>
  <c r="Y70" i="9"/>
  <c r="AB70" i="9" s="1"/>
  <c r="AE70" i="9" s="1"/>
  <c r="X71" i="9"/>
  <c r="AA71" i="9" s="1"/>
  <c r="AD71" i="9" s="1"/>
  <c r="Y71" i="9"/>
  <c r="AB71" i="9" s="1"/>
  <c r="AE71" i="9" s="1"/>
  <c r="X72" i="9"/>
  <c r="AA72" i="9" s="1"/>
  <c r="AD72" i="9" s="1"/>
  <c r="Y72" i="9"/>
  <c r="AB72" i="9" s="1"/>
  <c r="AE72" i="9" s="1"/>
  <c r="X73" i="9"/>
  <c r="Y73" i="9"/>
  <c r="X74" i="9"/>
  <c r="Y74" i="9"/>
  <c r="AB74" i="9" s="1"/>
  <c r="AE74" i="9" s="1"/>
  <c r="W71" i="9"/>
  <c r="W72" i="9"/>
  <c r="Z72" i="9" s="1"/>
  <c r="AC72" i="9" s="1"/>
  <c r="W73" i="9"/>
  <c r="Z73" i="9" s="1"/>
  <c r="AC73" i="9" s="1"/>
  <c r="W74" i="9"/>
  <c r="Z74" i="9" s="1"/>
  <c r="AC74" i="9" s="1"/>
  <c r="W70" i="9"/>
  <c r="Z70" i="9" s="1"/>
  <c r="AC70" i="9" s="1"/>
  <c r="AF70" i="9" s="1"/>
  <c r="AF75" i="9" s="1"/>
  <c r="AF77" i="9" s="1"/>
  <c r="X59" i="9"/>
  <c r="AA59" i="9" s="1"/>
  <c r="AD59" i="9" s="1"/>
  <c r="Y59" i="9"/>
  <c r="AB59" i="9" s="1"/>
  <c r="AE59" i="9" s="1"/>
  <c r="X60" i="9"/>
  <c r="AA60" i="9" s="1"/>
  <c r="AD60" i="9" s="1"/>
  <c r="Y60" i="9"/>
  <c r="X61" i="9"/>
  <c r="Y61" i="9"/>
  <c r="X62" i="9"/>
  <c r="AA62" i="9" s="1"/>
  <c r="AD62" i="9" s="1"/>
  <c r="Y62" i="9"/>
  <c r="X63" i="9"/>
  <c r="Y63" i="9"/>
  <c r="AB63" i="9" s="1"/>
  <c r="AE63" i="9" s="1"/>
  <c r="W60" i="9"/>
  <c r="Z60" i="9" s="1"/>
  <c r="AC60" i="9" s="1"/>
  <c r="W61" i="9"/>
  <c r="Z61" i="9" s="1"/>
  <c r="AC61" i="9" s="1"/>
  <c r="AF61" i="9" s="1"/>
  <c r="W62" i="9"/>
  <c r="Z62" i="9" s="1"/>
  <c r="AC62" i="9" s="1"/>
  <c r="W63" i="9"/>
  <c r="Z63" i="9" s="1"/>
  <c r="AC63" i="9" s="1"/>
  <c r="W59" i="9"/>
  <c r="Z59" i="9" s="1"/>
  <c r="AC59" i="9" s="1"/>
  <c r="X48" i="9"/>
  <c r="Y48" i="9"/>
  <c r="X49" i="9"/>
  <c r="Y49" i="9"/>
  <c r="X50" i="9"/>
  <c r="Y50" i="9"/>
  <c r="AB50" i="9" s="1"/>
  <c r="AE50" i="9" s="1"/>
  <c r="X51" i="9"/>
  <c r="AA51" i="9" s="1"/>
  <c r="AD51" i="9" s="1"/>
  <c r="Y51" i="9"/>
  <c r="AB51" i="9" s="1"/>
  <c r="AE51" i="9" s="1"/>
  <c r="X52" i="9"/>
  <c r="AA52" i="9" s="1"/>
  <c r="AD52" i="9" s="1"/>
  <c r="Y52" i="9"/>
  <c r="AB52" i="9" s="1"/>
  <c r="AE52" i="9" s="1"/>
  <c r="W49" i="9"/>
  <c r="Z49" i="9" s="1"/>
  <c r="AC49" i="9" s="1"/>
  <c r="AF49" i="9" s="1"/>
  <c r="W50" i="9"/>
  <c r="Z50" i="9" s="1"/>
  <c r="AC50" i="9" s="1"/>
  <c r="AF50" i="9" s="1"/>
  <c r="W51" i="9"/>
  <c r="W52" i="9"/>
  <c r="W48" i="9"/>
  <c r="X37" i="9"/>
  <c r="AA37" i="9" s="1"/>
  <c r="AD37" i="9" s="1"/>
  <c r="Y37" i="9"/>
  <c r="AB37" i="9" s="1"/>
  <c r="AE37" i="9" s="1"/>
  <c r="X38" i="9"/>
  <c r="Y38" i="9"/>
  <c r="X39" i="9"/>
  <c r="AA39" i="9" s="1"/>
  <c r="AD39" i="9" s="1"/>
  <c r="Y39" i="9"/>
  <c r="AB39" i="9" s="1"/>
  <c r="AE39" i="9" s="1"/>
  <c r="X40" i="9"/>
  <c r="AA40" i="9" s="1"/>
  <c r="AD40" i="9" s="1"/>
  <c r="Y40" i="9"/>
  <c r="AB40" i="9" s="1"/>
  <c r="AE40" i="9" s="1"/>
  <c r="X41" i="9"/>
  <c r="AA41" i="9" s="1"/>
  <c r="AD41" i="9" s="1"/>
  <c r="Y41" i="9"/>
  <c r="W38" i="9"/>
  <c r="W39" i="9"/>
  <c r="Z39" i="9" s="1"/>
  <c r="AC39" i="9" s="1"/>
  <c r="W40" i="9"/>
  <c r="W41" i="9"/>
  <c r="Z41" i="9" s="1"/>
  <c r="AC41" i="9" s="1"/>
  <c r="W37" i="9"/>
  <c r="W27" i="9"/>
  <c r="Z27" i="9" s="1"/>
  <c r="AC27" i="9" s="1"/>
  <c r="X27" i="9"/>
  <c r="AA27" i="9" s="1"/>
  <c r="AD27" i="9" s="1"/>
  <c r="Y27" i="9"/>
  <c r="AB27" i="9" s="1"/>
  <c r="AE27" i="9" s="1"/>
  <c r="W28" i="9"/>
  <c r="Z28" i="9" s="1"/>
  <c r="AC28" i="9" s="1"/>
  <c r="X28" i="9"/>
  <c r="AA28" i="9" s="1"/>
  <c r="AD28" i="9" s="1"/>
  <c r="Y28" i="9"/>
  <c r="W29" i="9"/>
  <c r="X29" i="9"/>
  <c r="Y29" i="9"/>
  <c r="W30" i="9"/>
  <c r="Z30" i="9" s="1"/>
  <c r="AC30" i="9" s="1"/>
  <c r="X30" i="9"/>
  <c r="AA30" i="9" s="1"/>
  <c r="AD30" i="9" s="1"/>
  <c r="Y30" i="9"/>
  <c r="AB30" i="9" s="1"/>
  <c r="AE30" i="9" s="1"/>
  <c r="X26" i="9"/>
  <c r="Y26" i="9"/>
  <c r="AB26" i="9" s="1"/>
  <c r="AE26" i="9" s="1"/>
  <c r="W26" i="9"/>
  <c r="Z26" i="9" s="1"/>
  <c r="AC26" i="9" s="1"/>
  <c r="AF26" i="9" s="1"/>
  <c r="AF31" i="9" s="1"/>
  <c r="AF33" i="9" s="1"/>
  <c r="W16" i="9"/>
  <c r="Z16" i="9" s="1"/>
  <c r="AC16" i="9" s="1"/>
  <c r="X16" i="9"/>
  <c r="AA16" i="9" s="1"/>
  <c r="AD16" i="9" s="1"/>
  <c r="Y16" i="9"/>
  <c r="AB16" i="9" s="1"/>
  <c r="AE16" i="9" s="1"/>
  <c r="W17" i="9"/>
  <c r="X17" i="9"/>
  <c r="Y17" i="9"/>
  <c r="W18" i="9"/>
  <c r="Z18" i="9" s="1"/>
  <c r="AC18" i="9" s="1"/>
  <c r="X18" i="9"/>
  <c r="AA18" i="9" s="1"/>
  <c r="AD18" i="9" s="1"/>
  <c r="Y18" i="9"/>
  <c r="AB18" i="9" s="1"/>
  <c r="AE18" i="9" s="1"/>
  <c r="W19" i="9"/>
  <c r="X19" i="9"/>
  <c r="Y19" i="9"/>
  <c r="AB19" i="9" s="1"/>
  <c r="AE19" i="9" s="1"/>
  <c r="X15" i="9"/>
  <c r="AA15" i="9" s="1"/>
  <c r="AD15" i="9" s="1"/>
  <c r="Y15" i="9"/>
  <c r="W15" i="9"/>
  <c r="Z15" i="9" s="1"/>
  <c r="AC15" i="9" s="1"/>
  <c r="B71" i="9"/>
  <c r="B72" i="9"/>
  <c r="B73" i="9"/>
  <c r="B74" i="9"/>
  <c r="B75" i="9"/>
  <c r="B70" i="9"/>
  <c r="C70" i="9" s="1"/>
  <c r="B60" i="9"/>
  <c r="C60" i="9" s="1"/>
  <c r="B61" i="9"/>
  <c r="C61" i="9" s="1"/>
  <c r="B62" i="9"/>
  <c r="C62" i="9" s="1"/>
  <c r="B63" i="9"/>
  <c r="C63" i="9" s="1"/>
  <c r="B64" i="9"/>
  <c r="C64" i="9" s="1"/>
  <c r="B59" i="9"/>
  <c r="B49" i="9"/>
  <c r="B50" i="9"/>
  <c r="B51" i="9"/>
  <c r="B52" i="9"/>
  <c r="B53" i="9"/>
  <c r="C53" i="9" s="1"/>
  <c r="B48" i="9"/>
  <c r="B8" i="9"/>
  <c r="C8" i="9" s="1"/>
  <c r="B9" i="9"/>
  <c r="C9" i="9"/>
  <c r="B15" i="9"/>
  <c r="C15" i="9"/>
  <c r="D15" i="9"/>
  <c r="E15" i="9"/>
  <c r="B16" i="9"/>
  <c r="C16" i="9"/>
  <c r="D16" i="9"/>
  <c r="G16" i="9" s="1"/>
  <c r="J16" i="9" s="1"/>
  <c r="E16" i="9"/>
  <c r="B17" i="9"/>
  <c r="C17" i="9" s="1"/>
  <c r="D17" i="9"/>
  <c r="G17" i="9" s="1"/>
  <c r="J17" i="9" s="1"/>
  <c r="E17" i="9"/>
  <c r="H17" i="9" s="1"/>
  <c r="K17" i="9" s="1"/>
  <c r="B18" i="9"/>
  <c r="C18" i="9"/>
  <c r="D18" i="9"/>
  <c r="E18" i="9"/>
  <c r="B19" i="9"/>
  <c r="C19" i="9"/>
  <c r="D19" i="9"/>
  <c r="E19" i="9"/>
  <c r="B20" i="9"/>
  <c r="C20" i="9" s="1"/>
  <c r="D20" i="9"/>
  <c r="G20" i="9" s="1"/>
  <c r="J20" i="9" s="1"/>
  <c r="E20" i="9"/>
  <c r="H20" i="9" s="1"/>
  <c r="K20" i="9" s="1"/>
  <c r="B26" i="9"/>
  <c r="C26" i="9"/>
  <c r="D26" i="9"/>
  <c r="E26" i="9"/>
  <c r="H26" i="9" s="1"/>
  <c r="K26" i="9" s="1"/>
  <c r="B27" i="9"/>
  <c r="C27" i="9"/>
  <c r="D27" i="9"/>
  <c r="G27" i="9" s="1"/>
  <c r="J27" i="9" s="1"/>
  <c r="E27" i="9"/>
  <c r="H27" i="9" s="1"/>
  <c r="K27" i="9" s="1"/>
  <c r="B28" i="9"/>
  <c r="C28" i="9" s="1"/>
  <c r="D28" i="9"/>
  <c r="G28" i="9" s="1"/>
  <c r="J28" i="9" s="1"/>
  <c r="E28" i="9"/>
  <c r="H28" i="9" s="1"/>
  <c r="K28" i="9" s="1"/>
  <c r="B29" i="9"/>
  <c r="C29" i="9"/>
  <c r="D29" i="9"/>
  <c r="G29" i="9" s="1"/>
  <c r="J29" i="9" s="1"/>
  <c r="E29" i="9"/>
  <c r="B30" i="9"/>
  <c r="C30" i="9"/>
  <c r="D30" i="9"/>
  <c r="G30" i="9" s="1"/>
  <c r="J30" i="9" s="1"/>
  <c r="E30" i="9"/>
  <c r="H30" i="9" s="1"/>
  <c r="K30" i="9" s="1"/>
  <c r="B31" i="9"/>
  <c r="C31" i="9" s="1"/>
  <c r="D31" i="9"/>
  <c r="E31" i="9"/>
  <c r="H31" i="9" s="1"/>
  <c r="K31" i="9" s="1"/>
  <c r="B37" i="9"/>
  <c r="C37" i="9"/>
  <c r="D37" i="9"/>
  <c r="E37" i="9"/>
  <c r="Z71" i="9"/>
  <c r="AC71" i="9" s="1"/>
  <c r="AA73" i="9"/>
  <c r="AD73" i="9"/>
  <c r="AB73" i="9"/>
  <c r="AE73" i="9"/>
  <c r="AA74" i="9"/>
  <c r="AD74" i="9" s="1"/>
  <c r="D75" i="9"/>
  <c r="G75" i="9" s="1"/>
  <c r="J75" i="9" s="1"/>
  <c r="E75" i="9"/>
  <c r="H75" i="9" s="1"/>
  <c r="K75" i="9" s="1"/>
  <c r="F75" i="9"/>
  <c r="I75" i="9" s="1"/>
  <c r="L75" i="9" s="1"/>
  <c r="D73" i="9"/>
  <c r="G73" i="9"/>
  <c r="J73" i="9"/>
  <c r="E73" i="9"/>
  <c r="H73" i="9" s="1"/>
  <c r="K73" i="9" s="1"/>
  <c r="F73" i="9"/>
  <c r="I73" i="9" s="1"/>
  <c r="L73" i="9" s="1"/>
  <c r="D71" i="9"/>
  <c r="G71" i="9"/>
  <c r="J71" i="9" s="1"/>
  <c r="E71" i="9"/>
  <c r="H71" i="9" s="1"/>
  <c r="K71" i="9" s="1"/>
  <c r="F71" i="9"/>
  <c r="I71" i="9" s="1"/>
  <c r="L71" i="9" s="1"/>
  <c r="D70" i="9"/>
  <c r="G70" i="9"/>
  <c r="J70" i="9" s="1"/>
  <c r="E70" i="9"/>
  <c r="H70" i="9"/>
  <c r="K70" i="9"/>
  <c r="F70" i="9"/>
  <c r="I70" i="9" s="1"/>
  <c r="L70" i="9" s="1"/>
  <c r="AB60" i="9"/>
  <c r="AE60" i="9" s="1"/>
  <c r="AA61" i="9"/>
  <c r="AD61" i="9"/>
  <c r="AB61" i="9"/>
  <c r="AE61" i="9" s="1"/>
  <c r="AB62" i="9"/>
  <c r="AE62" i="9" s="1"/>
  <c r="AA63" i="9"/>
  <c r="AD63" i="9" s="1"/>
  <c r="D63" i="9"/>
  <c r="G63" i="9"/>
  <c r="J63" i="9"/>
  <c r="E63" i="9"/>
  <c r="H63" i="9"/>
  <c r="K63" i="9" s="1"/>
  <c r="F63" i="9"/>
  <c r="I63" i="9"/>
  <c r="L63" i="9" s="1"/>
  <c r="D61" i="9"/>
  <c r="G61" i="9" s="1"/>
  <c r="J61" i="9" s="1"/>
  <c r="M61" i="9" s="1"/>
  <c r="E61" i="9"/>
  <c r="H61" i="9"/>
  <c r="K61" i="9"/>
  <c r="F61" i="9"/>
  <c r="I61" i="9"/>
  <c r="L61" i="9"/>
  <c r="D59" i="9"/>
  <c r="G59" i="9"/>
  <c r="J59" i="9" s="1"/>
  <c r="E59" i="9"/>
  <c r="H59" i="9" s="1"/>
  <c r="K59" i="9" s="1"/>
  <c r="F59" i="9"/>
  <c r="I59" i="9"/>
  <c r="L59" i="9"/>
  <c r="C59" i="9"/>
  <c r="D52" i="9"/>
  <c r="G52" i="9" s="1"/>
  <c r="J52" i="9" s="1"/>
  <c r="E52" i="9"/>
  <c r="H52" i="9" s="1"/>
  <c r="K52" i="9" s="1"/>
  <c r="F52" i="9"/>
  <c r="I52" i="9" s="1"/>
  <c r="L52" i="9" s="1"/>
  <c r="Z48" i="9"/>
  <c r="AC48" i="9"/>
  <c r="AA48" i="9"/>
  <c r="AD48" i="9"/>
  <c r="AB48" i="9"/>
  <c r="AE48" i="9" s="1"/>
  <c r="AA49" i="9"/>
  <c r="AD49" i="9"/>
  <c r="AB49" i="9"/>
  <c r="AE49" i="9"/>
  <c r="AA50" i="9"/>
  <c r="AD50" i="9"/>
  <c r="Z51" i="9"/>
  <c r="AC51" i="9" s="1"/>
  <c r="Z52" i="9"/>
  <c r="AC52" i="9"/>
  <c r="D50" i="9"/>
  <c r="G50" i="9" s="1"/>
  <c r="J50" i="9" s="1"/>
  <c r="E50" i="9"/>
  <c r="H50" i="9"/>
  <c r="K50" i="9"/>
  <c r="F50" i="9"/>
  <c r="I50" i="9"/>
  <c r="L50" i="9" s="1"/>
  <c r="C50" i="9"/>
  <c r="D49" i="9"/>
  <c r="G49" i="9"/>
  <c r="J49" i="9" s="1"/>
  <c r="E49" i="9"/>
  <c r="H49" i="9" s="1"/>
  <c r="K49" i="9" s="1"/>
  <c r="F49" i="9"/>
  <c r="I49" i="9"/>
  <c r="L49" i="9"/>
  <c r="C49" i="9"/>
  <c r="D48" i="9"/>
  <c r="G48" i="9" s="1"/>
  <c r="J48" i="9" s="1"/>
  <c r="E48" i="9"/>
  <c r="H48" i="9"/>
  <c r="K48" i="9" s="1"/>
  <c r="F48" i="9"/>
  <c r="I48" i="9"/>
  <c r="L48" i="9" s="1"/>
  <c r="C48" i="9"/>
  <c r="D41" i="9"/>
  <c r="G41" i="9"/>
  <c r="J41" i="9"/>
  <c r="E41" i="9"/>
  <c r="H41" i="9"/>
  <c r="K41" i="9" s="1"/>
  <c r="F41" i="9"/>
  <c r="I41" i="9" s="1"/>
  <c r="L41" i="9" s="1"/>
  <c r="Z37" i="9"/>
  <c r="AC37" i="9"/>
  <c r="AF37" i="9" s="1"/>
  <c r="AF42" i="9" s="1"/>
  <c r="AF44" i="9" s="1"/>
  <c r="Z38" i="9"/>
  <c r="AC38" i="9"/>
  <c r="AA38" i="9"/>
  <c r="AD38" i="9"/>
  <c r="AB38" i="9"/>
  <c r="AE38" i="9" s="1"/>
  <c r="Z40" i="9"/>
  <c r="AC40" i="9"/>
  <c r="AB41" i="9"/>
  <c r="AE41" i="9"/>
  <c r="D39" i="9"/>
  <c r="G39" i="9"/>
  <c r="J39" i="9"/>
  <c r="E39" i="9"/>
  <c r="H39" i="9" s="1"/>
  <c r="K39" i="9" s="1"/>
  <c r="F39" i="9"/>
  <c r="I39" i="9"/>
  <c r="L39" i="9" s="1"/>
  <c r="B39" i="9"/>
  <c r="C39" i="9"/>
  <c r="G37" i="9"/>
  <c r="J37" i="9" s="1"/>
  <c r="H37" i="9"/>
  <c r="K37" i="9"/>
  <c r="F37" i="9"/>
  <c r="I37" i="9"/>
  <c r="L37" i="9"/>
  <c r="H29" i="9"/>
  <c r="K29" i="9" s="1"/>
  <c r="F29" i="9"/>
  <c r="I29" i="9" s="1"/>
  <c r="L29" i="9" s="1"/>
  <c r="AA26" i="9"/>
  <c r="AD26" i="9" s="1"/>
  <c r="AB28" i="9"/>
  <c r="AE28" i="9" s="1"/>
  <c r="Z29" i="9"/>
  <c r="AC29" i="9"/>
  <c r="AA29" i="9"/>
  <c r="AD29" i="9"/>
  <c r="AB29" i="9"/>
  <c r="AE29" i="9" s="1"/>
  <c r="F27" i="9"/>
  <c r="I27" i="9" s="1"/>
  <c r="L27" i="9" s="1"/>
  <c r="G26" i="9"/>
  <c r="J26" i="9"/>
  <c r="F26" i="9"/>
  <c r="I26" i="9" s="1"/>
  <c r="L26" i="9" s="1"/>
  <c r="G19" i="9"/>
  <c r="J19" i="9" s="1"/>
  <c r="H19" i="9"/>
  <c r="K19" i="9"/>
  <c r="F19" i="9"/>
  <c r="I19" i="9"/>
  <c r="L19" i="9" s="1"/>
  <c r="AB15" i="9"/>
  <c r="AE15" i="9"/>
  <c r="Z17" i="9"/>
  <c r="AC17" i="9" s="1"/>
  <c r="AA17" i="9"/>
  <c r="AD17" i="9" s="1"/>
  <c r="AB17" i="9"/>
  <c r="AE17" i="9"/>
  <c r="Z19" i="9"/>
  <c r="AC19" i="9"/>
  <c r="AF19" i="9" s="1"/>
  <c r="AA19" i="9"/>
  <c r="AD19" i="9"/>
  <c r="G18" i="9"/>
  <c r="J18" i="9"/>
  <c r="H18" i="9"/>
  <c r="K18" i="9" s="1"/>
  <c r="F18" i="9"/>
  <c r="I18" i="9" s="1"/>
  <c r="L18" i="9" s="1"/>
  <c r="H16" i="9"/>
  <c r="K16" i="9"/>
  <c r="F16" i="9"/>
  <c r="I16" i="9"/>
  <c r="L16" i="9"/>
  <c r="G15" i="9"/>
  <c r="J15" i="9"/>
  <c r="H15" i="9"/>
  <c r="K15" i="9"/>
  <c r="F15" i="9"/>
  <c r="I15" i="9" s="1"/>
  <c r="L15" i="9" s="1"/>
  <c r="D38" i="9"/>
  <c r="G38" i="9"/>
  <c r="J38" i="9"/>
  <c r="E38" i="9"/>
  <c r="H38" i="9" s="1"/>
  <c r="K38" i="9" s="1"/>
  <c r="F38" i="9"/>
  <c r="I38" i="9"/>
  <c r="L38" i="9"/>
  <c r="B38" i="9"/>
  <c r="C38" i="9" s="1"/>
  <c r="D60" i="9"/>
  <c r="G60" i="9"/>
  <c r="J60" i="9"/>
  <c r="E60" i="9"/>
  <c r="H60" i="9" s="1"/>
  <c r="K60" i="9" s="1"/>
  <c r="F60" i="9"/>
  <c r="I60" i="9"/>
  <c r="L60" i="9"/>
  <c r="F17" i="9"/>
  <c r="I17" i="9"/>
  <c r="L17" i="9" s="1"/>
  <c r="F28" i="9"/>
  <c r="I28" i="9"/>
  <c r="L28" i="9"/>
  <c r="D72" i="9"/>
  <c r="G72" i="9" s="1"/>
  <c r="J72" i="9" s="1"/>
  <c r="E72" i="9"/>
  <c r="H72" i="9" s="1"/>
  <c r="K72" i="9" s="1"/>
  <c r="F72" i="9"/>
  <c r="I72" i="9"/>
  <c r="L72" i="9" s="1"/>
  <c r="D40" i="9"/>
  <c r="G40" i="9" s="1"/>
  <c r="J40" i="9" s="1"/>
  <c r="E40" i="9"/>
  <c r="H40" i="9" s="1"/>
  <c r="K40" i="9" s="1"/>
  <c r="F40" i="9"/>
  <c r="I40" i="9"/>
  <c r="L40" i="9" s="1"/>
  <c r="B40" i="9"/>
  <c r="C40" i="9" s="1"/>
  <c r="D51" i="9"/>
  <c r="G51" i="9"/>
  <c r="J51" i="9" s="1"/>
  <c r="E51" i="9"/>
  <c r="H51" i="9" s="1"/>
  <c r="K51" i="9" s="1"/>
  <c r="F51" i="9"/>
  <c r="I51" i="9"/>
  <c r="L51" i="9"/>
  <c r="C51" i="9"/>
  <c r="D62" i="9"/>
  <c r="G62" i="9" s="1"/>
  <c r="J62" i="9" s="1"/>
  <c r="E62" i="9"/>
  <c r="H62" i="9"/>
  <c r="K62" i="9"/>
  <c r="F62" i="9"/>
  <c r="I62" i="9"/>
  <c r="L62" i="9" s="1"/>
  <c r="F30" i="9"/>
  <c r="I30" i="9" s="1"/>
  <c r="L30" i="9" s="1"/>
  <c r="D74" i="9"/>
  <c r="G74" i="9"/>
  <c r="J74" i="9"/>
  <c r="M74" i="9" s="1"/>
  <c r="E74" i="9"/>
  <c r="H74" i="9"/>
  <c r="K74" i="9"/>
  <c r="F74" i="9"/>
  <c r="I74" i="9"/>
  <c r="L74" i="9" s="1"/>
  <c r="F20" i="9"/>
  <c r="I20" i="9"/>
  <c r="L20" i="9"/>
  <c r="G31" i="9"/>
  <c r="J31" i="9" s="1"/>
  <c r="F31" i="9"/>
  <c r="I31" i="9" s="1"/>
  <c r="L31" i="9" s="1"/>
  <c r="D42" i="9"/>
  <c r="G42" i="9"/>
  <c r="J42" i="9"/>
  <c r="E42" i="9"/>
  <c r="H42" i="9"/>
  <c r="K42" i="9" s="1"/>
  <c r="F42" i="9"/>
  <c r="I42" i="9"/>
  <c r="L42" i="9"/>
  <c r="D53" i="9"/>
  <c r="G53" i="9" s="1"/>
  <c r="J53" i="9" s="1"/>
  <c r="E53" i="9"/>
  <c r="H53" i="9"/>
  <c r="K53" i="9"/>
  <c r="F53" i="9"/>
  <c r="I53" i="9"/>
  <c r="L53" i="9" s="1"/>
  <c r="D64" i="9"/>
  <c r="G64" i="9"/>
  <c r="J64" i="9"/>
  <c r="E64" i="9"/>
  <c r="H64" i="9" s="1"/>
  <c r="K64" i="9" s="1"/>
  <c r="F64" i="9"/>
  <c r="I64" i="9"/>
  <c r="L64" i="9"/>
  <c r="W70" i="7"/>
  <c r="Z70" i="7"/>
  <c r="AC70" i="7"/>
  <c r="X70" i="7"/>
  <c r="AA70" i="7"/>
  <c r="AD70" i="7"/>
  <c r="Y70" i="7"/>
  <c r="AB70" i="7"/>
  <c r="AE70" i="7"/>
  <c r="AF70" i="7"/>
  <c r="W71" i="7"/>
  <c r="Z71" i="7"/>
  <c r="AC71" i="7"/>
  <c r="X71" i="7"/>
  <c r="AA71" i="7"/>
  <c r="AD71" i="7"/>
  <c r="Y71" i="7"/>
  <c r="AB71" i="7"/>
  <c r="AE71" i="7"/>
  <c r="AF71" i="7"/>
  <c r="W72" i="7"/>
  <c r="Z72" i="7"/>
  <c r="AC72" i="7"/>
  <c r="X72" i="7"/>
  <c r="AA72" i="7"/>
  <c r="AD72" i="7"/>
  <c r="Y72" i="7"/>
  <c r="AB72" i="7"/>
  <c r="AE72" i="7"/>
  <c r="AF72" i="7"/>
  <c r="W73" i="7"/>
  <c r="Z73" i="7"/>
  <c r="AC73" i="7"/>
  <c r="X73" i="7"/>
  <c r="AA73" i="7"/>
  <c r="AD73" i="7"/>
  <c r="Y73" i="7"/>
  <c r="AB73" i="7"/>
  <c r="AE73" i="7"/>
  <c r="AF73" i="7"/>
  <c r="W74" i="7"/>
  <c r="Z74" i="7"/>
  <c r="AC74" i="7"/>
  <c r="X74" i="7"/>
  <c r="AA74" i="7"/>
  <c r="AD74" i="7"/>
  <c r="Y74" i="7"/>
  <c r="AB74" i="7"/>
  <c r="AE74" i="7"/>
  <c r="AF74" i="7"/>
  <c r="AF75" i="7"/>
  <c r="W59" i="7"/>
  <c r="Z59" i="7"/>
  <c r="AC59" i="7"/>
  <c r="X59" i="7"/>
  <c r="AA59" i="7"/>
  <c r="AD59" i="7"/>
  <c r="Y59" i="7"/>
  <c r="AB59" i="7"/>
  <c r="AE59" i="7"/>
  <c r="AF59" i="7"/>
  <c r="W60" i="7"/>
  <c r="Z60" i="7"/>
  <c r="AC60" i="7"/>
  <c r="X60" i="7"/>
  <c r="AA60" i="7"/>
  <c r="AD60" i="7"/>
  <c r="Y60" i="7"/>
  <c r="AB60" i="7"/>
  <c r="AE60" i="7"/>
  <c r="AF60" i="7"/>
  <c r="W61" i="7"/>
  <c r="Z61" i="7"/>
  <c r="AC61" i="7"/>
  <c r="X61" i="7"/>
  <c r="AA61" i="7"/>
  <c r="AD61" i="7"/>
  <c r="Y61" i="7"/>
  <c r="AB61" i="7"/>
  <c r="AE61" i="7"/>
  <c r="AF61" i="7"/>
  <c r="W62" i="7"/>
  <c r="Z62" i="7"/>
  <c r="AC62" i="7"/>
  <c r="X62" i="7"/>
  <c r="AA62" i="7"/>
  <c r="AD62" i="7"/>
  <c r="Y62" i="7"/>
  <c r="AB62" i="7"/>
  <c r="AE62" i="7"/>
  <c r="AF62" i="7"/>
  <c r="W63" i="7"/>
  <c r="Z63" i="7"/>
  <c r="AC63" i="7"/>
  <c r="X63" i="7"/>
  <c r="AA63" i="7"/>
  <c r="AD63" i="7"/>
  <c r="Y63" i="7"/>
  <c r="AB63" i="7"/>
  <c r="AE63" i="7"/>
  <c r="AF63" i="7"/>
  <c r="AF64" i="7"/>
  <c r="W48" i="7"/>
  <c r="Z48" i="7"/>
  <c r="AC48" i="7"/>
  <c r="X48" i="7"/>
  <c r="AA48" i="7"/>
  <c r="AD48" i="7"/>
  <c r="Y48" i="7"/>
  <c r="AB48" i="7"/>
  <c r="AE48" i="7"/>
  <c r="AF48" i="7"/>
  <c r="W49" i="7"/>
  <c r="Z49" i="7"/>
  <c r="AC49" i="7"/>
  <c r="X49" i="7"/>
  <c r="AA49" i="7"/>
  <c r="AD49" i="7"/>
  <c r="Y49" i="7"/>
  <c r="AB49" i="7"/>
  <c r="AE49" i="7"/>
  <c r="AF49" i="7"/>
  <c r="W50" i="7"/>
  <c r="Z50" i="7"/>
  <c r="AC50" i="7"/>
  <c r="X50" i="7"/>
  <c r="AA50" i="7"/>
  <c r="AD50" i="7"/>
  <c r="Y50" i="7"/>
  <c r="AB50" i="7"/>
  <c r="AE50" i="7"/>
  <c r="AF50" i="7"/>
  <c r="W51" i="7"/>
  <c r="Z51" i="7"/>
  <c r="AC51" i="7"/>
  <c r="X51" i="7"/>
  <c r="AA51" i="7"/>
  <c r="AD51" i="7"/>
  <c r="Y51" i="7"/>
  <c r="AB51" i="7"/>
  <c r="AE51" i="7"/>
  <c r="AF51" i="7"/>
  <c r="W52" i="7"/>
  <c r="Z52" i="7"/>
  <c r="AC52" i="7"/>
  <c r="X52" i="7"/>
  <c r="AA52" i="7"/>
  <c r="AD52" i="7"/>
  <c r="Y52" i="7"/>
  <c r="AB52" i="7"/>
  <c r="AE52" i="7"/>
  <c r="AF52" i="7"/>
  <c r="AF53" i="7"/>
  <c r="W37" i="7"/>
  <c r="Z37" i="7"/>
  <c r="AC37" i="7"/>
  <c r="X37" i="7"/>
  <c r="AA37" i="7"/>
  <c r="AD37" i="7"/>
  <c r="Y37" i="7"/>
  <c r="AB37" i="7"/>
  <c r="AE37" i="7"/>
  <c r="AF37" i="7"/>
  <c r="W38" i="7"/>
  <c r="Z38" i="7"/>
  <c r="AC38" i="7"/>
  <c r="X38" i="7"/>
  <c r="AA38" i="7"/>
  <c r="AD38" i="7"/>
  <c r="Y38" i="7"/>
  <c r="AB38" i="7"/>
  <c r="AE38" i="7"/>
  <c r="AF38" i="7"/>
  <c r="W39" i="7"/>
  <c r="Z39" i="7"/>
  <c r="AC39" i="7"/>
  <c r="X39" i="7"/>
  <c r="AA39" i="7"/>
  <c r="AD39" i="7"/>
  <c r="Y39" i="7"/>
  <c r="AB39" i="7"/>
  <c r="AE39" i="7"/>
  <c r="AF39" i="7"/>
  <c r="W40" i="7"/>
  <c r="Z40" i="7"/>
  <c r="AC40" i="7"/>
  <c r="X40" i="7"/>
  <c r="AA40" i="7"/>
  <c r="AD40" i="7"/>
  <c r="Y40" i="7"/>
  <c r="AB40" i="7"/>
  <c r="AE40" i="7"/>
  <c r="AF40" i="7"/>
  <c r="W41" i="7"/>
  <c r="Z41" i="7"/>
  <c r="AC41" i="7"/>
  <c r="X41" i="7"/>
  <c r="AA41" i="7"/>
  <c r="AD41" i="7"/>
  <c r="Y41" i="7"/>
  <c r="AB41" i="7"/>
  <c r="AE41" i="7"/>
  <c r="AF41" i="7"/>
  <c r="AF42" i="7"/>
  <c r="W26" i="7"/>
  <c r="Z26" i="7"/>
  <c r="AC26" i="7"/>
  <c r="X26" i="7"/>
  <c r="AA26" i="7"/>
  <c r="AD26" i="7"/>
  <c r="Y26" i="7"/>
  <c r="AB26" i="7"/>
  <c r="AE26" i="7"/>
  <c r="AF26" i="7"/>
  <c r="W27" i="7"/>
  <c r="Z27" i="7"/>
  <c r="AC27" i="7"/>
  <c r="X27" i="7"/>
  <c r="AA27" i="7"/>
  <c r="AD27" i="7"/>
  <c r="Y27" i="7"/>
  <c r="AB27" i="7"/>
  <c r="AE27" i="7"/>
  <c r="AF27" i="7"/>
  <c r="W28" i="7"/>
  <c r="Z28" i="7"/>
  <c r="AC28" i="7"/>
  <c r="X28" i="7"/>
  <c r="AA28" i="7"/>
  <c r="AD28" i="7"/>
  <c r="Y28" i="7"/>
  <c r="AB28" i="7"/>
  <c r="AE28" i="7"/>
  <c r="AF28" i="7"/>
  <c r="W29" i="7"/>
  <c r="Z29" i="7"/>
  <c r="AC29" i="7"/>
  <c r="X29" i="7"/>
  <c r="AA29" i="7"/>
  <c r="AD29" i="7"/>
  <c r="Y29" i="7"/>
  <c r="AB29" i="7"/>
  <c r="AE29" i="7"/>
  <c r="AF29" i="7"/>
  <c r="W30" i="7"/>
  <c r="Z30" i="7"/>
  <c r="AC30" i="7"/>
  <c r="X30" i="7"/>
  <c r="AA30" i="7"/>
  <c r="AD30" i="7"/>
  <c r="Y30" i="7"/>
  <c r="AB30" i="7"/>
  <c r="AE30" i="7"/>
  <c r="AF30" i="7"/>
  <c r="AF31" i="7"/>
  <c r="W15" i="7"/>
  <c r="Z15" i="7"/>
  <c r="AC15" i="7"/>
  <c r="X15" i="7"/>
  <c r="AA15" i="7"/>
  <c r="AD15" i="7"/>
  <c r="Y15" i="7"/>
  <c r="AB15" i="7"/>
  <c r="AE15" i="7"/>
  <c r="AF15" i="7"/>
  <c r="W16" i="7"/>
  <c r="Z16" i="7"/>
  <c r="AC16" i="7"/>
  <c r="X16" i="7"/>
  <c r="AA16" i="7"/>
  <c r="AD16" i="7"/>
  <c r="Y16" i="7"/>
  <c r="AB16" i="7"/>
  <c r="AE16" i="7"/>
  <c r="AF16" i="7"/>
  <c r="W17" i="7"/>
  <c r="Z17" i="7"/>
  <c r="AC17" i="7"/>
  <c r="X17" i="7"/>
  <c r="AA17" i="7"/>
  <c r="AD17" i="7"/>
  <c r="Y17" i="7"/>
  <c r="AB17" i="7"/>
  <c r="AE17" i="7"/>
  <c r="AF17" i="7"/>
  <c r="W18" i="7"/>
  <c r="Z18" i="7"/>
  <c r="AC18" i="7"/>
  <c r="X18" i="7"/>
  <c r="AA18" i="7"/>
  <c r="AD18" i="7"/>
  <c r="Y18" i="7"/>
  <c r="AB18" i="7"/>
  <c r="AE18" i="7"/>
  <c r="AF18" i="7"/>
  <c r="W19" i="7"/>
  <c r="Z19" i="7"/>
  <c r="AC19" i="7"/>
  <c r="X19" i="7"/>
  <c r="AA19" i="7"/>
  <c r="AD19" i="7"/>
  <c r="Y19" i="7"/>
  <c r="AB19" i="7"/>
  <c r="AE19" i="7"/>
  <c r="AF19" i="7"/>
  <c r="AF20" i="7"/>
  <c r="W4" i="7"/>
  <c r="Z4" i="7"/>
  <c r="AC4" i="7"/>
  <c r="X4" i="7"/>
  <c r="AA4" i="7"/>
  <c r="AD4" i="7"/>
  <c r="Y4" i="7"/>
  <c r="AB4" i="7"/>
  <c r="AE4" i="7"/>
  <c r="AF4" i="7"/>
  <c r="W5" i="7"/>
  <c r="Z5" i="7"/>
  <c r="AC5" i="7"/>
  <c r="X5" i="7"/>
  <c r="AA5" i="7"/>
  <c r="AD5" i="7"/>
  <c r="Y5" i="7"/>
  <c r="AB5" i="7"/>
  <c r="AE5" i="7"/>
  <c r="AF5" i="7"/>
  <c r="W6" i="7"/>
  <c r="Z6" i="7"/>
  <c r="AC6" i="7"/>
  <c r="X6" i="7"/>
  <c r="AA6" i="7"/>
  <c r="AD6" i="7"/>
  <c r="Y6" i="7"/>
  <c r="AB6" i="7"/>
  <c r="AE6" i="7"/>
  <c r="AF6" i="7"/>
  <c r="W7" i="7"/>
  <c r="Z7" i="7"/>
  <c r="AC7" i="7"/>
  <c r="X7" i="7"/>
  <c r="AA7" i="7"/>
  <c r="AD7" i="7"/>
  <c r="Y7" i="7"/>
  <c r="AB7" i="7"/>
  <c r="AE7" i="7"/>
  <c r="AF7" i="7"/>
  <c r="W8" i="7"/>
  <c r="Z8" i="7"/>
  <c r="AC8" i="7"/>
  <c r="X8" i="7"/>
  <c r="AA8" i="7"/>
  <c r="AD8" i="7"/>
  <c r="Y8" i="7"/>
  <c r="AB8" i="7"/>
  <c r="AE8" i="7"/>
  <c r="AF8" i="7"/>
  <c r="AF9" i="7"/>
  <c r="AF11" i="7"/>
  <c r="AF22" i="7"/>
  <c r="AF33" i="7"/>
  <c r="AF44" i="7"/>
  <c r="AF55" i="7"/>
  <c r="AF66" i="7"/>
  <c r="C71" i="9"/>
  <c r="C72" i="9"/>
  <c r="C73" i="9"/>
  <c r="C74" i="9"/>
  <c r="C75" i="9"/>
  <c r="C52" i="9"/>
  <c r="B41" i="9"/>
  <c r="C41" i="9"/>
  <c r="B42" i="9"/>
  <c r="C42" i="9"/>
  <c r="A67" i="9"/>
  <c r="V67" i="9" s="1"/>
  <c r="A56" i="9"/>
  <c r="V56" i="9" s="1"/>
  <c r="A45" i="9"/>
  <c r="V45" i="9" s="1"/>
  <c r="A34" i="9"/>
  <c r="V34" i="9" s="1"/>
  <c r="A23" i="9"/>
  <c r="V23" i="9" s="1"/>
  <c r="A12" i="9"/>
  <c r="W67" i="9"/>
  <c r="W56" i="9"/>
  <c r="W45" i="9"/>
  <c r="W34" i="9"/>
  <c r="W23" i="9"/>
  <c r="W12" i="9"/>
  <c r="V12" i="9"/>
  <c r="V1" i="9"/>
  <c r="D60" i="7"/>
  <c r="G60" i="7" s="1"/>
  <c r="J60" i="7" s="1"/>
  <c r="M60" i="7" s="1"/>
  <c r="N60" i="7" s="1"/>
  <c r="E60" i="7"/>
  <c r="H60" i="7"/>
  <c r="K60" i="7"/>
  <c r="F60" i="7"/>
  <c r="I60" i="7"/>
  <c r="L60" i="7"/>
  <c r="AF77" i="7"/>
  <c r="D71" i="7"/>
  <c r="G71" i="7"/>
  <c r="J71" i="7"/>
  <c r="E71" i="7"/>
  <c r="H71" i="7"/>
  <c r="K71" i="7"/>
  <c r="F71" i="7"/>
  <c r="I71" i="7"/>
  <c r="L71" i="7"/>
  <c r="M71" i="7"/>
  <c r="N71" i="7"/>
  <c r="O71" i="7"/>
  <c r="K11" i="3"/>
  <c r="D61" i="7"/>
  <c r="G61" i="7" s="1"/>
  <c r="J61" i="7" s="1"/>
  <c r="M61" i="7" s="1"/>
  <c r="N61" i="7" s="1"/>
  <c r="E61" i="7"/>
  <c r="H61" i="7"/>
  <c r="K61" i="7"/>
  <c r="F61" i="7"/>
  <c r="I61" i="7"/>
  <c r="L61" i="7"/>
  <c r="D72" i="7"/>
  <c r="G72" i="7"/>
  <c r="J72" i="7"/>
  <c r="E72" i="7"/>
  <c r="H72" i="7"/>
  <c r="K72" i="7"/>
  <c r="F72" i="7"/>
  <c r="I72" i="7"/>
  <c r="L72" i="7"/>
  <c r="M72" i="7"/>
  <c r="N72" i="7"/>
  <c r="O72" i="7"/>
  <c r="K12" i="3"/>
  <c r="D62" i="7"/>
  <c r="G62" i="7" s="1"/>
  <c r="J62" i="7" s="1"/>
  <c r="M62" i="7" s="1"/>
  <c r="N62" i="7" s="1"/>
  <c r="E62" i="7"/>
  <c r="H62" i="7"/>
  <c r="K62" i="7"/>
  <c r="F62" i="7"/>
  <c r="I62" i="7"/>
  <c r="L62" i="7"/>
  <c r="D73" i="7"/>
  <c r="G73" i="7"/>
  <c r="J73" i="7"/>
  <c r="E73" i="7"/>
  <c r="H73" i="7"/>
  <c r="K73" i="7"/>
  <c r="F73" i="7"/>
  <c r="I73" i="7"/>
  <c r="L73" i="7"/>
  <c r="M73" i="7"/>
  <c r="N73" i="7"/>
  <c r="O73" i="7"/>
  <c r="K13" i="3"/>
  <c r="D63" i="7"/>
  <c r="G63" i="7"/>
  <c r="J63" i="7"/>
  <c r="E63" i="7"/>
  <c r="H63" i="7"/>
  <c r="K63" i="7"/>
  <c r="F63" i="7"/>
  <c r="I63" i="7"/>
  <c r="L63" i="7"/>
  <c r="M63" i="7"/>
  <c r="N63" i="7"/>
  <c r="O63" i="7"/>
  <c r="J14" i="3"/>
  <c r="D74" i="7"/>
  <c r="G74" i="7"/>
  <c r="J74" i="7"/>
  <c r="E74" i="7"/>
  <c r="H74" i="7"/>
  <c r="K74" i="7"/>
  <c r="F74" i="7"/>
  <c r="I74" i="7"/>
  <c r="L74" i="7"/>
  <c r="M74" i="7"/>
  <c r="N74" i="7"/>
  <c r="O74" i="7"/>
  <c r="K14" i="3"/>
  <c r="D64" i="7"/>
  <c r="G64" i="7"/>
  <c r="J64" i="7"/>
  <c r="E64" i="7"/>
  <c r="H64" i="7"/>
  <c r="K64" i="7"/>
  <c r="F64" i="7"/>
  <c r="I64" i="7"/>
  <c r="L64" i="7"/>
  <c r="M64" i="7"/>
  <c r="N64" i="7"/>
  <c r="O64" i="7"/>
  <c r="J15" i="3"/>
  <c r="D75" i="7"/>
  <c r="G75" i="7"/>
  <c r="J75" i="7"/>
  <c r="E75" i="7"/>
  <c r="H75" i="7"/>
  <c r="K75" i="7"/>
  <c r="F75" i="7"/>
  <c r="I75" i="7"/>
  <c r="L75" i="7"/>
  <c r="M75" i="7"/>
  <c r="N75" i="7"/>
  <c r="O75" i="7"/>
  <c r="K15" i="3"/>
  <c r="D70" i="7"/>
  <c r="G70" i="7"/>
  <c r="J70" i="7"/>
  <c r="E70" i="7"/>
  <c r="H70" i="7"/>
  <c r="K70" i="7"/>
  <c r="F70" i="7"/>
  <c r="I70" i="7"/>
  <c r="L70" i="7"/>
  <c r="M70" i="7"/>
  <c r="N70" i="7"/>
  <c r="O70" i="7"/>
  <c r="K10" i="3"/>
  <c r="D59" i="7"/>
  <c r="G59" i="7" s="1"/>
  <c r="J59" i="7" s="1"/>
  <c r="M59" i="7" s="1"/>
  <c r="N59" i="7" s="1"/>
  <c r="E59" i="7"/>
  <c r="H59" i="7"/>
  <c r="K59" i="7"/>
  <c r="F59" i="7"/>
  <c r="I59" i="7"/>
  <c r="L59" i="7"/>
  <c r="D49" i="7"/>
  <c r="G49" i="7"/>
  <c r="J49" i="7"/>
  <c r="E49" i="7"/>
  <c r="H49" i="7"/>
  <c r="K49" i="7"/>
  <c r="F49" i="7"/>
  <c r="I49" i="7"/>
  <c r="L49" i="7"/>
  <c r="M49" i="7"/>
  <c r="N49" i="7"/>
  <c r="B49" i="7"/>
  <c r="C49" i="7" s="1"/>
  <c r="O49" i="7" s="1"/>
  <c r="I11" i="3" s="1"/>
  <c r="H75" i="5"/>
  <c r="D50" i="7"/>
  <c r="G50" i="7"/>
  <c r="J50" i="7"/>
  <c r="E50" i="7"/>
  <c r="H50" i="7"/>
  <c r="K50" i="7"/>
  <c r="F50" i="7"/>
  <c r="I50" i="7"/>
  <c r="L50" i="7"/>
  <c r="M50" i="7"/>
  <c r="N50" i="7"/>
  <c r="B50" i="7"/>
  <c r="C50" i="7" s="1"/>
  <c r="O50" i="7" s="1"/>
  <c r="I12" i="3" s="1"/>
  <c r="D51" i="7"/>
  <c r="G51" i="7"/>
  <c r="J51" i="7"/>
  <c r="E51" i="7"/>
  <c r="H51" i="7"/>
  <c r="K51" i="7"/>
  <c r="F51" i="7"/>
  <c r="I51" i="7"/>
  <c r="L51" i="7"/>
  <c r="M51" i="7"/>
  <c r="N51" i="7"/>
  <c r="B51" i="7"/>
  <c r="C51" i="7"/>
  <c r="O51" i="7" s="1"/>
  <c r="I13" i="3" s="1"/>
  <c r="D52" i="7"/>
  <c r="G52" i="7"/>
  <c r="J52" i="7"/>
  <c r="E52" i="7"/>
  <c r="H52" i="7"/>
  <c r="K52" i="7"/>
  <c r="F52" i="7"/>
  <c r="I52" i="7"/>
  <c r="L52" i="7"/>
  <c r="M52" i="7"/>
  <c r="N52" i="7"/>
  <c r="O52" i="7"/>
  <c r="I14" i="3"/>
  <c r="D53" i="7"/>
  <c r="G53" i="7"/>
  <c r="J53" i="7"/>
  <c r="E53" i="7"/>
  <c r="H53" i="7"/>
  <c r="K53" i="7"/>
  <c r="F53" i="7"/>
  <c r="I53" i="7"/>
  <c r="L53" i="7"/>
  <c r="M53" i="7"/>
  <c r="N53" i="7"/>
  <c r="O53" i="7"/>
  <c r="I15" i="3"/>
  <c r="D48" i="7"/>
  <c r="G48" i="7"/>
  <c r="J48" i="7"/>
  <c r="E48" i="7"/>
  <c r="H48" i="7"/>
  <c r="K48" i="7"/>
  <c r="F48" i="7"/>
  <c r="I48" i="7"/>
  <c r="L48" i="7"/>
  <c r="M48" i="7"/>
  <c r="N48" i="7"/>
  <c r="B48" i="7"/>
  <c r="C48" i="7"/>
  <c r="O48" i="7" s="1"/>
  <c r="D38" i="7"/>
  <c r="G38" i="7" s="1"/>
  <c r="J38" i="7" s="1"/>
  <c r="M38" i="7" s="1"/>
  <c r="N38" i="7" s="1"/>
  <c r="E38" i="7"/>
  <c r="H38" i="7"/>
  <c r="K38" i="7"/>
  <c r="F38" i="7"/>
  <c r="I38" i="7"/>
  <c r="L38" i="7"/>
  <c r="B38" i="7"/>
  <c r="C38" i="7" s="1"/>
  <c r="H74" i="5"/>
  <c r="D39" i="7"/>
  <c r="G39" i="7"/>
  <c r="J39" i="7"/>
  <c r="M39" i="7" s="1"/>
  <c r="N39" i="7" s="1"/>
  <c r="E39" i="7"/>
  <c r="H39" i="7"/>
  <c r="K39" i="7"/>
  <c r="F39" i="7"/>
  <c r="I39" i="7"/>
  <c r="L39" i="7"/>
  <c r="B39" i="7"/>
  <c r="C39" i="7" s="1"/>
  <c r="D40" i="7"/>
  <c r="G40" i="7" s="1"/>
  <c r="J40" i="7" s="1"/>
  <c r="M40" i="7" s="1"/>
  <c r="N40" i="7" s="1"/>
  <c r="E40" i="7"/>
  <c r="H40" i="7"/>
  <c r="K40" i="7"/>
  <c r="F40" i="7"/>
  <c r="I40" i="7"/>
  <c r="L40" i="7"/>
  <c r="B40" i="7"/>
  <c r="C40" i="7" s="1"/>
  <c r="D41" i="7"/>
  <c r="G41" i="7"/>
  <c r="J41" i="7"/>
  <c r="E41" i="7"/>
  <c r="H41" i="7"/>
  <c r="K41" i="7"/>
  <c r="F41" i="7"/>
  <c r="I41" i="7"/>
  <c r="L41" i="7"/>
  <c r="M41" i="7"/>
  <c r="N41" i="7"/>
  <c r="O41" i="7"/>
  <c r="H14" i="3"/>
  <c r="D42" i="7"/>
  <c r="G42" i="7"/>
  <c r="J42" i="7"/>
  <c r="E42" i="7"/>
  <c r="H42" i="7"/>
  <c r="K42" i="7"/>
  <c r="F42" i="7"/>
  <c r="I42" i="7"/>
  <c r="L42" i="7"/>
  <c r="M42" i="7"/>
  <c r="N42" i="7"/>
  <c r="O42" i="7"/>
  <c r="H15" i="3"/>
  <c r="D37" i="7"/>
  <c r="G37" i="7" s="1"/>
  <c r="J37" i="7" s="1"/>
  <c r="M37" i="7" s="1"/>
  <c r="N37" i="7" s="1"/>
  <c r="E37" i="7"/>
  <c r="H37" i="7"/>
  <c r="K37" i="7"/>
  <c r="F37" i="7"/>
  <c r="I37" i="7"/>
  <c r="L37" i="7"/>
  <c r="B37" i="7"/>
  <c r="C37" i="7"/>
  <c r="D16" i="7"/>
  <c r="G16" i="7"/>
  <c r="J16" i="7"/>
  <c r="E16" i="7"/>
  <c r="H16" i="7"/>
  <c r="K16" i="7"/>
  <c r="F16" i="7"/>
  <c r="I16" i="7"/>
  <c r="L16" i="7"/>
  <c r="M16" i="7"/>
  <c r="N16" i="7"/>
  <c r="B16" i="7"/>
  <c r="H72" i="5"/>
  <c r="C16" i="7"/>
  <c r="O16" i="7" s="1"/>
  <c r="F11" i="3" s="1"/>
  <c r="D27" i="7"/>
  <c r="G27" i="7"/>
  <c r="J27" i="7"/>
  <c r="E27" i="7"/>
  <c r="H27" i="7"/>
  <c r="K27" i="7"/>
  <c r="F27" i="7"/>
  <c r="I27" i="7"/>
  <c r="L27" i="7"/>
  <c r="M27" i="7"/>
  <c r="N27" i="7"/>
  <c r="B27" i="7"/>
  <c r="C27" i="7" s="1"/>
  <c r="O27" i="7" s="1"/>
  <c r="H73" i="5"/>
  <c r="D17" i="7"/>
  <c r="G17" i="7"/>
  <c r="J17" i="7"/>
  <c r="E17" i="7"/>
  <c r="H17" i="7" s="1"/>
  <c r="K17" i="7" s="1"/>
  <c r="F17" i="7"/>
  <c r="I17" i="7" s="1"/>
  <c r="L17" i="7" s="1"/>
  <c r="B17" i="7"/>
  <c r="C17" i="7" s="1"/>
  <c r="D28" i="7"/>
  <c r="G28" i="7"/>
  <c r="J28" i="7"/>
  <c r="E28" i="7"/>
  <c r="H28" i="7"/>
  <c r="K28" i="7"/>
  <c r="F28" i="7"/>
  <c r="I28" i="7"/>
  <c r="L28" i="7"/>
  <c r="M28" i="7"/>
  <c r="N28" i="7"/>
  <c r="B28" i="7"/>
  <c r="C28" i="7" s="1"/>
  <c r="O28" i="7" s="1"/>
  <c r="G12" i="3" s="1"/>
  <c r="D18" i="7"/>
  <c r="G18" i="7"/>
  <c r="J18" i="7" s="1"/>
  <c r="E18" i="7"/>
  <c r="H18" i="7"/>
  <c r="K18" i="7" s="1"/>
  <c r="F18" i="7"/>
  <c r="I18" i="7" s="1"/>
  <c r="L18" i="7" s="1"/>
  <c r="B18" i="7"/>
  <c r="C18" i="7" s="1"/>
  <c r="D29" i="7"/>
  <c r="G29" i="7"/>
  <c r="J29" i="7"/>
  <c r="E29" i="7"/>
  <c r="H29" i="7"/>
  <c r="K29" i="7"/>
  <c r="F29" i="7"/>
  <c r="I29" i="7"/>
  <c r="L29" i="7"/>
  <c r="M29" i="7"/>
  <c r="N29" i="7"/>
  <c r="B29" i="7"/>
  <c r="C29" i="7" s="1"/>
  <c r="O29" i="7" s="1"/>
  <c r="G13" i="3" s="1"/>
  <c r="D19" i="7"/>
  <c r="G19" i="7"/>
  <c r="J19" i="7"/>
  <c r="E19" i="7"/>
  <c r="H19" i="7"/>
  <c r="K19" i="7"/>
  <c r="F19" i="7"/>
  <c r="I19" i="7"/>
  <c r="L19" i="7"/>
  <c r="M19" i="7"/>
  <c r="N19" i="7"/>
  <c r="O19" i="7"/>
  <c r="F14" i="3"/>
  <c r="D30" i="7"/>
  <c r="G30" i="7"/>
  <c r="J30" i="7"/>
  <c r="E30" i="7"/>
  <c r="H30" i="7"/>
  <c r="K30" i="7"/>
  <c r="F30" i="7"/>
  <c r="I30" i="7"/>
  <c r="L30" i="7"/>
  <c r="M30" i="7"/>
  <c r="N30" i="7"/>
  <c r="O30" i="7"/>
  <c r="G14" i="3"/>
  <c r="D20" i="7"/>
  <c r="G20" i="7"/>
  <c r="J20" i="7"/>
  <c r="E20" i="7"/>
  <c r="H20" i="7"/>
  <c r="K20" i="7"/>
  <c r="F20" i="7"/>
  <c r="I20" i="7"/>
  <c r="L20" i="7"/>
  <c r="M20" i="7"/>
  <c r="N20" i="7"/>
  <c r="O20" i="7"/>
  <c r="F15" i="3"/>
  <c r="D31" i="7"/>
  <c r="G31" i="7"/>
  <c r="J31" i="7"/>
  <c r="E31" i="7"/>
  <c r="H31" i="7"/>
  <c r="K31" i="7"/>
  <c r="F31" i="7"/>
  <c r="I31" i="7"/>
  <c r="L31" i="7"/>
  <c r="M31" i="7"/>
  <c r="N31" i="7"/>
  <c r="O31" i="7"/>
  <c r="G15" i="3"/>
  <c r="D26" i="7"/>
  <c r="G26" i="7"/>
  <c r="J26" i="7"/>
  <c r="E26" i="7"/>
  <c r="H26" i="7"/>
  <c r="K26" i="7"/>
  <c r="F26" i="7"/>
  <c r="I26" i="7"/>
  <c r="L26" i="7"/>
  <c r="M26" i="7"/>
  <c r="N26" i="7"/>
  <c r="B26" i="7"/>
  <c r="C26" i="7"/>
  <c r="O26" i="7"/>
  <c r="G10" i="3"/>
  <c r="B15" i="7"/>
  <c r="C15" i="7" s="1"/>
  <c r="D5" i="7"/>
  <c r="G5" i="7" s="1"/>
  <c r="J5" i="7" s="1"/>
  <c r="E5" i="7"/>
  <c r="H5" i="7" s="1"/>
  <c r="K5" i="7" s="1"/>
  <c r="F5" i="7"/>
  <c r="I5" i="7"/>
  <c r="L5" i="7" s="1"/>
  <c r="B5" i="7"/>
  <c r="H71" i="5"/>
  <c r="D6" i="7"/>
  <c r="G6" i="7" s="1"/>
  <c r="J6" i="7" s="1"/>
  <c r="E6" i="7"/>
  <c r="H6" i="7" s="1"/>
  <c r="K6" i="7" s="1"/>
  <c r="F6" i="7"/>
  <c r="I6" i="7" s="1"/>
  <c r="L6" i="7" s="1"/>
  <c r="B6" i="7"/>
  <c r="D7" i="7"/>
  <c r="G7" i="7"/>
  <c r="J7" i="7"/>
  <c r="E7" i="7"/>
  <c r="H7" i="7"/>
  <c r="K7" i="7"/>
  <c r="F7" i="7"/>
  <c r="I7" i="7"/>
  <c r="L7" i="7"/>
  <c r="M7" i="7"/>
  <c r="N7" i="7"/>
  <c r="B7" i="7"/>
  <c r="D8" i="7"/>
  <c r="G8" i="7"/>
  <c r="J8" i="7"/>
  <c r="E8" i="7"/>
  <c r="H8" i="7"/>
  <c r="K8" i="7"/>
  <c r="F8" i="7"/>
  <c r="I8" i="7"/>
  <c r="L8" i="7"/>
  <c r="M8" i="7"/>
  <c r="N8" i="7"/>
  <c r="O8" i="7"/>
  <c r="E14" i="3" s="1"/>
  <c r="D9" i="7"/>
  <c r="G9" i="7"/>
  <c r="J9" i="7"/>
  <c r="E9" i="7"/>
  <c r="H9" i="7"/>
  <c r="K9" i="7"/>
  <c r="F9" i="7"/>
  <c r="I9" i="7"/>
  <c r="L9" i="7"/>
  <c r="M9" i="7"/>
  <c r="N9" i="7"/>
  <c r="O9" i="7"/>
  <c r="E15" i="3" s="1"/>
  <c r="D4" i="7"/>
  <c r="G4" i="7" s="1"/>
  <c r="J4" i="7" s="1"/>
  <c r="E4" i="7"/>
  <c r="H4" i="7" s="1"/>
  <c r="K4" i="7" s="1"/>
  <c r="F4" i="7"/>
  <c r="I4" i="7" s="1"/>
  <c r="L4" i="7" s="1"/>
  <c r="B4" i="7"/>
  <c r="O76" i="7"/>
  <c r="I50" i="3"/>
  <c r="B71" i="7"/>
  <c r="H77" i="5"/>
  <c r="C71" i="7"/>
  <c r="B72" i="7"/>
  <c r="C72" i="7"/>
  <c r="B73" i="7"/>
  <c r="C73" i="7"/>
  <c r="B74" i="7"/>
  <c r="C74" i="7"/>
  <c r="B75" i="7"/>
  <c r="C75" i="7"/>
  <c r="B70" i="7"/>
  <c r="C70" i="7"/>
  <c r="B60" i="7"/>
  <c r="C60" i="7" s="1"/>
  <c r="H76" i="5"/>
  <c r="B61" i="7"/>
  <c r="C61" i="7" s="1"/>
  <c r="B62" i="7"/>
  <c r="C62" i="7" s="1"/>
  <c r="B63" i="7"/>
  <c r="C63" i="7"/>
  <c r="B64" i="7"/>
  <c r="C64" i="7"/>
  <c r="B59" i="7"/>
  <c r="C59" i="7" s="1"/>
  <c r="B41" i="7"/>
  <c r="C41" i="7"/>
  <c r="B52" i="7"/>
  <c r="C52" i="7"/>
  <c r="B42" i="7"/>
  <c r="C42" i="7"/>
  <c r="B53" i="7"/>
  <c r="C53" i="7"/>
  <c r="B19" i="7"/>
  <c r="C19" i="7"/>
  <c r="B30" i="7"/>
  <c r="C30" i="7"/>
  <c r="B20" i="7"/>
  <c r="C20" i="7"/>
  <c r="B31" i="7"/>
  <c r="C31" i="7"/>
  <c r="B8" i="7"/>
  <c r="B9" i="7"/>
  <c r="E123" i="5"/>
  <c r="E124" i="5"/>
  <c r="E125" i="5"/>
  <c r="E126" i="5"/>
  <c r="E127" i="5"/>
  <c r="E122" i="5"/>
  <c r="E117" i="5"/>
  <c r="E118" i="5"/>
  <c r="E119" i="5"/>
  <c r="E120" i="5"/>
  <c r="E121" i="5"/>
  <c r="E116" i="5"/>
  <c r="E111" i="5"/>
  <c r="E112" i="5"/>
  <c r="E113" i="5"/>
  <c r="E114" i="5"/>
  <c r="E115" i="5"/>
  <c r="E110" i="5"/>
  <c r="E105" i="5"/>
  <c r="E106" i="5"/>
  <c r="E107" i="5"/>
  <c r="E108" i="5"/>
  <c r="E109" i="5"/>
  <c r="E104" i="5"/>
  <c r="E99" i="5"/>
  <c r="E100" i="5"/>
  <c r="E101" i="5"/>
  <c r="E102" i="5"/>
  <c r="E103" i="5"/>
  <c r="E98" i="5"/>
  <c r="E93" i="5"/>
  <c r="E94" i="5"/>
  <c r="E95" i="5"/>
  <c r="E96" i="5"/>
  <c r="E97" i="5"/>
  <c r="E92" i="5"/>
  <c r="E87" i="5"/>
  <c r="E88" i="5"/>
  <c r="E89" i="5"/>
  <c r="E90" i="5"/>
  <c r="E91" i="5"/>
  <c r="E86" i="5"/>
  <c r="I48" i="3"/>
  <c r="I49" i="3"/>
  <c r="I51" i="3"/>
  <c r="I52" i="3"/>
  <c r="I53" i="3"/>
  <c r="E55" i="5"/>
  <c r="I54" i="3"/>
  <c r="H56" i="3"/>
  <c r="F56" i="3"/>
  <c r="K16" i="3"/>
  <c r="A5" i="7"/>
  <c r="D11" i="3"/>
  <c r="F48" i="3"/>
  <c r="A6" i="7"/>
  <c r="D12" i="3"/>
  <c r="F49" i="3"/>
  <c r="A7" i="7"/>
  <c r="D13" i="3"/>
  <c r="F50" i="3"/>
  <c r="A8" i="7"/>
  <c r="D14" i="3"/>
  <c r="F51" i="3"/>
  <c r="A9" i="7"/>
  <c r="D15" i="3"/>
  <c r="F52" i="3"/>
  <c r="A4" i="7"/>
  <c r="D10" i="3"/>
  <c r="F47" i="3"/>
  <c r="A67" i="7"/>
  <c r="K9" i="3"/>
  <c r="A56" i="7"/>
  <c r="J9" i="3"/>
  <c r="A45" i="7"/>
  <c r="I9" i="3"/>
  <c r="A34" i="7"/>
  <c r="H9" i="3"/>
  <c r="A23" i="7"/>
  <c r="G9" i="3"/>
  <c r="A12" i="7"/>
  <c r="F9" i="3"/>
  <c r="A71" i="7"/>
  <c r="A72" i="7"/>
  <c r="A73" i="7"/>
  <c r="A74" i="7"/>
  <c r="A75" i="7"/>
  <c r="A70" i="7"/>
  <c r="W67" i="7"/>
  <c r="V67" i="7"/>
  <c r="A60" i="7"/>
  <c r="A61" i="7"/>
  <c r="A62" i="7"/>
  <c r="A63" i="7"/>
  <c r="A64" i="7"/>
  <c r="A59" i="7"/>
  <c r="W56" i="7"/>
  <c r="V56" i="7"/>
  <c r="W45" i="7"/>
  <c r="W34" i="7"/>
  <c r="W23" i="7"/>
  <c r="V45" i="7"/>
  <c r="V34" i="7"/>
  <c r="V23" i="7"/>
  <c r="W12" i="7"/>
  <c r="V12" i="7"/>
  <c r="B1" i="7"/>
  <c r="V1" i="7"/>
  <c r="D86" i="5"/>
  <c r="A49" i="7"/>
  <c r="A50" i="7"/>
  <c r="A51" i="7"/>
  <c r="A52" i="7"/>
  <c r="A53" i="7"/>
  <c r="A48" i="7"/>
  <c r="A38" i="7"/>
  <c r="A39" i="7"/>
  <c r="A40" i="7"/>
  <c r="A41" i="7"/>
  <c r="A42" i="7"/>
  <c r="A37" i="7"/>
  <c r="A27" i="7"/>
  <c r="A28" i="7"/>
  <c r="A29" i="7"/>
  <c r="A30" i="7"/>
  <c r="A31" i="7"/>
  <c r="A26" i="7"/>
  <c r="A16" i="7"/>
  <c r="A17" i="7"/>
  <c r="A18" i="7"/>
  <c r="A19" i="7"/>
  <c r="A20" i="7"/>
  <c r="A15" i="7"/>
  <c r="E60" i="5"/>
  <c r="E50" i="5"/>
  <c r="E45" i="5"/>
  <c r="E40" i="5"/>
  <c r="E35" i="5"/>
  <c r="D116" i="5"/>
  <c r="F72" i="5"/>
  <c r="F73" i="5"/>
  <c r="F74" i="5"/>
  <c r="F75" i="5"/>
  <c r="F76" i="5"/>
  <c r="F77" i="5"/>
  <c r="F71" i="5"/>
  <c r="D123" i="5"/>
  <c r="D124" i="5"/>
  <c r="D125" i="5"/>
  <c r="D126" i="5"/>
  <c r="D127" i="5"/>
  <c r="D122" i="5"/>
  <c r="D117" i="5"/>
  <c r="D118" i="5"/>
  <c r="D119" i="5"/>
  <c r="D120" i="5"/>
  <c r="D121" i="5"/>
  <c r="D111" i="5"/>
  <c r="D112" i="5"/>
  <c r="D113" i="5"/>
  <c r="D114" i="5"/>
  <c r="D115" i="5"/>
  <c r="D105" i="5"/>
  <c r="D106" i="5"/>
  <c r="D107" i="5"/>
  <c r="D108" i="5"/>
  <c r="D109" i="5"/>
  <c r="D104" i="5"/>
  <c r="D99" i="5"/>
  <c r="D100" i="5"/>
  <c r="D101" i="5"/>
  <c r="D102" i="5"/>
  <c r="D103" i="5"/>
  <c r="D98" i="5"/>
  <c r="D93" i="5"/>
  <c r="D94" i="5"/>
  <c r="D95" i="5"/>
  <c r="D96" i="5"/>
  <c r="D97" i="5"/>
  <c r="D92" i="5"/>
  <c r="D87" i="5"/>
  <c r="D88" i="5"/>
  <c r="D89" i="5"/>
  <c r="D90" i="5"/>
  <c r="D91" i="5"/>
  <c r="D110" i="5"/>
  <c r="G22" i="5"/>
  <c r="H22" i="5"/>
  <c r="I22" i="5"/>
  <c r="C7" i="14" l="1"/>
  <c r="D3" i="14"/>
  <c r="M15" i="7"/>
  <c r="N15" i="7" s="1"/>
  <c r="O15" i="7"/>
  <c r="M6" i="7"/>
  <c r="N6" i="7" s="1"/>
  <c r="M18" i="7"/>
  <c r="N18" i="7" s="1"/>
  <c r="O18" i="7" s="1"/>
  <c r="M17" i="7"/>
  <c r="N17" i="7" s="1"/>
  <c r="O17" i="7"/>
  <c r="F12" i="3" s="1"/>
  <c r="O60" i="7"/>
  <c r="J11" i="3" s="1"/>
  <c r="M39" i="9"/>
  <c r="M53" i="9"/>
  <c r="M50" i="9"/>
  <c r="AF38" i="9"/>
  <c r="M5" i="9"/>
  <c r="M19" i="9"/>
  <c r="M38" i="9"/>
  <c r="AF17" i="9"/>
  <c r="M15" i="9"/>
  <c r="M41" i="9"/>
  <c r="N41" i="9" s="1"/>
  <c r="O41" i="9" s="1"/>
  <c r="M7" i="9"/>
  <c r="N7" i="9" s="1"/>
  <c r="O7" i="9" s="1"/>
  <c r="AF60" i="9"/>
  <c r="AF74" i="9"/>
  <c r="M48" i="9"/>
  <c r="M64" i="9"/>
  <c r="AF59" i="9"/>
  <c r="AF64" i="9" s="1"/>
  <c r="AF66" i="9" s="1"/>
  <c r="AF73" i="9"/>
  <c r="AF6" i="9"/>
  <c r="AF72" i="9"/>
  <c r="M31" i="9"/>
  <c r="N31" i="9" s="1"/>
  <c r="O31" i="9" s="1"/>
  <c r="M26" i="9"/>
  <c r="N26" i="9" s="1"/>
  <c r="O26" i="9" s="1"/>
  <c r="O32" i="9" s="1"/>
  <c r="AF62" i="9"/>
  <c r="M42" i="9"/>
  <c r="N42" i="9" s="1"/>
  <c r="O42" i="9" s="1"/>
  <c r="M30" i="9"/>
  <c r="N30" i="9" s="1"/>
  <c r="O30" i="9" s="1"/>
  <c r="M27" i="9"/>
  <c r="M16" i="9"/>
  <c r="AF41" i="9"/>
  <c r="M62" i="9"/>
  <c r="N62" i="9" s="1"/>
  <c r="O62" i="9" s="1"/>
  <c r="M63" i="9"/>
  <c r="M40" i="9"/>
  <c r="N40" i="9" s="1"/>
  <c r="O40" i="9" s="1"/>
  <c r="AF15" i="9"/>
  <c r="AF20" i="9" s="1"/>
  <c r="AF22" i="9" s="1"/>
  <c r="M6" i="9"/>
  <c r="N6" i="9" s="1"/>
  <c r="O6" i="9" s="1"/>
  <c r="N74" i="9"/>
  <c r="O74" i="9" s="1"/>
  <c r="M51" i="9"/>
  <c r="N51" i="9" s="1"/>
  <c r="O51" i="9" s="1"/>
  <c r="M49" i="9"/>
  <c r="N49" i="9" s="1"/>
  <c r="O49" i="9" s="1"/>
  <c r="AF18" i="9"/>
  <c r="AF30" i="9"/>
  <c r="M73" i="9"/>
  <c r="N73" i="9" s="1"/>
  <c r="O73" i="9" s="1"/>
  <c r="M37" i="9"/>
  <c r="N37" i="9" s="1"/>
  <c r="O37" i="9" s="1"/>
  <c r="O43" i="9" s="1"/>
  <c r="M72" i="9"/>
  <c r="M60" i="9"/>
  <c r="N60" i="9" s="1"/>
  <c r="O60" i="9" s="1"/>
  <c r="AF29" i="9"/>
  <c r="AF48" i="9"/>
  <c r="AF53" i="9" s="1"/>
  <c r="AF55" i="9" s="1"/>
  <c r="N53" i="9" s="1"/>
  <c r="O53" i="9" s="1"/>
  <c r="N39" i="9"/>
  <c r="O39" i="9" s="1"/>
  <c r="N38" i="9"/>
  <c r="O38" i="9" s="1"/>
  <c r="N50" i="9"/>
  <c r="O50" i="9" s="1"/>
  <c r="AF27" i="9"/>
  <c r="AF51" i="9"/>
  <c r="M8" i="9"/>
  <c r="N8" i="9" s="1"/>
  <c r="O8" i="9" s="1"/>
  <c r="M59" i="9"/>
  <c r="M71" i="9"/>
  <c r="N71" i="9" s="1"/>
  <c r="O71" i="9" s="1"/>
  <c r="N61" i="9"/>
  <c r="O61" i="9" s="1"/>
  <c r="M17" i="9"/>
  <c r="N27" i="9"/>
  <c r="O27" i="9" s="1"/>
  <c r="N16" i="9"/>
  <c r="O16" i="9" s="1"/>
  <c r="N5" i="9"/>
  <c r="O5" i="9" s="1"/>
  <c r="M4" i="9"/>
  <c r="N4" i="9" s="1"/>
  <c r="O4" i="9" s="1"/>
  <c r="O10" i="9" s="1"/>
  <c r="M20" i="9"/>
  <c r="N20" i="9" s="1"/>
  <c r="O20" i="9" s="1"/>
  <c r="M18" i="9"/>
  <c r="AF40" i="9"/>
  <c r="AF52" i="9"/>
  <c r="M75" i="9"/>
  <c r="N75" i="9" s="1"/>
  <c r="O75" i="9" s="1"/>
  <c r="N72" i="9"/>
  <c r="O72" i="9" s="1"/>
  <c r="N19" i="9"/>
  <c r="O19" i="9" s="1"/>
  <c r="M52" i="9"/>
  <c r="N52" i="9" s="1"/>
  <c r="O52" i="9" s="1"/>
  <c r="AF71" i="9"/>
  <c r="AF39" i="9"/>
  <c r="AF28" i="9"/>
  <c r="M28" i="9"/>
  <c r="N28" i="9" s="1"/>
  <c r="O28" i="9" s="1"/>
  <c r="AF63" i="9"/>
  <c r="M9" i="9"/>
  <c r="N9" i="9" s="1"/>
  <c r="O9" i="9" s="1"/>
  <c r="AF16" i="9"/>
  <c r="M70" i="9"/>
  <c r="N70" i="9" s="1"/>
  <c r="O70" i="9" s="1"/>
  <c r="O76" i="9" s="1"/>
  <c r="M29" i="9"/>
  <c r="N29" i="9" s="1"/>
  <c r="O29" i="9" s="1"/>
  <c r="AF8" i="9"/>
  <c r="AF5" i="9"/>
  <c r="O40" i="7"/>
  <c r="H13" i="3" s="1"/>
  <c r="O39" i="7"/>
  <c r="H12" i="3" s="1"/>
  <c r="O38" i="7"/>
  <c r="H11" i="3" s="1"/>
  <c r="O37" i="7"/>
  <c r="O61" i="7"/>
  <c r="J12" i="3" s="1"/>
  <c r="O59" i="7"/>
  <c r="J10" i="3" s="1"/>
  <c r="O62" i="7"/>
  <c r="J13" i="3" s="1"/>
  <c r="T29" i="12"/>
  <c r="T28" i="12"/>
  <c r="T19" i="12"/>
  <c r="I10" i="3"/>
  <c r="I16" i="3" s="1"/>
  <c r="O54" i="7"/>
  <c r="T18" i="12"/>
  <c r="O43" i="7"/>
  <c r="H10" i="3"/>
  <c r="H16" i="3" s="1"/>
  <c r="T8" i="12"/>
  <c r="O32" i="7"/>
  <c r="C29" i="12"/>
  <c r="C28" i="12"/>
  <c r="G11" i="3"/>
  <c r="G16" i="3" s="1"/>
  <c r="AD4" i="12"/>
  <c r="AE4" i="12" s="1"/>
  <c r="M15" i="12"/>
  <c r="N15" i="12" s="1"/>
  <c r="AD26" i="12"/>
  <c r="AE26" i="12" s="1"/>
  <c r="I26" i="13" s="1"/>
  <c r="M6" i="12"/>
  <c r="N6" i="12" s="1"/>
  <c r="AD5" i="12"/>
  <c r="AE5" i="12" s="1"/>
  <c r="I5" i="13" s="1"/>
  <c r="M26" i="12"/>
  <c r="N26" i="12" s="1"/>
  <c r="B26" i="13" s="1"/>
  <c r="AD25" i="12"/>
  <c r="AE25" i="12" s="1"/>
  <c r="I25" i="13" s="1"/>
  <c r="M17" i="12"/>
  <c r="N17" i="12" s="1"/>
  <c r="M16" i="12"/>
  <c r="N16" i="12" s="1"/>
  <c r="AD14" i="12"/>
  <c r="AE14" i="12" s="1"/>
  <c r="I14" i="13" s="1"/>
  <c r="AD16" i="12"/>
  <c r="AE16" i="12" s="1"/>
  <c r="AD24" i="12"/>
  <c r="AE24" i="12" s="1"/>
  <c r="I24" i="13" s="1"/>
  <c r="AD6" i="12"/>
  <c r="AE6" i="12" s="1"/>
  <c r="I6" i="13" s="1"/>
  <c r="M27" i="12"/>
  <c r="N27" i="12" s="1"/>
  <c r="M25" i="12"/>
  <c r="N25" i="12" s="1"/>
  <c r="B25" i="13" s="1"/>
  <c r="B27" i="13"/>
  <c r="M14" i="12"/>
  <c r="N14" i="12" s="1"/>
  <c r="M7" i="12"/>
  <c r="N7" i="12" s="1"/>
  <c r="AD17" i="12"/>
  <c r="AE17" i="12" s="1"/>
  <c r="I17" i="13" s="1"/>
  <c r="AD15" i="12"/>
  <c r="AE15" i="12" s="1"/>
  <c r="I15" i="13" s="1"/>
  <c r="AD27" i="12"/>
  <c r="AE27" i="12" s="1"/>
  <c r="M24" i="12"/>
  <c r="N24" i="12" s="1"/>
  <c r="B24" i="13" s="1"/>
  <c r="AD7" i="12"/>
  <c r="AE7" i="12" s="1"/>
  <c r="I7" i="13" s="1"/>
  <c r="B15" i="13"/>
  <c r="F10" i="3"/>
  <c r="C4" i="7"/>
  <c r="C7" i="7"/>
  <c r="O7" i="7" s="1"/>
  <c r="E13" i="3" s="1"/>
  <c r="C6" i="7"/>
  <c r="O6" i="7" s="1"/>
  <c r="E12" i="3" s="1"/>
  <c r="C7" i="12"/>
  <c r="C6" i="12"/>
  <c r="C5" i="7"/>
  <c r="C4" i="12"/>
  <c r="C5" i="12"/>
  <c r="C9" i="7"/>
  <c r="C8" i="7"/>
  <c r="M5" i="12"/>
  <c r="N5" i="12" s="1"/>
  <c r="M5" i="7"/>
  <c r="N5" i="7" s="1"/>
  <c r="O5" i="7" s="1"/>
  <c r="M4" i="7"/>
  <c r="N4" i="7" s="1"/>
  <c r="M4" i="12"/>
  <c r="N4" i="12" s="1"/>
  <c r="O4" i="7"/>
  <c r="B14" i="13" l="1"/>
  <c r="I7" i="14" s="1"/>
  <c r="E7" i="14"/>
  <c r="E5" i="14"/>
  <c r="P7" i="12"/>
  <c r="N9" i="12"/>
  <c r="N8" i="12"/>
  <c r="F13" i="3"/>
  <c r="O21" i="7"/>
  <c r="F16" i="3"/>
  <c r="B17" i="13"/>
  <c r="I10" i="14" s="1"/>
  <c r="E10" i="14"/>
  <c r="H3" i="14" s="1"/>
  <c r="B16" i="13"/>
  <c r="N19" i="12"/>
  <c r="N18" i="12"/>
  <c r="P17" i="12"/>
  <c r="O65" i="7"/>
  <c r="J16" i="3"/>
  <c r="I16" i="13"/>
  <c r="AE19" i="12"/>
  <c r="AE18" i="12"/>
  <c r="AG17" i="12"/>
  <c r="N15" i="9"/>
  <c r="O15" i="9" s="1"/>
  <c r="O21" i="9" s="1"/>
  <c r="N17" i="9"/>
  <c r="O17" i="9" s="1"/>
  <c r="N63" i="9"/>
  <c r="O63" i="9" s="1"/>
  <c r="N59" i="9"/>
  <c r="O59" i="9" s="1"/>
  <c r="O65" i="9" s="1"/>
  <c r="N64" i="9"/>
  <c r="O64" i="9" s="1"/>
  <c r="N48" i="9"/>
  <c r="O48" i="9" s="1"/>
  <c r="O54" i="9" s="1"/>
  <c r="N18" i="9"/>
  <c r="O18" i="9" s="1"/>
  <c r="AG7" i="12"/>
  <c r="I4" i="13"/>
  <c r="I8" i="13" s="1"/>
  <c r="AE9" i="12"/>
  <c r="AE8" i="12"/>
  <c r="I27" i="13"/>
  <c r="K27" i="13" s="1"/>
  <c r="AG27" i="12"/>
  <c r="AE28" i="12"/>
  <c r="AE29" i="12"/>
  <c r="I28" i="13"/>
  <c r="B6" i="13"/>
  <c r="B28" i="13"/>
  <c r="C9" i="12"/>
  <c r="C8" i="12"/>
  <c r="B7" i="13"/>
  <c r="I18" i="13"/>
  <c r="B5" i="13"/>
  <c r="B4" i="13"/>
  <c r="O10" i="7"/>
  <c r="E16" i="3"/>
  <c r="B18" i="13" l="1"/>
  <c r="B8" i="13"/>
  <c r="I5" i="14"/>
  <c r="L3" i="14" s="1"/>
  <c r="B9" i="13"/>
  <c r="D7" i="13"/>
  <c r="D17" i="13"/>
  <c r="B19" i="13"/>
  <c r="I29" i="13"/>
  <c r="K17" i="13"/>
  <c r="I19" i="13"/>
</calcChain>
</file>

<file path=xl/sharedStrings.xml><?xml version="1.0" encoding="utf-8"?>
<sst xmlns="http://schemas.openxmlformats.org/spreadsheetml/2006/main" count="848" uniqueCount="95">
  <si>
    <t>R</t>
  </si>
  <si>
    <t>G</t>
  </si>
  <si>
    <t>B</t>
  </si>
  <si>
    <t>R scaled</t>
  </si>
  <si>
    <t>G scaled</t>
  </si>
  <si>
    <t>B scaled</t>
  </si>
  <si>
    <t>R (adjusted)</t>
  </si>
  <si>
    <t>G (adjusted)</t>
  </si>
  <si>
    <t xml:space="preserve"> B (adjusted</t>
  </si>
  <si>
    <t>Luminance(cd/m2)</t>
  </si>
  <si>
    <t>Pantone (Image)</t>
  </si>
  <si>
    <t>B (adjusted)</t>
  </si>
  <si>
    <t>1895 C</t>
  </si>
  <si>
    <t>1905 C</t>
  </si>
  <si>
    <t>1915 C</t>
  </si>
  <si>
    <t>1925 C</t>
  </si>
  <si>
    <t>1935 C</t>
  </si>
  <si>
    <t>Mean</t>
  </si>
  <si>
    <t>PBS</t>
  </si>
  <si>
    <t>μg/μL</t>
  </si>
  <si>
    <t>PBS (μL)</t>
  </si>
  <si>
    <r>
      <t>Area (mm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</t>
    </r>
  </si>
  <si>
    <t>Pantone real</t>
  </si>
  <si>
    <t xml:space="preserve">CONTROL </t>
  </si>
  <si>
    <t>µg</t>
  </si>
  <si>
    <r>
      <t>Inkscape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</si>
  <si>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Luminance(cd/m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</si>
  <si>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True Luminance (cd/m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</si>
  <si>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True Luminance (cd/mm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</si>
  <si>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m</t>
  </si>
  <si>
    <t>b</t>
  </si>
  <si>
    <t>Venom:</t>
  </si>
  <si>
    <t>Volume per mouse (µl):</t>
  </si>
  <si>
    <t>Number of mice:</t>
  </si>
  <si>
    <t xml:space="preserve">Dilution factor: </t>
  </si>
  <si>
    <t>Venom stock (µg/µl):</t>
  </si>
  <si>
    <t>Overall volume (µl):</t>
  </si>
  <si>
    <t>Lowest injection dose (µg)</t>
  </si>
  <si>
    <t>Number of dilutions:</t>
  </si>
  <si>
    <t>Haemorrhagic activity data</t>
  </si>
  <si>
    <t>Dilution</t>
  </si>
  <si>
    <t>Venom μg</t>
  </si>
  <si>
    <t>Venom (μL)</t>
  </si>
  <si>
    <t>INKSCAPE Pantone values</t>
  </si>
  <si>
    <t>Length of 1 cm in image (mm)</t>
  </si>
  <si>
    <t>Conversion factor</t>
  </si>
  <si>
    <t>INKSCAPE scale value</t>
  </si>
  <si>
    <t>INKSCAPE values for the area and colour intesity of the haemorrhagic lesions</t>
  </si>
  <si>
    <t>Mouse</t>
  </si>
  <si>
    <t>Haemorrhagic units  (mm4/cd)</t>
  </si>
  <si>
    <r>
      <t>Venom (</t>
    </r>
    <r>
      <rPr>
        <b/>
        <sz val="11"/>
        <color rgb="FF000000"/>
        <rFont val="Calibri"/>
        <family val="2"/>
      </rPr>
      <t>µg)</t>
    </r>
  </si>
  <si>
    <t>Curve</t>
  </si>
  <si>
    <t xml:space="preserve">Average </t>
  </si>
  <si>
    <t xml:space="preserve">Mean </t>
  </si>
  <si>
    <t>Standard deviation</t>
  </si>
  <si>
    <t>Calculating the minimum haemorrhagic dose</t>
  </si>
  <si>
    <t>Venom (ug)</t>
  </si>
  <si>
    <t>Desired haemorrhagic unit (y)</t>
  </si>
  <si>
    <r>
      <t>Results table with values ​​obtained from hemorrhagic units (mm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/cd)</t>
    </r>
  </si>
  <si>
    <t xml:space="preserve">Luminance mean value </t>
  </si>
  <si>
    <t>Luminance conversion factor</t>
  </si>
  <si>
    <t xml:space="preserve">Mice </t>
  </si>
  <si>
    <r>
      <t>Real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</si>
  <si>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Haemorrhagic unit (HaU)</t>
  </si>
  <si>
    <t>µl</t>
  </si>
  <si>
    <t>Average</t>
  </si>
  <si>
    <t>Pantone</t>
  </si>
  <si>
    <t>R Scaled</t>
  </si>
  <si>
    <t>G Scaled</t>
  </si>
  <si>
    <t>B Scaled</t>
  </si>
  <si>
    <t>R (Adj)</t>
  </si>
  <si>
    <t>G (Adj)</t>
  </si>
  <si>
    <t>B (Adj)</t>
  </si>
  <si>
    <t>Luminance</t>
  </si>
  <si>
    <t>Luminance Mean Value</t>
  </si>
  <si>
    <t xml:space="preserve"> Old 0.5 um</t>
  </si>
  <si>
    <t xml:space="preserve"> Old 1.0 um</t>
  </si>
  <si>
    <t xml:space="preserve"> Old 2.0 um</t>
  </si>
  <si>
    <t xml:space="preserve"> Old 4.0 um</t>
  </si>
  <si>
    <t xml:space="preserve"> Old 8.0 um</t>
  </si>
  <si>
    <t xml:space="preserve"> Old 16.0 um</t>
  </si>
  <si>
    <t>Luminance Conversion Factor</t>
  </si>
  <si>
    <t>True Luminance</t>
  </si>
  <si>
    <r>
      <t>Inkscape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</si>
  <si>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Real Area (mm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)</t>
    </r>
  </si>
  <si>
    <t>Haemorrhagic Units (HaU)</t>
  </si>
  <si>
    <t>Stdev</t>
  </si>
  <si>
    <t>New Method</t>
  </si>
  <si>
    <t>T.Test</t>
  </si>
  <si>
    <t>Area (mm2)</t>
  </si>
  <si>
    <t>t.test</t>
  </si>
  <si>
    <t>Old</t>
  </si>
  <si>
    <t>New</t>
  </si>
  <si>
    <t>Luminance (cd/m2)</t>
  </si>
  <si>
    <t>Haemorrhagic units (HaU)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</si>
</sst>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#,##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25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2" fillId="3" borderId="0" xfId="1" applyFill="1" applyAlignment="1">
      <alignment horizontal="center"/>
    </xf>
    <xf numFmtId="0" fontId="14" fillId="6" borderId="0" xfId="1" applyFont="1" applyFill="1" applyAlignment="1">
      <alignment horizontal="right"/>
    </xf>
    <xf numFmtId="0" fontId="14" fillId="6" borderId="0" xfId="1" applyFont="1" applyFill="1" applyAlignment="1">
      <alignment horizontal="center"/>
    </xf>
    <xf numFmtId="0" fontId="2" fillId="6" borderId="0" xfId="1" applyFill="1" applyAlignment="1">
      <alignment horizontal="center"/>
    </xf>
    <xf numFmtId="0" fontId="3" fillId="3" borderId="0" xfId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0" fontId="15" fillId="6" borderId="0" xfId="1" applyFont="1" applyFill="1" applyAlignment="1">
      <alignment horizontal="right"/>
    </xf>
    <xf numFmtId="0" fontId="15" fillId="6" borderId="0" xfId="1" applyFont="1" applyFill="1" applyAlignment="1">
      <alignment horizontal="left"/>
    </xf>
    <xf numFmtId="0" fontId="14" fillId="6" borderId="0" xfId="1" applyFont="1" applyFill="1" applyAlignment="1">
      <alignment horizontal="left"/>
    </xf>
    <xf numFmtId="164" fontId="2" fillId="3" borderId="0" xfId="1" applyNumberFormat="1" applyFill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1" fillId="3" borderId="0" xfId="1" applyFont="1" applyFill="1" applyAlignment="1">
      <alignment horizontal="center"/>
    </xf>
    <xf numFmtId="0" fontId="17" fillId="3" borderId="0" xfId="1" applyFont="1" applyFill="1" applyAlignment="1">
      <alignment horizontal="center"/>
    </xf>
    <xf numFmtId="0" fontId="17" fillId="5" borderId="1" xfId="1" applyFont="1" applyFill="1" applyBorder="1" applyAlignment="1">
      <alignment horizontal="center"/>
    </xf>
    <xf numFmtId="0" fontId="17" fillId="5" borderId="2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" fontId="1" fillId="3" borderId="1" xfId="1" applyNumberFormat="1" applyFont="1" applyFill="1" applyBorder="1" applyAlignment="1">
      <alignment horizontal="center"/>
    </xf>
    <xf numFmtId="0" fontId="1" fillId="3" borderId="0" xfId="1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10" fillId="5" borderId="3" xfId="1" applyFont="1" applyFill="1" applyBorder="1" applyAlignment="1">
      <alignment horizontal="center"/>
    </xf>
    <xf numFmtId="43" fontId="17" fillId="5" borderId="1" xfId="2" applyFont="1" applyFill="1" applyBorder="1" applyAlignment="1">
      <alignment horizontal="center"/>
    </xf>
    <xf numFmtId="166" fontId="14" fillId="6" borderId="1" xfId="2" applyNumberFormat="1" applyFont="1" applyFill="1" applyBorder="1" applyAlignment="1">
      <alignment horizontal="center"/>
    </xf>
    <xf numFmtId="0" fontId="13" fillId="3" borderId="0" xfId="1" applyFont="1" applyFill="1" applyAlignment="1">
      <alignment horizontal="center"/>
    </xf>
    <xf numFmtId="164" fontId="13" fillId="6" borderId="0" xfId="1" applyNumberFormat="1" applyFont="1" applyFill="1" applyAlignment="1">
      <alignment horizontal="center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0" fontId="0" fillId="3" borderId="0" xfId="0" applyFill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alignment horizontal="center" vertical="center"/>
      <protection locked="0"/>
    </xf>
    <xf numFmtId="0" fontId="11" fillId="6" borderId="28" xfId="0" applyFont="1" applyFill="1" applyBorder="1" applyAlignment="1" applyProtection="1">
      <alignment horizontal="center" vertical="center"/>
      <protection locked="0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6" borderId="21" xfId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11" fillId="3" borderId="0" xfId="0" applyFont="1" applyFill="1" applyProtection="1">
      <protection locked="0"/>
    </xf>
    <xf numFmtId="0" fontId="11" fillId="6" borderId="1" xfId="1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" fontId="0" fillId="2" borderId="1" xfId="0" applyNumberFormat="1" applyFill="1" applyBorder="1" applyAlignment="1" applyProtection="1">
      <alignment horizontal="center"/>
      <protection locked="0"/>
    </xf>
    <xf numFmtId="4" fontId="0" fillId="2" borderId="28" xfId="0" applyNumberFormat="1" applyFill="1" applyBorder="1" applyAlignment="1" applyProtection="1">
      <alignment horizontal="center"/>
      <protection locked="0"/>
    </xf>
    <xf numFmtId="4" fontId="13" fillId="6" borderId="7" xfId="0" applyNumberFormat="1" applyFont="1" applyFill="1" applyBorder="1" applyAlignment="1" applyProtection="1">
      <alignment horizontal="center"/>
      <protection locked="0"/>
    </xf>
    <xf numFmtId="2" fontId="13" fillId="6" borderId="12" xfId="0" applyNumberFormat="1" applyFont="1" applyFill="1" applyBorder="1" applyAlignment="1" applyProtection="1">
      <alignment horizontal="center"/>
      <protection locked="0"/>
    </xf>
    <xf numFmtId="164" fontId="4" fillId="3" borderId="1" xfId="1" applyNumberFormat="1" applyFont="1" applyFill="1" applyBorder="1" applyAlignment="1">
      <alignment horizontal="center" vertical="center"/>
    </xf>
    <xf numFmtId="4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1" fillId="3" borderId="27" xfId="0" applyFont="1" applyFill="1" applyBorder="1" applyAlignment="1" applyProtection="1">
      <alignment horizontal="center" vertical="center"/>
      <protection locked="0"/>
    </xf>
    <xf numFmtId="4" fontId="11" fillId="3" borderId="3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5" xfId="0" applyFont="1" applyFill="1" applyBorder="1" applyAlignment="1">
      <alignment horizontal="center"/>
    </xf>
    <xf numFmtId="0" fontId="9" fillId="3" borderId="6" xfId="0" applyFont="1" applyFill="1" applyBorder="1"/>
    <xf numFmtId="0" fontId="5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9" fillId="3" borderId="9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0" xfId="0" applyFont="1" applyFill="1" applyAlignment="1">
      <alignment horizontal="right"/>
    </xf>
    <xf numFmtId="0" fontId="4" fillId="3" borderId="0" xfId="1" applyFont="1" applyFill="1" applyAlignment="1">
      <alignment horizontal="center" vertical="center"/>
    </xf>
    <xf numFmtId="0" fontId="6" fillId="3" borderId="0" xfId="3" applyFont="1" applyFill="1"/>
    <xf numFmtId="0" fontId="5" fillId="3" borderId="0" xfId="3" applyFont="1" applyFill="1" applyAlignment="1">
      <alignment horizontal="right"/>
    </xf>
    <xf numFmtId="0" fontId="8" fillId="3" borderId="0" xfId="3" applyFont="1" applyFill="1" applyAlignment="1">
      <alignment horizontal="center"/>
    </xf>
    <xf numFmtId="0" fontId="5" fillId="3" borderId="0" xfId="3" applyFont="1" applyFill="1"/>
    <xf numFmtId="0" fontId="7" fillId="3" borderId="0" xfId="3" applyFont="1" applyFill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12" xfId="0" applyFont="1" applyFill="1" applyBorder="1"/>
    <xf numFmtId="0" fontId="5" fillId="3" borderId="7" xfId="0" applyFont="1" applyFill="1" applyBorder="1"/>
    <xf numFmtId="0" fontId="9" fillId="3" borderId="21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65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165" fontId="5" fillId="3" borderId="16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65" fontId="5" fillId="3" borderId="18" xfId="0" applyNumberFormat="1" applyFont="1" applyFill="1" applyBorder="1" applyAlignment="1">
      <alignment horizontal="center"/>
    </xf>
    <xf numFmtId="1" fontId="5" fillId="3" borderId="19" xfId="0" applyNumberFormat="1" applyFont="1" applyFill="1" applyBorder="1" applyAlignment="1">
      <alignment horizontal="center"/>
    </xf>
    <xf numFmtId="1" fontId="5" fillId="3" borderId="25" xfId="0" applyNumberFormat="1" applyFont="1" applyFill="1" applyBorder="1" applyAlignment="1">
      <alignment horizontal="center"/>
    </xf>
    <xf numFmtId="1" fontId="5" fillId="3" borderId="32" xfId="0" applyNumberFormat="1" applyFont="1" applyFill="1" applyBorder="1" applyAlignment="1">
      <alignment horizontal="center"/>
    </xf>
    <xf numFmtId="1" fontId="5" fillId="3" borderId="34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0" xfId="1" applyFont="1" applyFill="1" applyAlignment="1">
      <alignment horizontal="right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 applyProtection="1">
      <alignment horizontal="center"/>
      <protection locked="0"/>
    </xf>
    <xf numFmtId="0" fontId="5" fillId="2" borderId="31" xfId="0" applyFont="1" applyFill="1" applyBorder="1" applyAlignment="1" applyProtection="1">
      <alignment horizontal="center"/>
      <protection locked="0"/>
    </xf>
    <xf numFmtId="0" fontId="5" fillId="2" borderId="19" xfId="0" applyFont="1" applyFill="1" applyBorder="1" applyAlignment="1" applyProtection="1">
      <alignment horizontal="center"/>
      <protection locked="0"/>
    </xf>
    <xf numFmtId="0" fontId="5" fillId="2" borderId="20" xfId="0" applyFont="1" applyFill="1" applyBorder="1" applyAlignment="1" applyProtection="1">
      <alignment horizontal="center"/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5" fillId="2" borderId="14" xfId="0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8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64" fontId="1" fillId="3" borderId="28" xfId="1" applyNumberFormat="1" applyFont="1" applyFill="1" applyBorder="1" applyAlignment="1">
      <alignment horizontal="center"/>
    </xf>
    <xf numFmtId="164" fontId="17" fillId="5" borderId="38" xfId="1" applyNumberFormat="1" applyFont="1" applyFill="1" applyBorder="1" applyAlignment="1">
      <alignment horizontal="center"/>
    </xf>
    <xf numFmtId="4" fontId="0" fillId="3" borderId="22" xfId="0" applyNumberFormat="1" applyFill="1" applyBorder="1" applyAlignment="1">
      <alignment horizontal="center"/>
    </xf>
    <xf numFmtId="4" fontId="0" fillId="3" borderId="23" xfId="0" applyNumberFormat="1" applyFill="1" applyBorder="1" applyAlignment="1">
      <alignment horizontal="center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0" fillId="3" borderId="41" xfId="0" applyFill="1" applyBorder="1" applyAlignment="1" applyProtection="1">
      <alignment horizontal="center"/>
      <protection locked="0"/>
    </xf>
    <xf numFmtId="4" fontId="0" fillId="3" borderId="21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27" xfId="0" applyNumberFormat="1" applyFill="1" applyBorder="1" applyAlignment="1">
      <alignment horizontal="center"/>
    </xf>
    <xf numFmtId="4" fontId="0" fillId="3" borderId="30" xfId="0" applyNumberFormat="1" applyFill="1" applyBorder="1" applyAlignment="1">
      <alignment horizontal="center"/>
    </xf>
    <xf numFmtId="4" fontId="0" fillId="3" borderId="35" xfId="0" applyNumberFormat="1" applyFill="1" applyBorder="1" applyAlignment="1">
      <alignment horizontal="center"/>
    </xf>
    <xf numFmtId="0" fontId="4" fillId="2" borderId="0" xfId="1" applyFont="1" applyFill="1" applyAlignment="1">
      <alignment horizontal="center" vertical="center"/>
    </xf>
    <xf numFmtId="1" fontId="14" fillId="6" borderId="0" xfId="1" applyNumberFormat="1" applyFont="1" applyFill="1" applyAlignment="1">
      <alignment horizontal="right"/>
    </xf>
    <xf numFmtId="1" fontId="15" fillId="6" borderId="0" xfId="1" applyNumberFormat="1" applyFont="1" applyFill="1" applyAlignment="1">
      <alignment horizontal="right"/>
    </xf>
    <xf numFmtId="0" fontId="24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4" borderId="4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/>
    <xf numFmtId="0" fontId="25" fillId="0" borderId="0" xfId="0" applyFont="1"/>
    <xf numFmtId="164" fontId="0" fillId="0" borderId="0" xfId="0" applyNumberFormat="1"/>
    <xf numFmtId="164" fontId="1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47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0" borderId="42" xfId="0" applyBorder="1"/>
    <xf numFmtId="0" fontId="23" fillId="0" borderId="1" xfId="0" applyFont="1" applyBorder="1"/>
    <xf numFmtId="0" fontId="1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3" xfId="0" applyFill="1" applyBorder="1"/>
    <xf numFmtId="0" fontId="0" fillId="8" borderId="0" xfId="0" applyFill="1"/>
    <xf numFmtId="0" fontId="0" fillId="0" borderId="0" xfId="0" applyAlignment="1">
      <alignment horizontal="left"/>
    </xf>
    <xf numFmtId="2" fontId="0" fillId="8" borderId="1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0" xfId="0" applyNumberFormat="1" applyBorder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9" fillId="3" borderId="0" xfId="0" applyFont="1" applyFill="1" applyAlignment="1">
      <alignment horizontal="center"/>
    </xf>
    <xf numFmtId="165" fontId="4" fillId="3" borderId="21" xfId="1" applyNumberFormat="1" applyFont="1" applyFill="1" applyBorder="1" applyAlignment="1">
      <alignment horizontal="center" vertical="center"/>
    </xf>
    <xf numFmtId="165" fontId="4" fillId="3" borderId="26" xfId="1" applyNumberFormat="1" applyFont="1" applyFill="1" applyBorder="1" applyAlignment="1">
      <alignment horizontal="center" vertical="center"/>
    </xf>
    <xf numFmtId="165" fontId="4" fillId="3" borderId="27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4" fillId="3" borderId="0" xfId="3" applyFont="1" applyFill="1" applyAlignment="1">
      <alignment horizontal="right"/>
    </xf>
    <xf numFmtId="0" fontId="4" fillId="3" borderId="0" xfId="1" applyFont="1" applyFill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164" fontId="23" fillId="0" borderId="44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43" xfId="0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164" fontId="11" fillId="0" borderId="36" xfId="0" applyNumberFormat="1" applyFont="1" applyBorder="1" applyAlignment="1">
      <alignment horizontal="center"/>
    </xf>
    <xf numFmtId="164" fontId="11" fillId="0" borderId="37" xfId="0" applyNumberFormat="1" applyFont="1" applyBorder="1" applyAlignment="1">
      <alignment horizontal="center"/>
    </xf>
    <xf numFmtId="164" fontId="23" fillId="0" borderId="46" xfId="0" applyNumberFormat="1" applyFont="1" applyBorder="1" applyAlignment="1">
      <alignment horizontal="center"/>
    </xf>
    <xf numFmtId="164" fontId="23" fillId="0" borderId="48" xfId="0" applyNumberFormat="1" applyFont="1" applyBorder="1" applyAlignment="1">
      <alignment horizontal="center"/>
    </xf>
    <xf numFmtId="164" fontId="23" fillId="0" borderId="49" xfId="0" applyNumberFormat="1" applyFont="1" applyBorder="1" applyAlignment="1">
      <alignment horizontal="center"/>
    </xf>
    <xf numFmtId="0" fontId="17" fillId="3" borderId="36" xfId="1" applyFont="1" applyFill="1" applyBorder="1" applyAlignment="1">
      <alignment horizontal="center"/>
    </xf>
    <xf numFmtId="0" fontId="17" fillId="3" borderId="37" xfId="1" applyFont="1" applyFill="1" applyBorder="1" applyAlignment="1">
      <alignment horizontal="center"/>
    </xf>
    <xf numFmtId="0" fontId="23" fillId="6" borderId="0" xfId="1" applyFont="1" applyFill="1" applyAlignment="1">
      <alignment horizontal="center"/>
    </xf>
    <xf numFmtId="4" fontId="20" fillId="6" borderId="0" xfId="0" applyNumberFormat="1" applyFont="1" applyFill="1" applyAlignment="1" applyProtection="1">
      <alignment horizontal="center" vertical="center"/>
      <protection locked="0"/>
    </xf>
    <xf numFmtId="0" fontId="20" fillId="6" borderId="0" xfId="0" applyFont="1" applyFill="1" applyAlignment="1" applyProtection="1">
      <alignment horizontal="center" vertical="center"/>
      <protection locked="0"/>
    </xf>
    <xf numFmtId="2" fontId="20" fillId="6" borderId="0" xfId="0" applyNumberFormat="1" applyFont="1" applyFill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/>
      <protection locked="0"/>
    </xf>
    <xf numFmtId="0" fontId="13" fillId="6" borderId="5" xfId="0" applyFont="1" applyFill="1" applyBorder="1" applyAlignment="1" applyProtection="1">
      <alignment horizontal="center"/>
      <protection locked="0"/>
    </xf>
    <xf numFmtId="0" fontId="13" fillId="6" borderId="7" xfId="0" applyFont="1" applyFill="1" applyBorder="1" applyAlignment="1" applyProtection="1">
      <alignment horizontal="center"/>
      <protection locked="0"/>
    </xf>
    <xf numFmtId="0" fontId="13" fillId="6" borderId="10" xfId="0" applyFont="1" applyFill="1" applyBorder="1" applyAlignment="1" applyProtection="1">
      <alignment horizontal="center"/>
      <protection locked="0"/>
    </xf>
    <xf numFmtId="0" fontId="13" fillId="6" borderId="12" xfId="0" applyFont="1" applyFill="1" applyBorder="1" applyAlignment="1" applyProtection="1">
      <alignment horizontal="center"/>
      <protection locked="0"/>
    </xf>
    <xf numFmtId="0" fontId="19" fillId="3" borderId="29" xfId="0" applyFont="1" applyFill="1" applyBorder="1" applyAlignment="1" applyProtection="1">
      <alignment horizontal="center" vertical="center" textRotation="90" wrapText="1"/>
      <protection locked="0"/>
    </xf>
    <xf numFmtId="0" fontId="13" fillId="6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4" fontId="17" fillId="7" borderId="28" xfId="2" applyNumberFormat="1" applyFont="1" applyFill="1" applyBorder="1" applyAlignment="1" applyProtection="1">
      <alignment horizontal="center" wrapText="1"/>
      <protection locked="0"/>
    </xf>
  </cellXfs>
  <cellStyles count="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Millares 2" xfId="2" xr:uid="{00000000-0005-0000-0000-000016000000}"/>
    <cellStyle name="Normal" xfId="0" builtinId="0"/>
    <cellStyle name="Normal 2" xfId="1" xr:uid="{00000000-0005-0000-0000-000018000000}"/>
    <cellStyle name="Normal 3" xfId="3" xr:uid="{00000000-0005-0000-0000-000019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55436394198"/>
          <c:y val="5.1400554097404502E-2"/>
          <c:w val="0.74825205545147599"/>
          <c:h val="0.8094714202391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'ACTIVITY RESULTS'!$D$10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1789572961847"/>
                  <c:y val="-0.41623250218722702"/>
                </c:manualLayout>
              </c:layout>
              <c:numFmt formatCode="General" sourceLinked="0"/>
            </c:trendlineLbl>
          </c:trendline>
          <c:xVal>
            <c:numRef>
              <c:f>'ACTIVITY RESULTS'!$F$9:$I$9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'ACTIVITY RESULTS'!$F$10:$I$10</c:f>
              <c:numCache>
                <c:formatCode>#,##0.00</c:formatCode>
                <c:ptCount val="4"/>
                <c:pt idx="0">
                  <c:v>44.956821672469651</c:v>
                </c:pt>
                <c:pt idx="1">
                  <c:v>66.271898769988937</c:v>
                </c:pt>
                <c:pt idx="2">
                  <c:v>153.35359278524683</c:v>
                </c:pt>
                <c:pt idx="3">
                  <c:v>210.96406945493763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1-45A7-8BE9-36CC0AE75F2D}"/>
            </c:ext>
          </c:extLst>
        </c:ser>
        <c:ser>
          <c:idx val="1"/>
          <c:order val="1"/>
          <c:tx>
            <c:strRef>
              <c:f>'ACTIVITY RESULTS'!$D$11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501230765483101"/>
                  <c:y val="0.220675853018373"/>
                </c:manualLayout>
              </c:layout>
              <c:numFmt formatCode="General" sourceLinked="0"/>
            </c:trendlineLbl>
          </c:trendline>
          <c:xVal>
            <c:numRef>
              <c:f>'ACTIVITY RESULTS'!$F$9:$I$9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'ACTIVITY RESULTS'!$F$11:$I$11</c:f>
              <c:numCache>
                <c:formatCode>#,##0.00</c:formatCode>
                <c:ptCount val="4"/>
                <c:pt idx="0">
                  <c:v>46.990242943858512</c:v>
                </c:pt>
                <c:pt idx="1">
                  <c:v>16.080500563408517</c:v>
                </c:pt>
                <c:pt idx="2">
                  <c:v>84.094438491520151</c:v>
                </c:pt>
                <c:pt idx="3">
                  <c:v>134.92012580244545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1-45A7-8BE9-36CC0AE75F2D}"/>
            </c:ext>
          </c:extLst>
        </c:ser>
        <c:ser>
          <c:idx val="2"/>
          <c:order val="2"/>
          <c:tx>
            <c:strRef>
              <c:f>'ACTIVITY RESULTS'!$D$12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8028726209247"/>
                  <c:y val="6.2557292278763693E-2"/>
                </c:manualLayout>
              </c:layout>
              <c:numFmt formatCode="General" sourceLinked="0"/>
            </c:trendlineLbl>
          </c:trendline>
          <c:xVal>
            <c:numRef>
              <c:f>'ACTIVITY RESULTS'!$F$9:$I$9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'ACTIVITY RESULTS'!$F$12:$I$12</c:f>
              <c:numCache>
                <c:formatCode>#,##0.00</c:formatCode>
                <c:ptCount val="4"/>
                <c:pt idx="0">
                  <c:v>17.511219307165984</c:v>
                </c:pt>
                <c:pt idx="1">
                  <c:v>80.762128892540304</c:v>
                </c:pt>
                <c:pt idx="2">
                  <c:v>137.51939227501057</c:v>
                </c:pt>
                <c:pt idx="3">
                  <c:v>221.2726252064856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81-45A7-8BE9-36CC0AE75F2D}"/>
            </c:ext>
          </c:extLst>
        </c:ser>
        <c:ser>
          <c:idx val="3"/>
          <c:order val="3"/>
          <c:tx>
            <c:strRef>
              <c:f>'ACTIVITY RESULTS'!$D$13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620255278247199"/>
                  <c:y val="0.15130606808477301"/>
                </c:manualLayout>
              </c:layout>
              <c:numFmt formatCode="General" sourceLinked="0"/>
            </c:trendlineLbl>
          </c:trendline>
          <c:xVal>
            <c:numRef>
              <c:f>'ACTIVITY RESULTS'!$F$9:$I$9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'ACTIVITY RESULTS'!$F$13:$H$13</c:f>
              <c:numCache>
                <c:formatCode>#,##0.00</c:formatCode>
                <c:ptCount val="3"/>
                <c:pt idx="0">
                  <c:v>23.873580669576516</c:v>
                </c:pt>
                <c:pt idx="1">
                  <c:v>55.322089133248987</c:v>
                </c:pt>
                <c:pt idx="2">
                  <c:v>64.977319545930612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81-45A7-8BE9-36CC0AE7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7312"/>
        <c:axId val="194399232"/>
      </c:scatterChart>
      <c:valAx>
        <c:axId val="1943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Venom (ug)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99232"/>
        <c:crosses val="autoZero"/>
        <c:crossBetween val="midCat"/>
      </c:valAx>
      <c:valAx>
        <c:axId val="19439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Haemorrhagic units</a:t>
                </a:r>
              </a:p>
            </c:rich>
          </c:tx>
          <c:layout>
            <c:manualLayout>
              <c:xMode val="edge"/>
              <c:yMode val="edge"/>
              <c:x val="5.6790705023022497E-3"/>
              <c:y val="0.216414041994751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9439731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93887910021428"/>
          <c:y val="0.62423228346456705"/>
          <c:w val="4.8049002118436497E-2"/>
          <c:h val="0.33486876640419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7</xdr:row>
      <xdr:rowOff>161925</xdr:rowOff>
    </xdr:from>
    <xdr:to>
      <xdr:col>3</xdr:col>
      <xdr:colOff>152400</xdr:colOff>
      <xdr:row>10</xdr:row>
      <xdr:rowOff>190499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1" y="1514475"/>
          <a:ext cx="1171574" cy="609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COMPLETE BOXES FOUND IN WHITE</a:t>
          </a:r>
        </a:p>
      </xdr:txBody>
    </xdr:sp>
    <xdr:clientData/>
  </xdr:twoCellAnchor>
  <xdr:oneCellAnchor>
    <xdr:from>
      <xdr:col>9</xdr:col>
      <xdr:colOff>180974</xdr:colOff>
      <xdr:row>7</xdr:row>
      <xdr:rowOff>169931</xdr:rowOff>
    </xdr:from>
    <xdr:ext cx="1990725" cy="868293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553449" y="1522481"/>
          <a:ext cx="1990725" cy="86829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R" sz="1000"/>
            <a:t>The program allows the use of 6 mice per level using the control and up to 6 different concentrations of venoms</a:t>
          </a:r>
          <a:endParaRPr lang="es-CR" sz="1000" baseline="0"/>
        </a:p>
      </xdr:txBody>
    </xdr:sp>
    <xdr:clientData/>
  </xdr:oneCellAnchor>
  <xdr:twoCellAnchor>
    <xdr:from>
      <xdr:col>2</xdr:col>
      <xdr:colOff>142875</xdr:colOff>
      <xdr:row>1</xdr:row>
      <xdr:rowOff>76200</xdr:rowOff>
    </xdr:from>
    <xdr:to>
      <xdr:col>3</xdr:col>
      <xdr:colOff>142875</xdr:colOff>
      <xdr:row>3</xdr:row>
      <xdr:rowOff>9525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14375" y="276225"/>
          <a:ext cx="1114425" cy="314325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 b="1">
              <a:solidFill>
                <a:schemeClr val="bg1"/>
              </a:solidFill>
            </a:rPr>
            <a:t>First Step</a:t>
          </a:r>
          <a:endParaRPr lang="es-CR" sz="11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66675</xdr:colOff>
      <xdr:row>25</xdr:row>
      <xdr:rowOff>131133</xdr:rowOff>
    </xdr:from>
    <xdr:ext cx="1114425" cy="261610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14375" y="4931733"/>
          <a:ext cx="1114425" cy="26161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100" b="1">
              <a:solidFill>
                <a:schemeClr val="bg1"/>
              </a:solidFill>
            </a:rPr>
            <a:t>Second Step</a:t>
          </a:r>
          <a:endParaRPr lang="es-CR" sz="1100" b="1" baseline="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57150</xdr:colOff>
      <xdr:row>66</xdr:row>
      <xdr:rowOff>28575</xdr:rowOff>
    </xdr:from>
    <xdr:ext cx="1114425" cy="264560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28650" y="13039725"/>
          <a:ext cx="1114425" cy="26456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100" b="1" baseline="0">
              <a:solidFill>
                <a:schemeClr val="bg1"/>
              </a:solidFill>
            </a:rPr>
            <a:t>Third Step</a:t>
          </a:r>
        </a:p>
      </xdr:txBody>
    </xdr:sp>
    <xdr:clientData/>
  </xdr:oneCellAnchor>
  <xdr:oneCellAnchor>
    <xdr:from>
      <xdr:col>9</xdr:col>
      <xdr:colOff>76200</xdr:colOff>
      <xdr:row>29</xdr:row>
      <xdr:rowOff>101823</xdr:rowOff>
    </xdr:from>
    <xdr:ext cx="1962150" cy="861774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613900" y="5689823"/>
          <a:ext cx="1962150" cy="86177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000"/>
            <a:t>For the analysis of hemorrhagic activity, take a photo that includes the respective Pantone shown in the table, and analyse</a:t>
          </a:r>
          <a:r>
            <a:rPr lang="es-CR" sz="1000" baseline="0"/>
            <a:t> </a:t>
          </a:r>
          <a:r>
            <a:rPr lang="es-CR" sz="1000"/>
            <a:t>the values ​​of R, G and B with the software</a:t>
          </a:r>
          <a:r>
            <a:rPr lang="es-CR" sz="1000" baseline="0"/>
            <a:t>.</a:t>
          </a:r>
        </a:p>
      </xdr:txBody>
    </xdr:sp>
    <xdr:clientData/>
  </xdr:oneCellAnchor>
  <xdr:oneCellAnchor>
    <xdr:from>
      <xdr:col>9</xdr:col>
      <xdr:colOff>66675</xdr:colOff>
      <xdr:row>34</xdr:row>
      <xdr:rowOff>16992</xdr:rowOff>
    </xdr:from>
    <xdr:ext cx="1962150" cy="1031436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439150" y="6636867"/>
          <a:ext cx="1962150" cy="10314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000"/>
            <a:t>This step will establish a correction factor using to the true R, G and B values shown in the Pantone. This allows a comparison of images with different lighting.</a:t>
          </a:r>
          <a:endParaRPr lang="es-CR" sz="1000" baseline="0"/>
        </a:p>
      </xdr:txBody>
    </xdr:sp>
    <xdr:clientData/>
  </xdr:oneCellAnchor>
  <xdr:oneCellAnchor>
    <xdr:from>
      <xdr:col>2</xdr:col>
      <xdr:colOff>66675</xdr:colOff>
      <xdr:row>80</xdr:row>
      <xdr:rowOff>47625</xdr:rowOff>
    </xdr:from>
    <xdr:ext cx="1114425" cy="264560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38175" y="15963900"/>
          <a:ext cx="1114425" cy="26456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100" b="1" baseline="0">
              <a:solidFill>
                <a:schemeClr val="bg1"/>
              </a:solidFill>
            </a:rPr>
            <a:t>Fourth Step</a:t>
          </a:r>
        </a:p>
      </xdr:txBody>
    </xdr:sp>
    <xdr:clientData/>
  </xdr:oneCellAnchor>
  <xdr:oneCellAnchor>
    <xdr:from>
      <xdr:col>8</xdr:col>
      <xdr:colOff>304800</xdr:colOff>
      <xdr:row>69</xdr:row>
      <xdr:rowOff>540866</xdr:rowOff>
    </xdr:from>
    <xdr:ext cx="1962150" cy="1135533"/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562850" y="14142566"/>
          <a:ext cx="1962150" cy="11355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R" sz="1000"/>
            <a:t>To establish a correction factor for the actual length compared to the photograph taken, place a ruler in each photo and measure the length of 1 cm</a:t>
          </a:r>
          <a:r>
            <a:rPr lang="es-CR" sz="1000" baseline="0"/>
            <a:t> using the software</a:t>
          </a:r>
          <a:endParaRPr lang="es-CR" sz="1000"/>
        </a:p>
      </xdr:txBody>
    </xdr:sp>
    <xdr:clientData/>
  </xdr:oneCellAnchor>
  <xdr:twoCellAnchor editAs="oneCell">
    <xdr:from>
      <xdr:col>9</xdr:col>
      <xdr:colOff>1104900</xdr:colOff>
      <xdr:row>1</xdr:row>
      <xdr:rowOff>101600</xdr:rowOff>
    </xdr:from>
    <xdr:to>
      <xdr:col>10</xdr:col>
      <xdr:colOff>1016000</xdr:colOff>
      <xdr:row>4</xdr:row>
      <xdr:rowOff>114300</xdr:rowOff>
    </xdr:to>
    <xdr:sp macro="" textlink="">
      <xdr:nvSpPr>
        <xdr:cNvPr id="5122" name="MENU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16</xdr:row>
      <xdr:rowOff>147637</xdr:rowOff>
    </xdr:from>
    <xdr:to>
      <xdr:col>10</xdr:col>
      <xdr:colOff>752474</xdr:colOff>
      <xdr:row>31</xdr:row>
      <xdr:rowOff>33337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171449</xdr:colOff>
      <xdr:row>4</xdr:row>
      <xdr:rowOff>6176</xdr:rowOff>
    </xdr:from>
    <xdr:ext cx="5438775" cy="405367"/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063749" y="806276"/>
          <a:ext cx="5438775" cy="40536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R" sz="1000"/>
            <a:t>This information is automatically provided by the program. Modify</a:t>
          </a:r>
          <a:r>
            <a:rPr lang="es-CR" sz="1000" baseline="0"/>
            <a:t> </a:t>
          </a:r>
          <a:r>
            <a:rPr lang="es-CR" sz="1000"/>
            <a:t>the graph, by selecting the points of interest for each of the curves obtained.</a:t>
          </a:r>
          <a:endParaRPr lang="es-CR" sz="1000" baseline="0"/>
        </a:p>
      </xdr:txBody>
    </xdr:sp>
    <xdr:clientData/>
  </xdr:oneCellAnchor>
  <xdr:twoCellAnchor>
    <xdr:from>
      <xdr:col>3</xdr:col>
      <xdr:colOff>28574</xdr:colOff>
      <xdr:row>37</xdr:row>
      <xdr:rowOff>161925</xdr:rowOff>
    </xdr:from>
    <xdr:to>
      <xdr:col>11</xdr:col>
      <xdr:colOff>38099</xdr:colOff>
      <xdr:row>40</xdr:row>
      <xdr:rowOff>85724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85924" y="7134225"/>
          <a:ext cx="5838825" cy="4952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100"/>
            <a:t>Complete the white cells. The sheet will provide relevant data regarding to the minimum haemorrhagic dose (MHD)</a:t>
          </a:r>
          <a:endParaRPr lang="es-CR" sz="1100" baseline="0"/>
        </a:p>
      </xdr:txBody>
    </xdr:sp>
    <xdr:clientData/>
  </xdr:twoCellAnchor>
  <xdr:twoCellAnchor>
    <xdr:from>
      <xdr:col>3</xdr:col>
      <xdr:colOff>38100</xdr:colOff>
      <xdr:row>54</xdr:row>
      <xdr:rowOff>85725</xdr:rowOff>
    </xdr:from>
    <xdr:to>
      <xdr:col>4</xdr:col>
      <xdr:colOff>552450</xdr:colOff>
      <xdr:row>57</xdr:row>
      <xdr:rowOff>104775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695450" y="10620375"/>
          <a:ext cx="1238250" cy="59055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3200"/>
            <a:t>MHD</a:t>
          </a:r>
        </a:p>
      </xdr:txBody>
    </xdr:sp>
    <xdr:clientData/>
  </xdr:twoCellAnchor>
  <xdr:twoCellAnchor>
    <xdr:from>
      <xdr:col>6</xdr:col>
      <xdr:colOff>457200</xdr:colOff>
      <xdr:row>54</xdr:row>
      <xdr:rowOff>57150</xdr:rowOff>
    </xdr:from>
    <xdr:to>
      <xdr:col>7</xdr:col>
      <xdr:colOff>361950</xdr:colOff>
      <xdr:row>57</xdr:row>
      <xdr:rowOff>76200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4286250" y="10591800"/>
          <a:ext cx="6286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3200"/>
            <a:t>±</a:t>
          </a:r>
        </a:p>
      </xdr:txBody>
    </xdr:sp>
    <xdr:clientData/>
  </xdr:twoCellAnchor>
  <xdr:twoCellAnchor editAs="oneCell">
    <xdr:from>
      <xdr:col>12</xdr:col>
      <xdr:colOff>63500</xdr:colOff>
      <xdr:row>1</xdr:row>
      <xdr:rowOff>114300</xdr:rowOff>
    </xdr:from>
    <xdr:to>
      <xdr:col>14</xdr:col>
      <xdr:colOff>584200</xdr:colOff>
      <xdr:row>4</xdr:row>
      <xdr:rowOff>63500</xdr:rowOff>
    </xdr:to>
    <xdr:sp macro="" textlink="">
      <xdr:nvSpPr>
        <xdr:cNvPr id="6145" name="MENU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500-00000118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K128"/>
  <sheetViews>
    <sheetView topLeftCell="A105" zoomScale="109" workbookViewId="0">
      <selection activeCell="L20" sqref="L20"/>
    </sheetView>
  </sheetViews>
  <sheetFormatPr baseColWidth="10" defaultColWidth="10.83203125" defaultRowHeight="16" x14ac:dyDescent="0.2"/>
  <cols>
    <col min="1" max="1" width="3.83203125" style="67" customWidth="1"/>
    <col min="2" max="2" width="4.6640625" style="67" customWidth="1"/>
    <col min="3" max="3" width="16.6640625" style="66" customWidth="1"/>
    <col min="4" max="5" width="16.6640625" style="67" customWidth="1"/>
    <col min="6" max="6" width="19.1640625" style="67" bestFit="1" customWidth="1"/>
    <col min="7" max="11" width="16.6640625" style="67" customWidth="1"/>
    <col min="12" max="12" width="4.6640625" style="67" customWidth="1"/>
    <col min="13" max="16384" width="10.83203125" style="67"/>
  </cols>
  <sheetData>
    <row r="1" spans="3:11" ht="17" thickBot="1" x14ac:dyDescent="0.25"/>
    <row r="2" spans="3:11" ht="15" customHeight="1" x14ac:dyDescent="0.2">
      <c r="C2" s="68"/>
      <c r="D2" s="69"/>
      <c r="E2" s="70"/>
      <c r="F2" s="69"/>
      <c r="G2" s="69"/>
      <c r="H2" s="69"/>
      <c r="I2" s="69"/>
      <c r="J2" s="69"/>
      <c r="K2" s="71"/>
    </row>
    <row r="3" spans="3:11" ht="15" customHeight="1" x14ac:dyDescent="0.2">
      <c r="C3" s="72"/>
      <c r="D3" s="73"/>
      <c r="E3" s="191" t="s">
        <v>39</v>
      </c>
      <c r="F3" s="191"/>
      <c r="G3" s="191"/>
      <c r="H3" s="191"/>
      <c r="I3" s="191"/>
      <c r="J3" s="73"/>
      <c r="K3" s="74"/>
    </row>
    <row r="4" spans="3:11" x14ac:dyDescent="0.2">
      <c r="C4" s="75"/>
      <c r="K4" s="76"/>
    </row>
    <row r="5" spans="3:11" x14ac:dyDescent="0.2">
      <c r="C5" s="75"/>
      <c r="E5" s="73"/>
      <c r="F5" s="73"/>
      <c r="G5" s="73"/>
      <c r="H5" s="73"/>
      <c r="I5" s="73"/>
      <c r="K5" s="76"/>
    </row>
    <row r="6" spans="3:11" x14ac:dyDescent="0.2">
      <c r="C6" s="75"/>
      <c r="G6" s="77" t="s">
        <v>31</v>
      </c>
      <c r="H6" s="153"/>
      <c r="K6" s="76"/>
    </row>
    <row r="7" spans="3:11" x14ac:dyDescent="0.2">
      <c r="C7" s="75"/>
      <c r="F7" s="196" t="s">
        <v>35</v>
      </c>
      <c r="G7" s="196"/>
      <c r="H7" s="154"/>
      <c r="I7" s="78"/>
      <c r="K7" s="76"/>
    </row>
    <row r="8" spans="3:11" x14ac:dyDescent="0.2">
      <c r="C8" s="75"/>
      <c r="F8" s="196" t="s">
        <v>36</v>
      </c>
      <c r="G8" s="196"/>
      <c r="H8" s="155"/>
      <c r="I8" s="78"/>
      <c r="K8" s="76"/>
    </row>
    <row r="9" spans="3:11" x14ac:dyDescent="0.2">
      <c r="C9" s="75"/>
      <c r="F9" s="197" t="s">
        <v>32</v>
      </c>
      <c r="G9" s="197"/>
      <c r="H9" s="154"/>
      <c r="I9" s="78"/>
      <c r="K9" s="76"/>
    </row>
    <row r="10" spans="3:11" x14ac:dyDescent="0.2">
      <c r="C10" s="75"/>
      <c r="F10" s="197" t="s">
        <v>33</v>
      </c>
      <c r="G10" s="197"/>
      <c r="H10" s="154"/>
      <c r="I10" s="79"/>
      <c r="K10" s="76"/>
    </row>
    <row r="11" spans="3:11" x14ac:dyDescent="0.2">
      <c r="C11" s="75"/>
      <c r="E11" s="114"/>
      <c r="F11" s="80"/>
      <c r="G11" s="114" t="s">
        <v>34</v>
      </c>
      <c r="H11" s="150"/>
      <c r="I11" s="81"/>
      <c r="K11" s="76"/>
    </row>
    <row r="12" spans="3:11" x14ac:dyDescent="0.2">
      <c r="C12" s="75"/>
      <c r="E12" s="114"/>
      <c r="F12" s="80"/>
      <c r="G12" s="114" t="s">
        <v>37</v>
      </c>
      <c r="H12" s="150"/>
      <c r="I12" s="81"/>
      <c r="K12" s="76"/>
    </row>
    <row r="13" spans="3:11" x14ac:dyDescent="0.2">
      <c r="C13" s="75"/>
      <c r="E13" s="114"/>
      <c r="F13" s="114"/>
      <c r="G13" s="114" t="s">
        <v>38</v>
      </c>
      <c r="H13" s="150"/>
      <c r="I13" s="81"/>
      <c r="K13" s="76"/>
    </row>
    <row r="14" spans="3:11" x14ac:dyDescent="0.2">
      <c r="C14" s="75"/>
      <c r="E14" s="114"/>
      <c r="F14" s="82"/>
      <c r="G14" s="83"/>
      <c r="H14" s="78"/>
      <c r="I14" s="81"/>
      <c r="K14" s="76"/>
    </row>
    <row r="15" spans="3:11" x14ac:dyDescent="0.2">
      <c r="C15" s="75"/>
      <c r="E15" s="1" t="s">
        <v>40</v>
      </c>
      <c r="F15" s="1" t="s">
        <v>41</v>
      </c>
      <c r="G15" s="1" t="s">
        <v>19</v>
      </c>
      <c r="H15" s="1" t="s">
        <v>42</v>
      </c>
      <c r="I15" s="1" t="s">
        <v>20</v>
      </c>
      <c r="K15" s="76"/>
    </row>
    <row r="16" spans="3:11" x14ac:dyDescent="0.2">
      <c r="C16" s="75"/>
      <c r="E16" s="159">
        <v>1</v>
      </c>
      <c r="F16" s="2">
        <v>0.5</v>
      </c>
      <c r="G16" s="62"/>
      <c r="H16" s="3"/>
      <c r="I16" s="3"/>
      <c r="K16" s="76"/>
    </row>
    <row r="17" spans="3:11" x14ac:dyDescent="0.2">
      <c r="C17" s="75"/>
      <c r="E17" s="3">
        <v>2</v>
      </c>
      <c r="F17" s="2">
        <v>1</v>
      </c>
      <c r="G17" s="62"/>
      <c r="H17" s="3"/>
      <c r="I17" s="3"/>
      <c r="K17" s="76"/>
    </row>
    <row r="18" spans="3:11" x14ac:dyDescent="0.2">
      <c r="C18" s="75"/>
      <c r="E18" s="159">
        <v>3</v>
      </c>
      <c r="F18" s="2">
        <v>2</v>
      </c>
      <c r="G18" s="62"/>
      <c r="H18" s="3"/>
      <c r="I18" s="3"/>
      <c r="K18" s="76"/>
    </row>
    <row r="19" spans="3:11" x14ac:dyDescent="0.2">
      <c r="C19" s="75"/>
      <c r="E19" s="3">
        <v>4</v>
      </c>
      <c r="F19" s="2">
        <v>4</v>
      </c>
      <c r="G19" s="62"/>
      <c r="H19" s="3"/>
      <c r="I19" s="3"/>
      <c r="K19" s="76"/>
    </row>
    <row r="20" spans="3:11" x14ac:dyDescent="0.2">
      <c r="C20" s="75"/>
      <c r="E20" s="159">
        <v>5</v>
      </c>
      <c r="F20" s="2">
        <v>8</v>
      </c>
      <c r="G20" s="62"/>
      <c r="H20" s="3"/>
      <c r="I20" s="3"/>
      <c r="K20" s="76"/>
    </row>
    <row r="21" spans="3:11" x14ac:dyDescent="0.2">
      <c r="C21" s="75"/>
      <c r="E21" s="3">
        <v>6</v>
      </c>
      <c r="F21" s="2">
        <v>16</v>
      </c>
      <c r="G21" s="62"/>
      <c r="H21" s="3"/>
      <c r="I21" s="3"/>
      <c r="K21" s="76"/>
    </row>
    <row r="22" spans="3:11" x14ac:dyDescent="0.2">
      <c r="C22" s="75"/>
      <c r="E22" s="159">
        <v>7</v>
      </c>
      <c r="F22" s="2"/>
      <c r="G22" s="62" t="str">
        <f t="shared" ref="G22" si="0">IF(F22="","",F22/$H$9)</f>
        <v/>
      </c>
      <c r="H22" s="3" t="str">
        <f>IF(F22="","",(G22*$H$8)/$H$7)</f>
        <v/>
      </c>
      <c r="I22" s="3" t="str">
        <f t="shared" ref="I20:I22" si="1">IF(F22="","",($H$8-H22))</f>
        <v/>
      </c>
      <c r="K22" s="76"/>
    </row>
    <row r="23" spans="3:11" ht="17" thickBot="1" x14ac:dyDescent="0.25">
      <c r="C23" s="84"/>
      <c r="D23" s="85"/>
      <c r="E23" s="85"/>
      <c r="F23" s="85"/>
      <c r="G23" s="85"/>
      <c r="H23" s="85"/>
      <c r="I23" s="85"/>
      <c r="J23" s="85"/>
      <c r="K23" s="86"/>
    </row>
    <row r="25" spans="3:11" ht="17" thickBot="1" x14ac:dyDescent="0.25"/>
    <row r="26" spans="3:11" x14ac:dyDescent="0.2">
      <c r="C26" s="68"/>
      <c r="D26" s="70"/>
      <c r="E26" s="70"/>
      <c r="F26" s="70"/>
      <c r="G26" s="70"/>
      <c r="H26" s="70"/>
      <c r="I26" s="70"/>
      <c r="J26" s="70"/>
      <c r="K26" s="87"/>
    </row>
    <row r="27" spans="3:11" x14ac:dyDescent="0.2">
      <c r="C27" s="75"/>
      <c r="E27" s="191" t="s">
        <v>43</v>
      </c>
      <c r="F27" s="191"/>
      <c r="G27" s="191"/>
      <c r="H27" s="191"/>
      <c r="I27" s="191"/>
      <c r="K27" s="76"/>
    </row>
    <row r="28" spans="3:11" ht="17" thickBot="1" x14ac:dyDescent="0.25">
      <c r="C28" s="75"/>
      <c r="K28" s="76"/>
    </row>
    <row r="29" spans="3:11" ht="17" thickBot="1" x14ac:dyDescent="0.25">
      <c r="C29" s="75"/>
      <c r="E29" s="88" t="s">
        <v>40</v>
      </c>
      <c r="F29" s="89" t="s">
        <v>10</v>
      </c>
      <c r="G29" s="90" t="s">
        <v>0</v>
      </c>
      <c r="H29" s="90" t="s">
        <v>1</v>
      </c>
      <c r="I29" s="91" t="s">
        <v>2</v>
      </c>
      <c r="K29" s="76"/>
    </row>
    <row r="30" spans="3:11" x14ac:dyDescent="0.2">
      <c r="C30" s="75"/>
      <c r="E30" s="192">
        <f>+F16</f>
        <v>0.5</v>
      </c>
      <c r="F30" s="92" t="s">
        <v>12</v>
      </c>
      <c r="G30" s="156">
        <v>191</v>
      </c>
      <c r="H30" s="157">
        <v>150</v>
      </c>
      <c r="I30" s="157">
        <v>150</v>
      </c>
      <c r="K30" s="76"/>
    </row>
    <row r="31" spans="3:11" ht="15.75" customHeight="1" x14ac:dyDescent="0.2">
      <c r="C31" s="75"/>
      <c r="E31" s="193"/>
      <c r="F31" s="93" t="s">
        <v>13</v>
      </c>
      <c r="G31" s="156">
        <v>200</v>
      </c>
      <c r="H31" s="157">
        <v>129</v>
      </c>
      <c r="I31" s="157">
        <v>145</v>
      </c>
      <c r="K31" s="76"/>
    </row>
    <row r="32" spans="3:11" ht="15.75" customHeight="1" x14ac:dyDescent="0.2">
      <c r="C32" s="75"/>
      <c r="E32" s="193"/>
      <c r="F32" s="93" t="s">
        <v>14</v>
      </c>
      <c r="G32" s="156">
        <v>213</v>
      </c>
      <c r="H32" s="157">
        <v>66</v>
      </c>
      <c r="I32" s="157">
        <v>99</v>
      </c>
      <c r="K32" s="76"/>
    </row>
    <row r="33" spans="3:11" ht="15.75" customHeight="1" x14ac:dyDescent="0.2">
      <c r="C33" s="75"/>
      <c r="E33" s="193"/>
      <c r="F33" s="93" t="s">
        <v>15</v>
      </c>
      <c r="G33" s="156">
        <v>214</v>
      </c>
      <c r="H33" s="157">
        <v>37</v>
      </c>
      <c r="I33" s="157">
        <v>51</v>
      </c>
      <c r="K33" s="76"/>
    </row>
    <row r="34" spans="3:11" ht="16.5" customHeight="1" thickBot="1" x14ac:dyDescent="0.25">
      <c r="C34" s="75"/>
      <c r="E34" s="194"/>
      <c r="F34" s="94" t="s">
        <v>16</v>
      </c>
      <c r="G34" s="156">
        <v>192</v>
      </c>
      <c r="H34" s="157">
        <v>37</v>
      </c>
      <c r="I34" s="157">
        <v>41</v>
      </c>
      <c r="K34" s="76"/>
    </row>
    <row r="35" spans="3:11" x14ac:dyDescent="0.2">
      <c r="C35" s="75"/>
      <c r="E35" s="192">
        <f>IF(F17&gt;0,F17,"")</f>
        <v>1</v>
      </c>
      <c r="F35" s="92" t="s">
        <v>12</v>
      </c>
      <c r="G35" s="156">
        <v>186</v>
      </c>
      <c r="H35" s="157">
        <v>146</v>
      </c>
      <c r="I35" s="157">
        <v>157</v>
      </c>
      <c r="K35" s="76"/>
    </row>
    <row r="36" spans="3:11" ht="15.75" customHeight="1" x14ac:dyDescent="0.2">
      <c r="C36" s="75"/>
      <c r="E36" s="193"/>
      <c r="F36" s="93" t="s">
        <v>13</v>
      </c>
      <c r="G36" s="156">
        <v>192</v>
      </c>
      <c r="H36" s="157">
        <v>125</v>
      </c>
      <c r="I36" s="157">
        <v>147</v>
      </c>
      <c r="K36" s="76"/>
    </row>
    <row r="37" spans="3:11" ht="15.75" customHeight="1" x14ac:dyDescent="0.2">
      <c r="C37" s="75"/>
      <c r="E37" s="193"/>
      <c r="F37" s="93" t="s">
        <v>14</v>
      </c>
      <c r="G37" s="156">
        <v>208</v>
      </c>
      <c r="H37" s="157">
        <v>61</v>
      </c>
      <c r="I37" s="157">
        <v>102</v>
      </c>
      <c r="K37" s="76"/>
    </row>
    <row r="38" spans="3:11" ht="15.75" customHeight="1" x14ac:dyDescent="0.2">
      <c r="C38" s="75"/>
      <c r="E38" s="193"/>
      <c r="F38" s="93" t="s">
        <v>15</v>
      </c>
      <c r="G38" s="156">
        <v>208</v>
      </c>
      <c r="H38" s="157">
        <v>34</v>
      </c>
      <c r="I38" s="157">
        <v>52</v>
      </c>
      <c r="K38" s="76"/>
    </row>
    <row r="39" spans="3:11" ht="16.5" customHeight="1" thickBot="1" x14ac:dyDescent="0.25">
      <c r="C39" s="75"/>
      <c r="E39" s="194"/>
      <c r="F39" s="94" t="s">
        <v>16</v>
      </c>
      <c r="G39" s="158">
        <v>188</v>
      </c>
      <c r="H39" s="158">
        <v>36</v>
      </c>
      <c r="I39" s="158">
        <v>42</v>
      </c>
      <c r="K39" s="76"/>
    </row>
    <row r="40" spans="3:11" x14ac:dyDescent="0.2">
      <c r="C40" s="75"/>
      <c r="E40" s="192">
        <f>IF(F18&gt;0,F18,"")</f>
        <v>2</v>
      </c>
      <c r="F40" s="92" t="s">
        <v>12</v>
      </c>
      <c r="G40" s="156">
        <v>195</v>
      </c>
      <c r="H40" s="157">
        <v>156</v>
      </c>
      <c r="I40" s="157">
        <v>161</v>
      </c>
      <c r="K40" s="76"/>
    </row>
    <row r="41" spans="3:11" ht="15.75" customHeight="1" x14ac:dyDescent="0.2">
      <c r="C41" s="75"/>
      <c r="E41" s="193"/>
      <c r="F41" s="93" t="s">
        <v>13</v>
      </c>
      <c r="G41" s="156">
        <v>201</v>
      </c>
      <c r="H41" s="157">
        <v>133</v>
      </c>
      <c r="I41" s="157">
        <v>152</v>
      </c>
      <c r="K41" s="76"/>
    </row>
    <row r="42" spans="3:11" ht="15.75" customHeight="1" x14ac:dyDescent="0.2">
      <c r="C42" s="75"/>
      <c r="E42" s="193"/>
      <c r="F42" s="93" t="s">
        <v>14</v>
      </c>
      <c r="G42" s="156">
        <v>216</v>
      </c>
      <c r="H42" s="157">
        <v>69</v>
      </c>
      <c r="I42" s="157">
        <v>108</v>
      </c>
      <c r="K42" s="76"/>
    </row>
    <row r="43" spans="3:11" ht="15.75" customHeight="1" x14ac:dyDescent="0.2">
      <c r="C43" s="75"/>
      <c r="E43" s="193"/>
      <c r="F43" s="93" t="s">
        <v>15</v>
      </c>
      <c r="G43" s="156">
        <v>216</v>
      </c>
      <c r="H43" s="157">
        <v>40</v>
      </c>
      <c r="I43" s="157">
        <v>58</v>
      </c>
      <c r="K43" s="76"/>
    </row>
    <row r="44" spans="3:11" ht="16.5" customHeight="1" thickBot="1" x14ac:dyDescent="0.25">
      <c r="C44" s="75"/>
      <c r="E44" s="194"/>
      <c r="F44" s="94" t="s">
        <v>16</v>
      </c>
      <c r="G44" s="158">
        <v>194</v>
      </c>
      <c r="H44" s="158">
        <v>41</v>
      </c>
      <c r="I44" s="158">
        <v>46</v>
      </c>
      <c r="K44" s="76"/>
    </row>
    <row r="45" spans="3:11" x14ac:dyDescent="0.2">
      <c r="C45" s="75"/>
      <c r="E45" s="192">
        <f>IF(F19&gt;0,F19,"")</f>
        <v>4</v>
      </c>
      <c r="F45" s="92" t="s">
        <v>12</v>
      </c>
      <c r="G45" s="156">
        <v>188</v>
      </c>
      <c r="H45" s="157">
        <v>146</v>
      </c>
      <c r="I45" s="157">
        <v>156</v>
      </c>
      <c r="K45" s="76"/>
    </row>
    <row r="46" spans="3:11" ht="15.75" customHeight="1" x14ac:dyDescent="0.2">
      <c r="C46" s="75"/>
      <c r="E46" s="193"/>
      <c r="F46" s="93" t="s">
        <v>13</v>
      </c>
      <c r="G46" s="156">
        <v>195</v>
      </c>
      <c r="H46" s="157">
        <v>125</v>
      </c>
      <c r="I46" s="157">
        <v>146</v>
      </c>
      <c r="K46" s="76"/>
    </row>
    <row r="47" spans="3:11" ht="15.75" customHeight="1" x14ac:dyDescent="0.2">
      <c r="C47" s="75"/>
      <c r="E47" s="193"/>
      <c r="F47" s="93" t="s">
        <v>14</v>
      </c>
      <c r="G47" s="156">
        <v>210</v>
      </c>
      <c r="H47" s="157">
        <v>63</v>
      </c>
      <c r="I47" s="157">
        <v>101</v>
      </c>
      <c r="K47" s="76"/>
    </row>
    <row r="48" spans="3:11" ht="15.75" customHeight="1" x14ac:dyDescent="0.2">
      <c r="C48" s="75"/>
      <c r="E48" s="193"/>
      <c r="F48" s="93" t="s">
        <v>15</v>
      </c>
      <c r="G48" s="156">
        <v>209</v>
      </c>
      <c r="H48" s="157">
        <v>35</v>
      </c>
      <c r="I48" s="157">
        <v>52</v>
      </c>
      <c r="K48" s="76"/>
    </row>
    <row r="49" spans="3:11" ht="16.5" customHeight="1" thickBot="1" x14ac:dyDescent="0.25">
      <c r="C49" s="75"/>
      <c r="E49" s="194"/>
      <c r="F49" s="94" t="s">
        <v>16</v>
      </c>
      <c r="G49" s="158">
        <v>188</v>
      </c>
      <c r="H49" s="158">
        <v>37</v>
      </c>
      <c r="I49" s="158">
        <v>42</v>
      </c>
      <c r="K49" s="76"/>
    </row>
    <row r="50" spans="3:11" x14ac:dyDescent="0.2">
      <c r="C50" s="75"/>
      <c r="E50" s="192">
        <f>IF(F20&gt;0,F20,"")</f>
        <v>8</v>
      </c>
      <c r="F50" s="92" t="s">
        <v>12</v>
      </c>
      <c r="G50" s="156">
        <v>189</v>
      </c>
      <c r="H50" s="157">
        <v>151</v>
      </c>
      <c r="I50" s="157">
        <v>160</v>
      </c>
      <c r="K50" s="76"/>
    </row>
    <row r="51" spans="3:11" ht="15.75" customHeight="1" x14ac:dyDescent="0.2">
      <c r="C51" s="75"/>
      <c r="E51" s="193"/>
      <c r="F51" s="93" t="s">
        <v>13</v>
      </c>
      <c r="G51" s="156">
        <v>199</v>
      </c>
      <c r="H51" s="157">
        <v>130</v>
      </c>
      <c r="I51" s="157">
        <v>152</v>
      </c>
      <c r="K51" s="76"/>
    </row>
    <row r="52" spans="3:11" ht="15.75" customHeight="1" x14ac:dyDescent="0.2">
      <c r="C52" s="75"/>
      <c r="E52" s="193"/>
      <c r="F52" s="93" t="s">
        <v>14</v>
      </c>
      <c r="G52" s="156">
        <v>215</v>
      </c>
      <c r="H52" s="157">
        <v>69</v>
      </c>
      <c r="I52" s="157">
        <v>108</v>
      </c>
      <c r="K52" s="76"/>
    </row>
    <row r="53" spans="3:11" ht="15.75" customHeight="1" x14ac:dyDescent="0.2">
      <c r="C53" s="75"/>
      <c r="E53" s="193"/>
      <c r="F53" s="93" t="s">
        <v>15</v>
      </c>
      <c r="G53" s="156">
        <v>217</v>
      </c>
      <c r="H53" s="157">
        <v>39</v>
      </c>
      <c r="I53" s="157">
        <v>64</v>
      </c>
      <c r="K53" s="76"/>
    </row>
    <row r="54" spans="3:11" ht="16.5" customHeight="1" thickBot="1" x14ac:dyDescent="0.25">
      <c r="C54" s="75"/>
      <c r="E54" s="194"/>
      <c r="F54" s="94" t="s">
        <v>16</v>
      </c>
      <c r="G54" s="158">
        <v>197</v>
      </c>
      <c r="H54" s="158">
        <v>42</v>
      </c>
      <c r="I54" s="158">
        <v>52</v>
      </c>
      <c r="K54" s="76"/>
    </row>
    <row r="55" spans="3:11" x14ac:dyDescent="0.2">
      <c r="C55" s="75"/>
      <c r="E55" s="192">
        <f>IF(F21&gt;0,F21,"")</f>
        <v>16</v>
      </c>
      <c r="F55" s="92" t="s">
        <v>12</v>
      </c>
      <c r="G55" s="156">
        <v>168</v>
      </c>
      <c r="H55" s="156">
        <v>129</v>
      </c>
      <c r="I55" s="156">
        <v>140</v>
      </c>
      <c r="K55" s="76"/>
    </row>
    <row r="56" spans="3:11" ht="15.75" customHeight="1" x14ac:dyDescent="0.2">
      <c r="C56" s="75"/>
      <c r="E56" s="193"/>
      <c r="F56" s="93" t="s">
        <v>13</v>
      </c>
      <c r="G56" s="156">
        <v>177</v>
      </c>
      <c r="H56" s="156">
        <v>110</v>
      </c>
      <c r="I56" s="156">
        <v>130</v>
      </c>
      <c r="K56" s="76"/>
    </row>
    <row r="57" spans="3:11" ht="15.75" customHeight="1" x14ac:dyDescent="0.2">
      <c r="C57" s="75"/>
      <c r="E57" s="193"/>
      <c r="F57" s="93" t="s">
        <v>14</v>
      </c>
      <c r="G57" s="156">
        <v>190</v>
      </c>
      <c r="H57" s="156">
        <v>53</v>
      </c>
      <c r="I57" s="156">
        <v>87</v>
      </c>
      <c r="K57" s="76"/>
    </row>
    <row r="58" spans="3:11" ht="15.75" customHeight="1" x14ac:dyDescent="0.2">
      <c r="C58" s="75"/>
      <c r="E58" s="193"/>
      <c r="F58" s="93" t="s">
        <v>15</v>
      </c>
      <c r="G58" s="156">
        <v>189</v>
      </c>
      <c r="H58" s="156">
        <v>34</v>
      </c>
      <c r="I58" s="156">
        <v>45</v>
      </c>
      <c r="K58" s="76"/>
    </row>
    <row r="59" spans="3:11" ht="16.5" customHeight="1" thickBot="1" x14ac:dyDescent="0.25">
      <c r="C59" s="75"/>
      <c r="E59" s="194"/>
      <c r="F59" s="94" t="s">
        <v>16</v>
      </c>
      <c r="G59" s="156">
        <v>171</v>
      </c>
      <c r="H59" s="156">
        <v>32</v>
      </c>
      <c r="I59" s="156">
        <v>36</v>
      </c>
      <c r="K59" s="76"/>
    </row>
    <row r="60" spans="3:11" x14ac:dyDescent="0.2">
      <c r="C60" s="75"/>
      <c r="E60" s="192" t="str">
        <f>IF(F22&gt;0,F22,"")</f>
        <v/>
      </c>
      <c r="F60" s="92" t="s">
        <v>12</v>
      </c>
      <c r="G60" s="156"/>
      <c r="H60" s="156"/>
      <c r="I60" s="156"/>
      <c r="K60" s="76"/>
    </row>
    <row r="61" spans="3:11" ht="15.75" customHeight="1" x14ac:dyDescent="0.2">
      <c r="C61" s="75"/>
      <c r="E61" s="193"/>
      <c r="F61" s="93" t="s">
        <v>13</v>
      </c>
      <c r="G61" s="156"/>
      <c r="H61" s="156"/>
      <c r="I61" s="156"/>
      <c r="K61" s="76"/>
    </row>
    <row r="62" spans="3:11" ht="15.75" customHeight="1" x14ac:dyDescent="0.2">
      <c r="C62" s="75"/>
      <c r="E62" s="193"/>
      <c r="F62" s="93" t="s">
        <v>14</v>
      </c>
      <c r="G62" s="156"/>
      <c r="H62" s="156"/>
      <c r="I62" s="156"/>
      <c r="K62" s="76"/>
    </row>
    <row r="63" spans="3:11" ht="15.75" customHeight="1" x14ac:dyDescent="0.2">
      <c r="C63" s="75"/>
      <c r="E63" s="193"/>
      <c r="F63" s="93" t="s">
        <v>15</v>
      </c>
      <c r="G63" s="156"/>
      <c r="H63" s="156"/>
      <c r="I63" s="156"/>
      <c r="K63" s="76"/>
    </row>
    <row r="64" spans="3:11" ht="16.5" customHeight="1" thickBot="1" x14ac:dyDescent="0.25">
      <c r="C64" s="75"/>
      <c r="E64" s="194"/>
      <c r="F64" s="94" t="s">
        <v>16</v>
      </c>
      <c r="G64" s="156"/>
      <c r="H64" s="156"/>
      <c r="I64" s="156"/>
      <c r="K64" s="76"/>
    </row>
    <row r="65" spans="3:11" ht="17" thickBot="1" x14ac:dyDescent="0.25">
      <c r="C65" s="84"/>
      <c r="D65" s="85"/>
      <c r="E65" s="85"/>
      <c r="F65" s="85"/>
      <c r="G65" s="85"/>
      <c r="H65" s="85"/>
      <c r="I65" s="85"/>
      <c r="J65" s="85"/>
      <c r="K65" s="86"/>
    </row>
    <row r="66" spans="3:11" ht="17" thickBot="1" x14ac:dyDescent="0.25"/>
    <row r="67" spans="3:11" x14ac:dyDescent="0.2">
      <c r="C67" s="68"/>
      <c r="D67" s="70"/>
      <c r="E67" s="70"/>
      <c r="F67" s="70"/>
      <c r="G67" s="70"/>
      <c r="H67" s="70"/>
      <c r="I67" s="70"/>
      <c r="J67" s="70"/>
      <c r="K67" s="87"/>
    </row>
    <row r="68" spans="3:11" x14ac:dyDescent="0.2">
      <c r="C68" s="75"/>
      <c r="E68" s="191" t="s">
        <v>46</v>
      </c>
      <c r="F68" s="191"/>
      <c r="G68" s="191"/>
      <c r="H68" s="191"/>
      <c r="I68" s="191"/>
      <c r="K68" s="76"/>
    </row>
    <row r="69" spans="3:11" x14ac:dyDescent="0.2">
      <c r="C69" s="75"/>
      <c r="K69" s="76"/>
    </row>
    <row r="70" spans="3:11" ht="34" x14ac:dyDescent="0.2">
      <c r="C70" s="75"/>
      <c r="F70" s="1" t="s">
        <v>41</v>
      </c>
      <c r="G70" s="4" t="s">
        <v>44</v>
      </c>
      <c r="H70" s="4" t="s">
        <v>45</v>
      </c>
      <c r="K70" s="76"/>
    </row>
    <row r="71" spans="3:11" x14ac:dyDescent="0.2">
      <c r="C71" s="75"/>
      <c r="F71" s="2">
        <f>+F16</f>
        <v>0.5</v>
      </c>
      <c r="G71" s="129">
        <v>13.72</v>
      </c>
      <c r="H71" s="95">
        <f>IF(G71&gt;0,POWER((10/G71),2),0)</f>
        <v>0.53124123451963035</v>
      </c>
      <c r="K71" s="76"/>
    </row>
    <row r="72" spans="3:11" x14ac:dyDescent="0.2">
      <c r="C72" s="75"/>
      <c r="F72" s="2">
        <f t="shared" ref="F72:F77" si="2">+F17</f>
        <v>1</v>
      </c>
      <c r="G72" s="129">
        <v>9.32</v>
      </c>
      <c r="H72" s="95">
        <f t="shared" ref="H72:H77" si="3">IF(G72&gt;0,POWER((10/G72),2),0)</f>
        <v>1.151246108788152</v>
      </c>
      <c r="K72" s="76"/>
    </row>
    <row r="73" spans="3:11" x14ac:dyDescent="0.2">
      <c r="C73" s="75"/>
      <c r="F73" s="2">
        <f t="shared" si="2"/>
        <v>2</v>
      </c>
      <c r="G73" s="129">
        <v>9.2100000000000009</v>
      </c>
      <c r="H73" s="95">
        <f t="shared" si="3"/>
        <v>1.1789102389533159</v>
      </c>
      <c r="K73" s="76"/>
    </row>
    <row r="74" spans="3:11" x14ac:dyDescent="0.2">
      <c r="C74" s="75"/>
      <c r="F74" s="2">
        <f t="shared" si="2"/>
        <v>4</v>
      </c>
      <c r="G74" s="129">
        <v>9.34</v>
      </c>
      <c r="H74" s="95">
        <f t="shared" si="3"/>
        <v>1.1463209973909736</v>
      </c>
      <c r="K74" s="76"/>
    </row>
    <row r="75" spans="3:11" x14ac:dyDescent="0.2">
      <c r="C75" s="75"/>
      <c r="F75" s="2">
        <f t="shared" si="2"/>
        <v>8</v>
      </c>
      <c r="G75" s="129">
        <v>9.3000000000000007</v>
      </c>
      <c r="H75" s="95">
        <f t="shared" si="3"/>
        <v>1.1562030292519365</v>
      </c>
      <c r="K75" s="76"/>
    </row>
    <row r="76" spans="3:11" x14ac:dyDescent="0.2">
      <c r="C76" s="75"/>
      <c r="F76" s="2">
        <f t="shared" si="2"/>
        <v>16</v>
      </c>
      <c r="G76" s="116">
        <v>9.1999999999999993</v>
      </c>
      <c r="H76" s="95">
        <f t="shared" si="3"/>
        <v>1.1814744801512291</v>
      </c>
      <c r="K76" s="76"/>
    </row>
    <row r="77" spans="3:11" x14ac:dyDescent="0.2">
      <c r="C77" s="75"/>
      <c r="F77" s="2">
        <f t="shared" si="2"/>
        <v>0</v>
      </c>
      <c r="G77" s="116"/>
      <c r="H77" s="95">
        <f t="shared" si="3"/>
        <v>0</v>
      </c>
      <c r="K77" s="76"/>
    </row>
    <row r="78" spans="3:11" ht="17" thickBot="1" x14ac:dyDescent="0.25">
      <c r="C78" s="84"/>
      <c r="D78" s="85"/>
      <c r="E78" s="85"/>
      <c r="F78" s="85"/>
      <c r="G78" s="85"/>
      <c r="H78" s="85"/>
      <c r="I78" s="85"/>
      <c r="J78" s="85"/>
      <c r="K78" s="86"/>
    </row>
    <row r="80" spans="3:11" ht="17" thickBot="1" x14ac:dyDescent="0.25"/>
    <row r="81" spans="3:11" x14ac:dyDescent="0.2">
      <c r="C81" s="68"/>
      <c r="D81" s="70"/>
      <c r="E81" s="70"/>
      <c r="F81" s="70"/>
      <c r="G81" s="70"/>
      <c r="H81" s="70"/>
      <c r="I81" s="70"/>
      <c r="J81" s="70"/>
      <c r="K81" s="87"/>
    </row>
    <row r="82" spans="3:11" x14ac:dyDescent="0.2">
      <c r="C82" s="75"/>
      <c r="D82" s="73"/>
      <c r="E82" s="195" t="s">
        <v>47</v>
      </c>
      <c r="F82" s="195"/>
      <c r="G82" s="195"/>
      <c r="H82" s="195"/>
      <c r="I82" s="195"/>
      <c r="K82" s="76"/>
    </row>
    <row r="83" spans="3:11" x14ac:dyDescent="0.2">
      <c r="C83" s="75"/>
      <c r="D83" s="96"/>
      <c r="E83" s="195"/>
      <c r="F83" s="195"/>
      <c r="G83" s="195"/>
      <c r="H83" s="195"/>
      <c r="I83" s="195"/>
      <c r="J83" s="96"/>
      <c r="K83" s="76"/>
    </row>
    <row r="84" spans="3:11" ht="17" thickBot="1" x14ac:dyDescent="0.25">
      <c r="C84" s="75"/>
      <c r="D84" s="113"/>
      <c r="E84" s="73"/>
      <c r="F84" s="73"/>
      <c r="G84" s="73"/>
      <c r="H84" s="73"/>
      <c r="I84" s="73"/>
      <c r="J84" s="73"/>
      <c r="K84" s="74"/>
    </row>
    <row r="85" spans="3:11" s="97" customFormat="1" ht="20" thickBot="1" x14ac:dyDescent="0.25">
      <c r="C85" s="98"/>
      <c r="D85" s="99" t="s">
        <v>40</v>
      </c>
      <c r="E85" s="100" t="s">
        <v>48</v>
      </c>
      <c r="F85" s="101" t="s">
        <v>21</v>
      </c>
      <c r="G85" s="90" t="s">
        <v>0</v>
      </c>
      <c r="H85" s="90" t="s">
        <v>1</v>
      </c>
      <c r="I85" s="91" t="s">
        <v>2</v>
      </c>
      <c r="J85" s="102"/>
      <c r="K85" s="103"/>
    </row>
    <row r="86" spans="3:11" x14ac:dyDescent="0.2">
      <c r="C86" s="75"/>
      <c r="D86" s="104">
        <f>$F$16</f>
        <v>0.5</v>
      </c>
      <c r="E86" s="105">
        <f>+E17</f>
        <v>2</v>
      </c>
      <c r="F86" s="130">
        <v>0</v>
      </c>
      <c r="G86" s="133">
        <v>0</v>
      </c>
      <c r="H86" s="133">
        <v>0</v>
      </c>
      <c r="I86" s="133">
        <v>0</v>
      </c>
      <c r="K86" s="76"/>
    </row>
    <row r="87" spans="3:11" x14ac:dyDescent="0.2">
      <c r="C87" s="75"/>
      <c r="D87" s="106">
        <f t="shared" ref="D87:D91" si="4">+$F$16</f>
        <v>0.5</v>
      </c>
      <c r="E87" s="107">
        <f t="shared" ref="E87:E91" si="5">+E18</f>
        <v>3</v>
      </c>
      <c r="F87" s="133">
        <v>0</v>
      </c>
      <c r="G87" s="133">
        <v>0</v>
      </c>
      <c r="H87" s="133">
        <v>0</v>
      </c>
      <c r="I87" s="133">
        <v>0</v>
      </c>
      <c r="K87" s="76"/>
    </row>
    <row r="88" spans="3:11" x14ac:dyDescent="0.2">
      <c r="C88" s="75"/>
      <c r="D88" s="106">
        <f t="shared" si="4"/>
        <v>0.5</v>
      </c>
      <c r="E88" s="107">
        <f t="shared" si="5"/>
        <v>4</v>
      </c>
      <c r="F88" s="133">
        <v>122.6</v>
      </c>
      <c r="G88" s="129">
        <v>185</v>
      </c>
      <c r="H88" s="129">
        <v>80</v>
      </c>
      <c r="I88" s="134">
        <v>75</v>
      </c>
      <c r="K88" s="76"/>
    </row>
    <row r="89" spans="3:11" x14ac:dyDescent="0.2">
      <c r="C89" s="75"/>
      <c r="D89" s="106">
        <f t="shared" si="4"/>
        <v>0.5</v>
      </c>
      <c r="E89" s="107">
        <f t="shared" si="5"/>
        <v>5</v>
      </c>
      <c r="F89" s="133">
        <v>44.72</v>
      </c>
      <c r="G89" s="129">
        <v>175</v>
      </c>
      <c r="H89" s="129">
        <v>118</v>
      </c>
      <c r="I89" s="134">
        <v>89</v>
      </c>
      <c r="K89" s="76"/>
    </row>
    <row r="90" spans="3:11" x14ac:dyDescent="0.2">
      <c r="C90" s="75"/>
      <c r="D90" s="106">
        <f t="shared" si="4"/>
        <v>0.5</v>
      </c>
      <c r="E90" s="107">
        <f t="shared" si="5"/>
        <v>6</v>
      </c>
      <c r="F90" s="133"/>
      <c r="G90" s="129"/>
      <c r="H90" s="129"/>
      <c r="I90" s="134"/>
      <c r="K90" s="76"/>
    </row>
    <row r="91" spans="3:11" ht="17" thickBot="1" x14ac:dyDescent="0.25">
      <c r="C91" s="75"/>
      <c r="D91" s="108">
        <f t="shared" si="4"/>
        <v>0.5</v>
      </c>
      <c r="E91" s="109">
        <f t="shared" si="5"/>
        <v>7</v>
      </c>
      <c r="F91" s="135"/>
      <c r="G91" s="136"/>
      <c r="H91" s="136"/>
      <c r="I91" s="137"/>
      <c r="K91" s="76"/>
    </row>
    <row r="92" spans="3:11" x14ac:dyDescent="0.2">
      <c r="C92" s="75"/>
      <c r="D92" s="104">
        <f>+$F$17</f>
        <v>1</v>
      </c>
      <c r="E92" s="110">
        <f>+E17</f>
        <v>2</v>
      </c>
      <c r="F92" s="130">
        <v>84.82</v>
      </c>
      <c r="G92" s="131">
        <v>153</v>
      </c>
      <c r="H92" s="131">
        <v>72</v>
      </c>
      <c r="I92" s="132">
        <v>68</v>
      </c>
      <c r="K92" s="76"/>
    </row>
    <row r="93" spans="3:11" x14ac:dyDescent="0.2">
      <c r="C93" s="75"/>
      <c r="D93" s="106">
        <f t="shared" ref="D93:D97" si="6">+$F$17</f>
        <v>1</v>
      </c>
      <c r="E93" s="111">
        <f t="shared" ref="E93:E97" si="7">+E18</f>
        <v>3</v>
      </c>
      <c r="F93" s="133">
        <v>117.12</v>
      </c>
      <c r="G93" s="129">
        <v>163</v>
      </c>
      <c r="H93" s="129">
        <v>90</v>
      </c>
      <c r="I93" s="134">
        <v>76</v>
      </c>
      <c r="K93" s="76"/>
    </row>
    <row r="94" spans="3:11" x14ac:dyDescent="0.2">
      <c r="C94" s="75"/>
      <c r="D94" s="106">
        <f t="shared" si="6"/>
        <v>1</v>
      </c>
      <c r="E94" s="111">
        <f t="shared" si="7"/>
        <v>4</v>
      </c>
      <c r="F94" s="133">
        <v>56.22</v>
      </c>
      <c r="G94" s="129">
        <v>190</v>
      </c>
      <c r="H94" s="129">
        <v>96</v>
      </c>
      <c r="I94" s="134">
        <v>94</v>
      </c>
      <c r="K94" s="76"/>
    </row>
    <row r="95" spans="3:11" x14ac:dyDescent="0.2">
      <c r="C95" s="75"/>
      <c r="D95" s="106">
        <f t="shared" si="6"/>
        <v>1</v>
      </c>
      <c r="E95" s="111">
        <f t="shared" si="7"/>
        <v>5</v>
      </c>
      <c r="F95" s="133">
        <v>76.38</v>
      </c>
      <c r="G95" s="129">
        <v>191</v>
      </c>
      <c r="H95" s="129">
        <v>95</v>
      </c>
      <c r="I95" s="134">
        <v>93</v>
      </c>
      <c r="K95" s="76"/>
    </row>
    <row r="96" spans="3:11" x14ac:dyDescent="0.2">
      <c r="C96" s="75"/>
      <c r="D96" s="106">
        <f t="shared" si="6"/>
        <v>1</v>
      </c>
      <c r="E96" s="111">
        <f t="shared" si="7"/>
        <v>6</v>
      </c>
      <c r="F96" s="133"/>
      <c r="G96" s="129"/>
      <c r="H96" s="129"/>
      <c r="I96" s="134"/>
      <c r="K96" s="76"/>
    </row>
    <row r="97" spans="3:11" ht="17" thickBot="1" x14ac:dyDescent="0.25">
      <c r="C97" s="75"/>
      <c r="D97" s="108">
        <f t="shared" si="6"/>
        <v>1</v>
      </c>
      <c r="E97" s="112">
        <f t="shared" si="7"/>
        <v>7</v>
      </c>
      <c r="F97" s="135"/>
      <c r="G97" s="136"/>
      <c r="H97" s="136"/>
      <c r="I97" s="137"/>
      <c r="K97" s="76"/>
    </row>
    <row r="98" spans="3:11" x14ac:dyDescent="0.2">
      <c r="C98" s="75"/>
      <c r="D98" s="104">
        <f>+$F$18</f>
        <v>2</v>
      </c>
      <c r="E98" s="105">
        <f>+E17</f>
        <v>2</v>
      </c>
      <c r="F98" s="130">
        <v>114.18</v>
      </c>
      <c r="G98" s="131">
        <v>173</v>
      </c>
      <c r="H98" s="131">
        <v>61</v>
      </c>
      <c r="I98" s="132">
        <v>45</v>
      </c>
      <c r="K98" s="76"/>
    </row>
    <row r="99" spans="3:11" x14ac:dyDescent="0.2">
      <c r="C99" s="75"/>
      <c r="D99" s="106">
        <f t="shared" ref="D99:D103" si="8">+$F$18</f>
        <v>2</v>
      </c>
      <c r="E99" s="107">
        <f t="shared" ref="E99:E103" si="9">+E18</f>
        <v>3</v>
      </c>
      <c r="F99" s="133">
        <v>36.299999999999997</v>
      </c>
      <c r="G99" s="129">
        <v>177</v>
      </c>
      <c r="H99" s="129">
        <v>85</v>
      </c>
      <c r="I99" s="134">
        <v>68</v>
      </c>
      <c r="K99" s="76"/>
    </row>
    <row r="100" spans="3:11" x14ac:dyDescent="0.2">
      <c r="C100" s="75"/>
      <c r="D100" s="106">
        <f t="shared" si="8"/>
        <v>2</v>
      </c>
      <c r="E100" s="107">
        <f t="shared" si="9"/>
        <v>4</v>
      </c>
      <c r="F100" s="133">
        <v>140.44999999999999</v>
      </c>
      <c r="G100" s="129">
        <v>161</v>
      </c>
      <c r="H100" s="129">
        <v>72</v>
      </c>
      <c r="I100" s="134">
        <v>59</v>
      </c>
      <c r="K100" s="76"/>
    </row>
    <row r="101" spans="3:11" x14ac:dyDescent="0.2">
      <c r="C101" s="75"/>
      <c r="D101" s="106">
        <f t="shared" si="8"/>
        <v>2</v>
      </c>
      <c r="E101" s="107">
        <f t="shared" si="9"/>
        <v>5</v>
      </c>
      <c r="F101" s="133">
        <v>93.23</v>
      </c>
      <c r="G101" s="129">
        <v>157</v>
      </c>
      <c r="H101" s="129">
        <v>72</v>
      </c>
      <c r="I101" s="134">
        <v>61</v>
      </c>
      <c r="K101" s="76"/>
    </row>
    <row r="102" spans="3:11" x14ac:dyDescent="0.2">
      <c r="C102" s="75"/>
      <c r="D102" s="106">
        <f t="shared" si="8"/>
        <v>2</v>
      </c>
      <c r="E102" s="107">
        <f t="shared" si="9"/>
        <v>6</v>
      </c>
      <c r="F102" s="133"/>
      <c r="G102" s="129"/>
      <c r="H102" s="129"/>
      <c r="I102" s="134"/>
      <c r="K102" s="76"/>
    </row>
    <row r="103" spans="3:11" ht="17" thickBot="1" x14ac:dyDescent="0.25">
      <c r="C103" s="75"/>
      <c r="D103" s="108">
        <f t="shared" si="8"/>
        <v>2</v>
      </c>
      <c r="E103" s="109">
        <f t="shared" si="9"/>
        <v>7</v>
      </c>
      <c r="F103" s="135"/>
      <c r="G103" s="136"/>
      <c r="H103" s="136"/>
      <c r="I103" s="137"/>
      <c r="K103" s="76"/>
    </row>
    <row r="104" spans="3:11" x14ac:dyDescent="0.2">
      <c r="C104" s="75"/>
      <c r="D104" s="104">
        <f>+$F$19</f>
        <v>4</v>
      </c>
      <c r="E104" s="110">
        <f>+E17</f>
        <v>2</v>
      </c>
      <c r="F104" s="130">
        <v>99.29</v>
      </c>
      <c r="G104" s="131">
        <v>97</v>
      </c>
      <c r="H104" s="131">
        <v>39</v>
      </c>
      <c r="I104" s="132">
        <v>31</v>
      </c>
      <c r="K104" s="76"/>
    </row>
    <row r="105" spans="3:11" x14ac:dyDescent="0.2">
      <c r="C105" s="75"/>
      <c r="D105" s="106">
        <f t="shared" ref="D105:D109" si="10">+$F$19</f>
        <v>4</v>
      </c>
      <c r="E105" s="111">
        <f t="shared" ref="E105:E109" si="11">+E18</f>
        <v>3</v>
      </c>
      <c r="F105" s="133">
        <v>79.39</v>
      </c>
      <c r="G105" s="129">
        <v>112</v>
      </c>
      <c r="H105" s="129">
        <v>51</v>
      </c>
      <c r="I105" s="134">
        <v>40</v>
      </c>
      <c r="K105" s="76"/>
    </row>
    <row r="106" spans="3:11" x14ac:dyDescent="0.2">
      <c r="C106" s="75"/>
      <c r="D106" s="106">
        <f t="shared" si="10"/>
        <v>4</v>
      </c>
      <c r="E106" s="111">
        <f t="shared" si="11"/>
        <v>4</v>
      </c>
      <c r="F106" s="133">
        <v>114.55</v>
      </c>
      <c r="G106" s="129">
        <v>105</v>
      </c>
      <c r="H106" s="129">
        <v>48</v>
      </c>
      <c r="I106" s="134">
        <v>39</v>
      </c>
      <c r="K106" s="76"/>
    </row>
    <row r="107" spans="3:11" x14ac:dyDescent="0.2">
      <c r="C107" s="75"/>
      <c r="D107" s="106">
        <f t="shared" si="10"/>
        <v>4</v>
      </c>
      <c r="E107" s="111">
        <f t="shared" si="11"/>
        <v>5</v>
      </c>
      <c r="F107" s="133">
        <v>63.49</v>
      </c>
      <c r="G107" s="129">
        <v>102</v>
      </c>
      <c r="H107" s="129">
        <v>59</v>
      </c>
      <c r="I107" s="134">
        <v>49</v>
      </c>
      <c r="K107" s="76"/>
    </row>
    <row r="108" spans="3:11" x14ac:dyDescent="0.2">
      <c r="C108" s="75"/>
      <c r="D108" s="106">
        <f t="shared" si="10"/>
        <v>4</v>
      </c>
      <c r="E108" s="111">
        <f t="shared" si="11"/>
        <v>6</v>
      </c>
      <c r="F108" s="133"/>
      <c r="G108" s="129"/>
      <c r="H108" s="129"/>
      <c r="I108" s="134"/>
      <c r="K108" s="76"/>
    </row>
    <row r="109" spans="3:11" ht="17" thickBot="1" x14ac:dyDescent="0.25">
      <c r="C109" s="75"/>
      <c r="D109" s="108">
        <f t="shared" si="10"/>
        <v>4</v>
      </c>
      <c r="E109" s="112">
        <f t="shared" si="11"/>
        <v>7</v>
      </c>
      <c r="F109" s="135"/>
      <c r="G109" s="136"/>
      <c r="H109" s="136"/>
      <c r="I109" s="137"/>
      <c r="K109" s="76"/>
    </row>
    <row r="110" spans="3:11" x14ac:dyDescent="0.2">
      <c r="C110" s="75"/>
      <c r="D110" s="104">
        <f t="shared" ref="D110:D115" si="12">+$F$20</f>
        <v>8</v>
      </c>
      <c r="E110" s="105">
        <f>+E17</f>
        <v>2</v>
      </c>
      <c r="F110" s="130">
        <v>153.21</v>
      </c>
      <c r="G110" s="131">
        <v>115</v>
      </c>
      <c r="H110" s="131">
        <v>36</v>
      </c>
      <c r="I110" s="132">
        <v>30</v>
      </c>
      <c r="K110" s="76"/>
    </row>
    <row r="111" spans="3:11" x14ac:dyDescent="0.2">
      <c r="C111" s="75"/>
      <c r="D111" s="106">
        <f t="shared" si="12"/>
        <v>8</v>
      </c>
      <c r="E111" s="107">
        <f t="shared" ref="E111:E115" si="13">+E18</f>
        <v>3</v>
      </c>
      <c r="F111" s="133">
        <v>100.67</v>
      </c>
      <c r="G111" s="129">
        <v>117</v>
      </c>
      <c r="H111" s="129">
        <v>36</v>
      </c>
      <c r="I111" s="134">
        <v>30</v>
      </c>
      <c r="K111" s="76"/>
    </row>
    <row r="112" spans="3:11" x14ac:dyDescent="0.2">
      <c r="C112" s="75"/>
      <c r="D112" s="106">
        <f t="shared" si="12"/>
        <v>8</v>
      </c>
      <c r="E112" s="107">
        <f t="shared" si="13"/>
        <v>4</v>
      </c>
      <c r="F112" s="133">
        <v>128.86000000000001</v>
      </c>
      <c r="G112" s="129">
        <v>101</v>
      </c>
      <c r="H112" s="129">
        <v>34</v>
      </c>
      <c r="I112" s="134">
        <v>31</v>
      </c>
      <c r="K112" s="76"/>
    </row>
    <row r="113" spans="3:11" x14ac:dyDescent="0.2">
      <c r="C113" s="75"/>
      <c r="D113" s="106">
        <f t="shared" si="12"/>
        <v>8</v>
      </c>
      <c r="E113" s="107">
        <f t="shared" si="13"/>
        <v>5</v>
      </c>
      <c r="F113" s="133">
        <v>154.55000000000001</v>
      </c>
      <c r="G113" s="129">
        <v>95</v>
      </c>
      <c r="H113" s="129">
        <v>31</v>
      </c>
      <c r="I113" s="134">
        <v>29</v>
      </c>
      <c r="K113" s="76"/>
    </row>
    <row r="114" spans="3:11" x14ac:dyDescent="0.2">
      <c r="C114" s="75"/>
      <c r="D114" s="106">
        <f t="shared" si="12"/>
        <v>8</v>
      </c>
      <c r="E114" s="107">
        <f t="shared" si="13"/>
        <v>6</v>
      </c>
      <c r="F114" s="115"/>
      <c r="G114" s="116"/>
      <c r="H114" s="116"/>
      <c r="I114" s="117"/>
      <c r="K114" s="76"/>
    </row>
    <row r="115" spans="3:11" ht="17" thickBot="1" x14ac:dyDescent="0.25">
      <c r="C115" s="75"/>
      <c r="D115" s="108">
        <f t="shared" si="12"/>
        <v>8</v>
      </c>
      <c r="E115" s="109">
        <f t="shared" si="13"/>
        <v>7</v>
      </c>
      <c r="F115" s="118"/>
      <c r="G115" s="119"/>
      <c r="H115" s="119"/>
      <c r="I115" s="120"/>
      <c r="K115" s="76"/>
    </row>
    <row r="116" spans="3:11" x14ac:dyDescent="0.2">
      <c r="C116" s="75"/>
      <c r="D116" s="104">
        <f>+$F$21</f>
        <v>16</v>
      </c>
      <c r="E116" s="110">
        <f>+E17</f>
        <v>2</v>
      </c>
      <c r="F116" s="121">
        <v>208.14</v>
      </c>
      <c r="G116" s="122">
        <v>133</v>
      </c>
      <c r="H116" s="122">
        <v>27</v>
      </c>
      <c r="I116" s="123">
        <v>24</v>
      </c>
      <c r="K116" s="76"/>
    </row>
    <row r="117" spans="3:11" x14ac:dyDescent="0.2">
      <c r="C117" s="75"/>
      <c r="D117" s="106">
        <f t="shared" ref="D117:D121" si="14">+$F$21</f>
        <v>16</v>
      </c>
      <c r="E117" s="111">
        <f t="shared" ref="E117:E121" si="15">+E18</f>
        <v>3</v>
      </c>
      <c r="F117" s="124">
        <v>240.97</v>
      </c>
      <c r="G117" s="116">
        <v>76</v>
      </c>
      <c r="H117" s="116">
        <v>20</v>
      </c>
      <c r="I117" s="117">
        <v>20</v>
      </c>
      <c r="K117" s="76"/>
    </row>
    <row r="118" spans="3:11" x14ac:dyDescent="0.2">
      <c r="C118" s="75"/>
      <c r="D118" s="106">
        <f t="shared" si="14"/>
        <v>16</v>
      </c>
      <c r="E118" s="111">
        <f t="shared" si="15"/>
        <v>4</v>
      </c>
      <c r="F118" s="124">
        <v>193.26</v>
      </c>
      <c r="G118" s="116">
        <v>123</v>
      </c>
      <c r="H118" s="116">
        <v>27</v>
      </c>
      <c r="I118" s="117">
        <v>25</v>
      </c>
      <c r="K118" s="76"/>
    </row>
    <row r="119" spans="3:11" x14ac:dyDescent="0.2">
      <c r="C119" s="75"/>
      <c r="D119" s="106">
        <f t="shared" si="14"/>
        <v>16</v>
      </c>
      <c r="E119" s="111">
        <f t="shared" si="15"/>
        <v>5</v>
      </c>
      <c r="F119" s="124">
        <v>272.98</v>
      </c>
      <c r="G119" s="116">
        <v>132</v>
      </c>
      <c r="H119" s="116">
        <v>31</v>
      </c>
      <c r="I119" s="117">
        <v>26</v>
      </c>
      <c r="K119" s="76"/>
    </row>
    <row r="120" spans="3:11" x14ac:dyDescent="0.2">
      <c r="C120" s="75"/>
      <c r="D120" s="106">
        <f t="shared" si="14"/>
        <v>16</v>
      </c>
      <c r="E120" s="111">
        <f t="shared" si="15"/>
        <v>6</v>
      </c>
      <c r="F120" s="124"/>
      <c r="G120" s="116"/>
      <c r="H120" s="116"/>
      <c r="I120" s="117"/>
      <c r="K120" s="76"/>
    </row>
    <row r="121" spans="3:11" ht="17" thickBot="1" x14ac:dyDescent="0.25">
      <c r="C121" s="75"/>
      <c r="D121" s="108">
        <f t="shared" si="14"/>
        <v>16</v>
      </c>
      <c r="E121" s="112">
        <f t="shared" si="15"/>
        <v>7</v>
      </c>
      <c r="F121" s="125"/>
      <c r="G121" s="119"/>
      <c r="H121" s="119"/>
      <c r="I121" s="120"/>
      <c r="K121" s="76"/>
    </row>
    <row r="122" spans="3:11" x14ac:dyDescent="0.2">
      <c r="C122" s="75"/>
      <c r="D122" s="104">
        <f>+$F$22</f>
        <v>0</v>
      </c>
      <c r="E122" s="105">
        <f>+E17</f>
        <v>2</v>
      </c>
      <c r="F122" s="126"/>
      <c r="G122" s="127"/>
      <c r="H122" s="127"/>
      <c r="I122" s="128"/>
      <c r="K122" s="76"/>
    </row>
    <row r="123" spans="3:11" x14ac:dyDescent="0.2">
      <c r="C123" s="75"/>
      <c r="D123" s="106">
        <f t="shared" ref="D123:D127" si="16">+$F$22</f>
        <v>0</v>
      </c>
      <c r="E123" s="107">
        <f t="shared" ref="E123:E127" si="17">+E18</f>
        <v>3</v>
      </c>
      <c r="F123" s="115"/>
      <c r="G123" s="116"/>
      <c r="H123" s="116"/>
      <c r="I123" s="117"/>
      <c r="K123" s="76"/>
    </row>
    <row r="124" spans="3:11" x14ac:dyDescent="0.2">
      <c r="C124" s="75"/>
      <c r="D124" s="106">
        <f t="shared" si="16"/>
        <v>0</v>
      </c>
      <c r="E124" s="107">
        <f t="shared" si="17"/>
        <v>4</v>
      </c>
      <c r="F124" s="115"/>
      <c r="G124" s="116"/>
      <c r="H124" s="116"/>
      <c r="I124" s="117"/>
      <c r="K124" s="76"/>
    </row>
    <row r="125" spans="3:11" x14ac:dyDescent="0.2">
      <c r="C125" s="75"/>
      <c r="D125" s="106">
        <f t="shared" si="16"/>
        <v>0</v>
      </c>
      <c r="E125" s="107">
        <f t="shared" si="17"/>
        <v>5</v>
      </c>
      <c r="F125" s="115"/>
      <c r="G125" s="116"/>
      <c r="H125" s="116"/>
      <c r="I125" s="117"/>
      <c r="K125" s="76"/>
    </row>
    <row r="126" spans="3:11" x14ac:dyDescent="0.2">
      <c r="C126" s="75"/>
      <c r="D126" s="106">
        <f t="shared" si="16"/>
        <v>0</v>
      </c>
      <c r="E126" s="107">
        <f t="shared" si="17"/>
        <v>6</v>
      </c>
      <c r="F126" s="115"/>
      <c r="G126" s="116"/>
      <c r="H126" s="116"/>
      <c r="I126" s="117"/>
      <c r="K126" s="76"/>
    </row>
    <row r="127" spans="3:11" ht="17" thickBot="1" x14ac:dyDescent="0.25">
      <c r="C127" s="75"/>
      <c r="D127" s="108">
        <f t="shared" si="16"/>
        <v>0</v>
      </c>
      <c r="E127" s="109">
        <f t="shared" si="17"/>
        <v>7</v>
      </c>
      <c r="F127" s="118"/>
      <c r="G127" s="119"/>
      <c r="H127" s="119"/>
      <c r="I127" s="120"/>
      <c r="K127" s="76"/>
    </row>
    <row r="128" spans="3:11" ht="21.75" customHeight="1" thickBot="1" x14ac:dyDescent="0.25">
      <c r="C128" s="84"/>
      <c r="D128" s="85"/>
      <c r="E128" s="85"/>
      <c r="F128" s="85"/>
      <c r="G128" s="85"/>
      <c r="H128" s="85"/>
      <c r="I128" s="85"/>
      <c r="J128" s="85"/>
      <c r="K128" s="86"/>
    </row>
  </sheetData>
  <sheetProtection selectLockedCells="1" selectUnlockedCells="1"/>
  <mergeCells count="15">
    <mergeCell ref="E3:I3"/>
    <mergeCell ref="E60:E64"/>
    <mergeCell ref="E27:I27"/>
    <mergeCell ref="E82:I83"/>
    <mergeCell ref="E68:I68"/>
    <mergeCell ref="F7:G7"/>
    <mergeCell ref="F8:G8"/>
    <mergeCell ref="F9:G9"/>
    <mergeCell ref="F10:G10"/>
    <mergeCell ref="E30:E34"/>
    <mergeCell ref="E35:E39"/>
    <mergeCell ref="E40:E44"/>
    <mergeCell ref="E45:E49"/>
    <mergeCell ref="E50:E54"/>
    <mergeCell ref="E55:E59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DDCA-334E-438E-9D56-125B0C533582}">
  <dimension ref="A1:X33"/>
  <sheetViews>
    <sheetView zoomScale="82" zoomScaleNormal="85" workbookViewId="0">
      <selection activeCell="X22" sqref="X22"/>
    </sheetView>
  </sheetViews>
  <sheetFormatPr baseColWidth="10" defaultColWidth="8.83203125" defaultRowHeight="15" x14ac:dyDescent="0.2"/>
  <cols>
    <col min="1" max="1" width="8.1640625" bestFit="1" customWidth="1"/>
    <col min="2" max="2" width="5" customWidth="1"/>
    <col min="3" max="4" width="4" bestFit="1" customWidth="1"/>
    <col min="5" max="5" width="8" style="164" bestFit="1" customWidth="1"/>
    <col min="6" max="6" width="8.1640625" style="164" bestFit="1" customWidth="1"/>
    <col min="7" max="7" width="8" style="164" bestFit="1" customWidth="1"/>
    <col min="8" max="10" width="10.1640625" style="164" customWidth="1"/>
    <col min="11" max="11" width="10.1640625" style="164" bestFit="1" customWidth="1"/>
    <col min="14" max="14" width="8.1640625" bestFit="1" customWidth="1"/>
    <col min="15" max="17" width="4" bestFit="1" customWidth="1"/>
    <col min="18" max="18" width="8" style="164" bestFit="1" customWidth="1"/>
    <col min="19" max="19" width="8.1640625" style="164" bestFit="1" customWidth="1"/>
    <col min="20" max="20" width="8" style="164" bestFit="1" customWidth="1"/>
    <col min="21" max="23" width="10.1640625" style="164" customWidth="1"/>
    <col min="24" max="24" width="10.1640625" style="164" bestFit="1" customWidth="1"/>
  </cols>
  <sheetData>
    <row r="1" spans="1:24" ht="19" x14ac:dyDescent="0.25">
      <c r="A1" s="200" t="s">
        <v>75</v>
      </c>
      <c r="B1" s="200"/>
      <c r="C1" s="200"/>
      <c r="D1" s="200"/>
      <c r="E1" s="200"/>
      <c r="N1" s="200" t="s">
        <v>78</v>
      </c>
      <c r="O1" s="200"/>
      <c r="P1" s="200"/>
      <c r="Q1" s="200"/>
      <c r="R1" s="200"/>
    </row>
    <row r="2" spans="1:24" x14ac:dyDescent="0.2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161"/>
      <c r="M2" s="16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</row>
    <row r="3" spans="1:24" x14ac:dyDescent="0.2">
      <c r="A3" s="160" t="s">
        <v>66</v>
      </c>
      <c r="B3" s="160" t="s">
        <v>0</v>
      </c>
      <c r="C3" s="160" t="s">
        <v>1</v>
      </c>
      <c r="D3" s="160" t="s">
        <v>2</v>
      </c>
      <c r="E3" s="165" t="s">
        <v>67</v>
      </c>
      <c r="F3" s="165" t="s">
        <v>68</v>
      </c>
      <c r="G3" s="165" t="s">
        <v>69</v>
      </c>
      <c r="H3" s="165" t="s">
        <v>70</v>
      </c>
      <c r="I3" s="165" t="s">
        <v>71</v>
      </c>
      <c r="J3" s="165" t="s">
        <v>72</v>
      </c>
      <c r="K3" s="165" t="s">
        <v>73</v>
      </c>
      <c r="L3" s="161"/>
      <c r="M3" s="161"/>
      <c r="N3" s="160" t="s">
        <v>66</v>
      </c>
      <c r="O3" s="160" t="s">
        <v>0</v>
      </c>
      <c r="P3" s="160" t="s">
        <v>1</v>
      </c>
      <c r="Q3" s="160" t="s">
        <v>2</v>
      </c>
      <c r="R3" s="165" t="s">
        <v>67</v>
      </c>
      <c r="S3" s="165" t="s">
        <v>68</v>
      </c>
      <c r="T3" s="165" t="s">
        <v>69</v>
      </c>
      <c r="U3" s="165" t="s">
        <v>70</v>
      </c>
      <c r="V3" s="165" t="s">
        <v>71</v>
      </c>
      <c r="W3" s="165" t="s">
        <v>72</v>
      </c>
      <c r="X3" s="165" t="s">
        <v>73</v>
      </c>
    </row>
    <row r="4" spans="1:24" x14ac:dyDescent="0.2">
      <c r="A4" s="171" t="s">
        <v>12</v>
      </c>
      <c r="B4" s="166">
        <f>'ACTIVITY DATA'!G30</f>
        <v>191</v>
      </c>
      <c r="C4" s="166">
        <f>'ACTIVITY DATA'!H30</f>
        <v>150</v>
      </c>
      <c r="D4" s="166">
        <f>'ACTIVITY DATA'!I30</f>
        <v>150</v>
      </c>
      <c r="E4" s="167">
        <f>(B4/255)</f>
        <v>0.74901960784313726</v>
      </c>
      <c r="F4" s="167">
        <f>(C4/255)</f>
        <v>0.58823529411764708</v>
      </c>
      <c r="G4" s="167">
        <f>(D4/255)</f>
        <v>0.58823529411764708</v>
      </c>
      <c r="H4" s="167">
        <f>((E4+0.055)/(1.055))^2.4</f>
        <v>0.5209955732043543</v>
      </c>
      <c r="I4" s="167">
        <f>((F4+0.055)/(1.055))^2.4</f>
        <v>0.30498731406988622</v>
      </c>
      <c r="J4" s="167">
        <f>((G4+0.055)/(1.055))^2.4</f>
        <v>0.30498731406988622</v>
      </c>
      <c r="K4" s="167">
        <f>SUM((0.2126*H4)+(0.7152*I4)+(0.0722*J4))</f>
        <v>0.35091066996187409</v>
      </c>
      <c r="L4" s="161"/>
      <c r="M4" s="161"/>
      <c r="N4" s="171" t="s">
        <v>12</v>
      </c>
      <c r="O4" s="166">
        <f>'ACTIVITY DATA'!G45</f>
        <v>188</v>
      </c>
      <c r="P4" s="166">
        <f>'ACTIVITY DATA'!H45</f>
        <v>146</v>
      </c>
      <c r="Q4" s="166">
        <f>'ACTIVITY DATA'!I45</f>
        <v>156</v>
      </c>
      <c r="R4" s="167">
        <f>(O4/255)</f>
        <v>0.73725490196078436</v>
      </c>
      <c r="S4" s="167">
        <f>(P4/255)</f>
        <v>0.5725490196078431</v>
      </c>
      <c r="T4" s="167">
        <f>(Q4/255)</f>
        <v>0.61176470588235299</v>
      </c>
      <c r="U4" s="167">
        <f>((R4+0.055)/(1.055))^2.4</f>
        <v>0.50288645803256871</v>
      </c>
      <c r="V4" s="167">
        <f>((S4+0.055)/(1.055))^2.4</f>
        <v>0.28744083772691742</v>
      </c>
      <c r="W4" s="167">
        <f>((T4+0.055)/(1.055))^2.4</f>
        <v>0.33245153634617935</v>
      </c>
      <c r="X4" s="167">
        <f>SUM((0.2126*U4)+(0.7152*V4)+(0.0722*W4))</f>
        <v>0.33649434904420961</v>
      </c>
    </row>
    <row r="5" spans="1:24" x14ac:dyDescent="0.2">
      <c r="A5" s="171" t="s">
        <v>13</v>
      </c>
      <c r="B5" s="166">
        <f>('ACTIVITY DATA'!G31)</f>
        <v>200</v>
      </c>
      <c r="C5" s="166">
        <f>'ACTIVITY DATA'!H31</f>
        <v>129</v>
      </c>
      <c r="D5" s="166">
        <f>'ACTIVITY DATA'!I31</f>
        <v>145</v>
      </c>
      <c r="E5" s="167">
        <f>(B5/255)</f>
        <v>0.78431372549019607</v>
      </c>
      <c r="F5" s="167">
        <f t="shared" ref="F5:F8" si="0">(C5/255)</f>
        <v>0.50588235294117645</v>
      </c>
      <c r="G5" s="167">
        <f t="shared" ref="G5:G8" si="1">(D5/255)</f>
        <v>0.56862745098039214</v>
      </c>
      <c r="H5" s="167">
        <f t="shared" ref="H5:H8" si="2">((E5+0.055)/(1.055))^2.4</f>
        <v>0.57758044042965062</v>
      </c>
      <c r="I5" s="167">
        <f t="shared" ref="I5:I8" si="3">((F5+0.055)/(1.055))^2.4</f>
        <v>0.21952619972926918</v>
      </c>
      <c r="J5" s="167">
        <f t="shared" ref="J5:J8" si="4">((G5+0.055)/(1.055))^2.4</f>
        <v>0.28314874042999211</v>
      </c>
      <c r="K5" s="167">
        <f t="shared" ref="K5:K8" si="5">SUM((0.2126*H5)+(0.7152*I5)+(0.0722*J5))</f>
        <v>0.30024207874076247</v>
      </c>
      <c r="L5" s="161"/>
      <c r="M5" s="161"/>
      <c r="N5" s="171" t="s">
        <v>13</v>
      </c>
      <c r="O5" s="166">
        <f>'ACTIVITY DATA'!G46</f>
        <v>195</v>
      </c>
      <c r="P5" s="166">
        <f>'ACTIVITY DATA'!H46</f>
        <v>125</v>
      </c>
      <c r="Q5" s="166">
        <f>'ACTIVITY DATA'!I46</f>
        <v>146</v>
      </c>
      <c r="R5" s="167">
        <f t="shared" ref="R5:R8" si="6">(O5/255)</f>
        <v>0.76470588235294112</v>
      </c>
      <c r="S5" s="167">
        <f t="shared" ref="S5:S7" si="7">(P5/255)</f>
        <v>0.49019607843137253</v>
      </c>
      <c r="T5" s="167">
        <f t="shared" ref="T5:T7" si="8">(Q5/255)</f>
        <v>0.5725490196078431</v>
      </c>
      <c r="U5" s="167">
        <f t="shared" ref="U5:U8" si="9">((R5+0.055)/(1.055))^2.4</f>
        <v>0.5457244613701866</v>
      </c>
      <c r="V5" s="167">
        <f t="shared" ref="V5:V8" si="10">((S5+0.055)/(1.055))^2.4</f>
        <v>0.2050787363903169</v>
      </c>
      <c r="W5" s="167">
        <f t="shared" ref="W5:W8" si="11">((T5+0.055)/(1.055))^2.4</f>
        <v>0.28744083772691742</v>
      </c>
      <c r="X5" s="167">
        <f t="shared" ref="X5:X8" si="12">SUM((0.2126*U5)+(0.7152*V5)+(0.0722*W5))</f>
        <v>0.28344656123753975</v>
      </c>
    </row>
    <row r="6" spans="1:24" x14ac:dyDescent="0.2">
      <c r="A6" s="171" t="s">
        <v>14</v>
      </c>
      <c r="B6" s="166">
        <f>('ACTIVITY DATA'!G32)</f>
        <v>213</v>
      </c>
      <c r="C6" s="166">
        <f>'ACTIVITY DATA'!H32</f>
        <v>66</v>
      </c>
      <c r="D6" s="166">
        <f>'ACTIVITY DATA'!I32</f>
        <v>99</v>
      </c>
      <c r="E6" s="167">
        <f t="shared" ref="E6:E8" si="13">(B6/255)</f>
        <v>0.83529411764705885</v>
      </c>
      <c r="F6" s="167">
        <f t="shared" si="0"/>
        <v>0.25882352941176473</v>
      </c>
      <c r="G6" s="167">
        <f t="shared" si="1"/>
        <v>0.38823529411764707</v>
      </c>
      <c r="H6" s="167">
        <f t="shared" si="2"/>
        <v>0.66538729828227205</v>
      </c>
      <c r="I6" s="167">
        <f t="shared" si="3"/>
        <v>5.4480276442442369E-2</v>
      </c>
      <c r="J6" s="167">
        <f t="shared" si="4"/>
        <v>0.12477181756095049</v>
      </c>
      <c r="K6" s="167">
        <f t="shared" si="5"/>
        <v>0.18943415855434648</v>
      </c>
      <c r="L6" s="161"/>
      <c r="M6" s="161"/>
      <c r="N6" s="171" t="s">
        <v>14</v>
      </c>
      <c r="O6" s="166">
        <f>'ACTIVITY DATA'!G47</f>
        <v>210</v>
      </c>
      <c r="P6" s="166">
        <f>'ACTIVITY DATA'!H47</f>
        <v>63</v>
      </c>
      <c r="Q6" s="166">
        <f>'ACTIVITY DATA'!I47</f>
        <v>101</v>
      </c>
      <c r="R6" s="167">
        <f t="shared" si="6"/>
        <v>0.82352941176470584</v>
      </c>
      <c r="S6" s="167">
        <f t="shared" si="7"/>
        <v>0.24705882352941178</v>
      </c>
      <c r="T6" s="167">
        <f t="shared" si="8"/>
        <v>0.396078431372549</v>
      </c>
      <c r="U6" s="167">
        <f t="shared" si="9"/>
        <v>0.64447968197058214</v>
      </c>
      <c r="V6" s="167">
        <f t="shared" si="10"/>
        <v>4.9706565984127239E-2</v>
      </c>
      <c r="W6" s="167">
        <f t="shared" si="11"/>
        <v>0.13013647669036432</v>
      </c>
      <c r="X6" s="167">
        <f t="shared" si="12"/>
        <v>0.1819623699958379</v>
      </c>
    </row>
    <row r="7" spans="1:24" x14ac:dyDescent="0.2">
      <c r="A7" s="171" t="s">
        <v>15</v>
      </c>
      <c r="B7" s="166">
        <f>('ACTIVITY DATA'!G33)</f>
        <v>214</v>
      </c>
      <c r="C7" s="166">
        <f>'ACTIVITY DATA'!H33</f>
        <v>37</v>
      </c>
      <c r="D7" s="166">
        <f>'ACTIVITY DATA'!I33</f>
        <v>51</v>
      </c>
      <c r="E7" s="167">
        <f t="shared" si="13"/>
        <v>0.83921568627450982</v>
      </c>
      <c r="F7" s="167">
        <f>(C7/255)</f>
        <v>0.14509803921568629</v>
      </c>
      <c r="G7" s="167">
        <f t="shared" si="1"/>
        <v>0.2</v>
      </c>
      <c r="H7" s="167">
        <f t="shared" si="2"/>
        <v>0.67244315695768753</v>
      </c>
      <c r="I7" s="167">
        <f t="shared" si="3"/>
        <v>1.8500220128379697E-2</v>
      </c>
      <c r="J7" s="167">
        <f t="shared" si="4"/>
        <v>3.3104766570885055E-2</v>
      </c>
      <c r="K7" s="167">
        <f t="shared" si="5"/>
        <v>0.15858293675143945</v>
      </c>
      <c r="L7" s="161"/>
      <c r="M7" s="161"/>
      <c r="N7" s="171" t="s">
        <v>15</v>
      </c>
      <c r="O7" s="166">
        <f>'ACTIVITY DATA'!G48</f>
        <v>209</v>
      </c>
      <c r="P7" s="166">
        <f>'ACTIVITY DATA'!H48</f>
        <v>35</v>
      </c>
      <c r="Q7" s="166">
        <f>'ACTIVITY DATA'!I48</f>
        <v>52</v>
      </c>
      <c r="R7" s="167">
        <f t="shared" si="6"/>
        <v>0.81960784313725488</v>
      </c>
      <c r="S7" s="167">
        <f t="shared" si="7"/>
        <v>0.13725490196078433</v>
      </c>
      <c r="T7" s="167">
        <f t="shared" si="8"/>
        <v>0.20392156862745098</v>
      </c>
      <c r="U7" s="167">
        <f t="shared" si="9"/>
        <v>0.63759687399403264</v>
      </c>
      <c r="V7" s="167">
        <f t="shared" si="10"/>
        <v>1.6807375752887391E-2</v>
      </c>
      <c r="W7" s="167">
        <f t="shared" si="11"/>
        <v>3.4339806808682156E-2</v>
      </c>
      <c r="X7" s="167">
        <f t="shared" si="12"/>
        <v>0.15005306460118323</v>
      </c>
    </row>
    <row r="8" spans="1:24" ht="16" thickBot="1" x14ac:dyDescent="0.25">
      <c r="A8" s="171" t="s">
        <v>16</v>
      </c>
      <c r="B8" s="166">
        <f>('ACTIVITY DATA'!G34)</f>
        <v>192</v>
      </c>
      <c r="C8" s="166">
        <f>'ACTIVITY DATA'!H34</f>
        <v>37</v>
      </c>
      <c r="D8" s="166">
        <f>'ACTIVITY DATA'!I34</f>
        <v>41</v>
      </c>
      <c r="E8" s="167">
        <f t="shared" si="13"/>
        <v>0.75294117647058822</v>
      </c>
      <c r="F8" s="167">
        <f t="shared" si="0"/>
        <v>0.14509803921568629</v>
      </c>
      <c r="G8" s="167">
        <f t="shared" si="1"/>
        <v>0.16078431372549021</v>
      </c>
      <c r="H8" s="167">
        <f t="shared" si="2"/>
        <v>0.52711512570581309</v>
      </c>
      <c r="I8" s="167">
        <f t="shared" si="3"/>
        <v>1.8500220128379697E-2</v>
      </c>
      <c r="J8" s="167">
        <f t="shared" si="4"/>
        <v>2.2173884793387392E-2</v>
      </c>
      <c r="K8" s="167">
        <f t="shared" si="5"/>
        <v>0.12689698764295557</v>
      </c>
      <c r="L8" s="161"/>
      <c r="M8" s="161"/>
      <c r="N8" s="171" t="s">
        <v>16</v>
      </c>
      <c r="O8" s="166">
        <f>'ACTIVITY DATA'!G49</f>
        <v>188</v>
      </c>
      <c r="P8" s="166">
        <f>'ACTIVITY DATA'!H49</f>
        <v>37</v>
      </c>
      <c r="Q8" s="166">
        <f>'ACTIVITY DATA'!I49</f>
        <v>42</v>
      </c>
      <c r="R8" s="167">
        <f t="shared" si="6"/>
        <v>0.73725490196078436</v>
      </c>
      <c r="S8" s="167">
        <f>(P8/255)</f>
        <v>0.14509803921568629</v>
      </c>
      <c r="T8" s="167">
        <f>(Q8/255)</f>
        <v>0.16470588235294117</v>
      </c>
      <c r="U8" s="167">
        <f t="shared" si="9"/>
        <v>0.50288645803256871</v>
      </c>
      <c r="V8" s="167">
        <f t="shared" si="10"/>
        <v>1.8500220128379697E-2</v>
      </c>
      <c r="W8" s="167">
        <f t="shared" si="11"/>
        <v>2.3153366178110407E-2</v>
      </c>
      <c r="X8" s="167">
        <f t="shared" si="12"/>
        <v>0.12181669145160084</v>
      </c>
    </row>
    <row r="9" spans="1:24" ht="16" thickBot="1" x14ac:dyDescent="0.25">
      <c r="A9" s="161"/>
      <c r="B9" s="166"/>
      <c r="C9" s="161"/>
      <c r="D9" s="168"/>
      <c r="E9" s="169"/>
      <c r="F9" s="169"/>
      <c r="G9" s="169"/>
      <c r="H9" s="169"/>
      <c r="I9" s="204" t="s">
        <v>74</v>
      </c>
      <c r="J9" s="205"/>
      <c r="K9" s="170">
        <f>AVERAGE(K4:K8)</f>
        <v>0.22521336633027561</v>
      </c>
      <c r="L9" s="161"/>
      <c r="M9" s="161"/>
      <c r="N9" s="161"/>
      <c r="O9" s="161"/>
      <c r="P9" s="161"/>
      <c r="Q9" s="161"/>
      <c r="R9" s="169"/>
      <c r="S9" s="169"/>
      <c r="T9" s="169"/>
      <c r="U9" s="169"/>
      <c r="V9" s="202" t="s">
        <v>74</v>
      </c>
      <c r="W9" s="203"/>
      <c r="X9" s="170">
        <f>AVERAGE(X4:X8)</f>
        <v>0.21475460726607426</v>
      </c>
    </row>
    <row r="10" spans="1:24" x14ac:dyDescent="0.2">
      <c r="A10" s="161"/>
      <c r="B10" s="161"/>
      <c r="C10" s="161"/>
      <c r="D10" s="161"/>
      <c r="E10" s="169"/>
      <c r="F10" s="169"/>
      <c r="G10" s="169"/>
      <c r="H10" s="169"/>
      <c r="I10" s="169"/>
      <c r="J10" s="169"/>
      <c r="K10" s="169"/>
      <c r="L10" s="161"/>
      <c r="M10" s="161"/>
      <c r="N10" s="161"/>
      <c r="O10" s="161"/>
      <c r="P10" s="161"/>
      <c r="Q10" s="161"/>
      <c r="R10" s="169"/>
      <c r="S10" s="169"/>
      <c r="T10" s="169"/>
      <c r="U10" s="169"/>
      <c r="V10" s="169"/>
      <c r="W10" s="169"/>
      <c r="X10" s="169"/>
    </row>
    <row r="11" spans="1:24" ht="16" x14ac:dyDescent="0.2">
      <c r="A11" s="161"/>
      <c r="B11" s="161"/>
      <c r="C11" s="161"/>
      <c r="D11" s="161"/>
      <c r="E11" s="169"/>
      <c r="F11" s="169"/>
      <c r="G11" s="169"/>
      <c r="H11" s="198" t="s">
        <v>81</v>
      </c>
      <c r="I11" s="198"/>
      <c r="J11" s="199"/>
      <c r="K11" s="172">
        <f>(0.38958/K9)</f>
        <v>1.7298262813969956</v>
      </c>
      <c r="L11" s="161"/>
      <c r="M11" s="161"/>
      <c r="N11" s="161"/>
      <c r="O11" s="161"/>
      <c r="P11" s="161"/>
      <c r="Q11" s="161"/>
      <c r="R11" s="169"/>
      <c r="S11" s="169"/>
      <c r="T11" s="169"/>
      <c r="U11" s="198" t="s">
        <v>81</v>
      </c>
      <c r="V11" s="198"/>
      <c r="W11" s="199"/>
      <c r="X11" s="172">
        <f>(0.38958/X9)</f>
        <v>1.8140705103351868</v>
      </c>
    </row>
    <row r="12" spans="1:24" ht="19" x14ac:dyDescent="0.25">
      <c r="A12" s="200" t="s">
        <v>76</v>
      </c>
      <c r="B12" s="200"/>
      <c r="C12" s="200"/>
      <c r="D12" s="200"/>
      <c r="E12" s="200"/>
      <c r="F12" s="169"/>
      <c r="G12" s="169"/>
      <c r="H12" s="169"/>
      <c r="I12" s="169"/>
      <c r="J12" s="169"/>
      <c r="K12" s="169"/>
      <c r="L12" s="161"/>
      <c r="M12" s="161"/>
      <c r="N12" s="200" t="s">
        <v>79</v>
      </c>
      <c r="O12" s="200"/>
      <c r="P12" s="200"/>
      <c r="Q12" s="200"/>
      <c r="R12" s="200"/>
      <c r="S12" s="169"/>
      <c r="T12" s="169"/>
      <c r="U12" s="169"/>
      <c r="V12" s="169"/>
      <c r="W12" s="169"/>
      <c r="X12" s="169"/>
    </row>
    <row r="13" spans="1:24" x14ac:dyDescent="0.2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161"/>
      <c r="M13" s="16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</row>
    <row r="14" spans="1:24" x14ac:dyDescent="0.2">
      <c r="A14" s="160" t="s">
        <v>66</v>
      </c>
      <c r="B14" s="160" t="s">
        <v>0</v>
      </c>
      <c r="C14" s="160" t="s">
        <v>1</v>
      </c>
      <c r="D14" s="160" t="s">
        <v>2</v>
      </c>
      <c r="E14" s="165" t="s">
        <v>67</v>
      </c>
      <c r="F14" s="165" t="s">
        <v>68</v>
      </c>
      <c r="G14" s="165" t="s">
        <v>69</v>
      </c>
      <c r="H14" s="165" t="s">
        <v>70</v>
      </c>
      <c r="I14" s="165" t="s">
        <v>71</v>
      </c>
      <c r="J14" s="165" t="s">
        <v>72</v>
      </c>
      <c r="K14" s="165" t="s">
        <v>73</v>
      </c>
      <c r="L14" s="161"/>
      <c r="M14" s="161"/>
      <c r="N14" s="160" t="s">
        <v>66</v>
      </c>
      <c r="O14" s="160" t="s">
        <v>0</v>
      </c>
      <c r="P14" s="160" t="s">
        <v>1</v>
      </c>
      <c r="Q14" s="160" t="s">
        <v>2</v>
      </c>
      <c r="R14" s="165" t="s">
        <v>67</v>
      </c>
      <c r="S14" s="165" t="s">
        <v>68</v>
      </c>
      <c r="T14" s="165" t="s">
        <v>69</v>
      </c>
      <c r="U14" s="165" t="s">
        <v>70</v>
      </c>
      <c r="V14" s="165" t="s">
        <v>71</v>
      </c>
      <c r="W14" s="165" t="s">
        <v>72</v>
      </c>
      <c r="X14" s="165" t="s">
        <v>73</v>
      </c>
    </row>
    <row r="15" spans="1:24" x14ac:dyDescent="0.2">
      <c r="A15" s="171" t="s">
        <v>12</v>
      </c>
      <c r="B15" s="166">
        <f>'ACTIVITY DATA'!G35</f>
        <v>186</v>
      </c>
      <c r="C15" s="166">
        <f>'ACTIVITY DATA'!H35</f>
        <v>146</v>
      </c>
      <c r="D15" s="166">
        <f>'ACTIVITY DATA'!I35</f>
        <v>157</v>
      </c>
      <c r="E15" s="167">
        <f>(B15/255)</f>
        <v>0.72941176470588232</v>
      </c>
      <c r="F15" s="167">
        <f>(C15/255)</f>
        <v>0.5725490196078431</v>
      </c>
      <c r="G15" s="167">
        <f>(D15/255)</f>
        <v>0.61568627450980395</v>
      </c>
      <c r="H15" s="167">
        <f>((E15+0.055)/(1.055))^2.4</f>
        <v>0.49102084984783556</v>
      </c>
      <c r="I15" s="167">
        <f>((F15+0.055)/(1.055))^2.4</f>
        <v>0.28744083772691742</v>
      </c>
      <c r="J15" s="167">
        <f>((G15+0.055)/(1.055))^2.4</f>
        <v>0.33716361504833031</v>
      </c>
      <c r="K15" s="167">
        <f>SUM((0.2126*H15)+(0.7152*I15)+(0.0722*J15))</f>
        <v>0.33431193282643062</v>
      </c>
      <c r="L15" s="161"/>
      <c r="M15" s="161"/>
      <c r="N15" s="171" t="s">
        <v>12</v>
      </c>
      <c r="O15" s="166">
        <f>'ACTIVITY DATA'!G50</f>
        <v>189</v>
      </c>
      <c r="P15" s="166">
        <f>'ACTIVITY DATA'!H50</f>
        <v>151</v>
      </c>
      <c r="Q15" s="166">
        <f>'ACTIVITY DATA'!I50</f>
        <v>160</v>
      </c>
      <c r="R15" s="167">
        <f>(O15/255)</f>
        <v>0.74117647058823533</v>
      </c>
      <c r="S15" s="167">
        <f>(P15/255)</f>
        <v>0.59215686274509804</v>
      </c>
      <c r="T15" s="167">
        <f>(Q15/255)</f>
        <v>0.62745098039215685</v>
      </c>
      <c r="U15" s="167">
        <f>((R15+0.055)/(1.055))^2.4</f>
        <v>0.50888132085493376</v>
      </c>
      <c r="V15" s="167">
        <f>((S15+0.055)/(1.055))^2.4</f>
        <v>0.30946892281750848</v>
      </c>
      <c r="W15" s="167">
        <f>((T15+0.055)/(1.055))^2.4</f>
        <v>0.35153259950043936</v>
      </c>
      <c r="X15" s="167">
        <f>SUM((0.2126*U15)+(0.7152*V15)+(0.0722*W15))</f>
        <v>0.35490099609677273</v>
      </c>
    </row>
    <row r="16" spans="1:24" x14ac:dyDescent="0.2">
      <c r="A16" s="171" t="s">
        <v>13</v>
      </c>
      <c r="B16" s="166">
        <f>'ACTIVITY DATA'!G36</f>
        <v>192</v>
      </c>
      <c r="C16" s="166">
        <f>'ACTIVITY DATA'!H36</f>
        <v>125</v>
      </c>
      <c r="D16" s="166">
        <f>'ACTIVITY DATA'!I36</f>
        <v>147</v>
      </c>
      <c r="E16" s="167">
        <f t="shared" ref="E16:E19" si="14">(B16/255)</f>
        <v>0.75294117647058822</v>
      </c>
      <c r="F16" s="167">
        <f t="shared" ref="F16:F19" si="15">(C16/255)</f>
        <v>0.49019607843137253</v>
      </c>
      <c r="G16" s="167">
        <f t="shared" ref="G16:G19" si="16">(D16/255)</f>
        <v>0.57647058823529407</v>
      </c>
      <c r="H16" s="167">
        <f t="shared" ref="H16:H19" si="17">((E16+0.055)/(1.055))^2.4</f>
        <v>0.52711512570581309</v>
      </c>
      <c r="I16" s="167">
        <f t="shared" ref="I16:I19" si="18">((F16+0.055)/(1.055))^2.4</f>
        <v>0.2050787363903169</v>
      </c>
      <c r="J16" s="167">
        <f t="shared" ref="J16:J19" si="19">((G16+0.055)/(1.055))^2.4</f>
        <v>0.29177064981753581</v>
      </c>
      <c r="K16" s="167">
        <f t="shared" ref="K16:K19" si="20">SUM((0.2126*H16)+(0.7152*I16)+(0.0722*J16))</f>
        <v>0.27980282890823654</v>
      </c>
      <c r="L16" s="161"/>
      <c r="M16" s="161"/>
      <c r="N16" s="171" t="s">
        <v>13</v>
      </c>
      <c r="O16" s="166">
        <f>'ACTIVITY DATA'!G51</f>
        <v>199</v>
      </c>
      <c r="P16" s="166">
        <f>'ACTIVITY DATA'!H51</f>
        <v>130</v>
      </c>
      <c r="Q16" s="166">
        <f>'ACTIVITY DATA'!I51</f>
        <v>152</v>
      </c>
      <c r="R16" s="167">
        <f t="shared" ref="R16:R19" si="21">(O16/255)</f>
        <v>0.7803921568627451</v>
      </c>
      <c r="S16" s="167">
        <f t="shared" ref="S16:S19" si="22">(P16/255)</f>
        <v>0.50980392156862742</v>
      </c>
      <c r="T16" s="167">
        <f t="shared" ref="T16:T19" si="23">(Q16/255)</f>
        <v>0.59607843137254901</v>
      </c>
      <c r="U16" s="167">
        <f t="shared" ref="U16:U19" si="24">((R16+0.055)/(1.055))^2.4</f>
        <v>0.57112482946487308</v>
      </c>
      <c r="V16" s="167">
        <f t="shared" ref="V16:V19" si="25">((S16+0.055)/(1.055))^2.4</f>
        <v>0.2232279573168085</v>
      </c>
      <c r="W16" s="167">
        <f t="shared" ref="W16:W19" si="26">((T16+0.055)/(1.055))^2.4</f>
        <v>0.31398871337571754</v>
      </c>
      <c r="X16" s="167">
        <f t="shared" ref="X16:X19" si="27">SUM((0.2126*U16)+(0.7152*V16)+(0.0722*W16))</f>
        <v>0.30374375892294025</v>
      </c>
    </row>
    <row r="17" spans="1:24" x14ac:dyDescent="0.2">
      <c r="A17" s="171" t="s">
        <v>14</v>
      </c>
      <c r="B17" s="166">
        <f>'ACTIVITY DATA'!G37</f>
        <v>208</v>
      </c>
      <c r="C17" s="166">
        <f>'ACTIVITY DATA'!H37</f>
        <v>61</v>
      </c>
      <c r="D17" s="166">
        <f>'ACTIVITY DATA'!I37</f>
        <v>102</v>
      </c>
      <c r="E17" s="167">
        <f>(B17/255)</f>
        <v>0.81568627450980391</v>
      </c>
      <c r="F17" s="167">
        <f t="shared" si="15"/>
        <v>0.23921568627450981</v>
      </c>
      <c r="G17" s="167">
        <f t="shared" si="16"/>
        <v>0.4</v>
      </c>
      <c r="H17" s="167">
        <f t="shared" si="17"/>
        <v>0.63075713634614672</v>
      </c>
      <c r="I17" s="167">
        <f t="shared" si="18"/>
        <v>4.6665086336880102E-2</v>
      </c>
      <c r="J17" s="167">
        <f t="shared" si="19"/>
        <v>0.13286832155381798</v>
      </c>
      <c r="K17" s="167">
        <f t="shared" si="20"/>
        <v>0.17706692975151311</v>
      </c>
      <c r="L17" s="161"/>
      <c r="M17" s="161"/>
      <c r="N17" s="171" t="s">
        <v>14</v>
      </c>
      <c r="O17" s="166">
        <f>'ACTIVITY DATA'!G52</f>
        <v>215</v>
      </c>
      <c r="P17" s="166">
        <f>'ACTIVITY DATA'!H52</f>
        <v>69</v>
      </c>
      <c r="Q17" s="166">
        <f>'ACTIVITY DATA'!I52</f>
        <v>108</v>
      </c>
      <c r="R17" s="167">
        <f t="shared" si="21"/>
        <v>0.84313725490196079</v>
      </c>
      <c r="S17" s="167">
        <f t="shared" si="22"/>
        <v>0.27058823529411763</v>
      </c>
      <c r="T17" s="167">
        <f t="shared" si="23"/>
        <v>0.42352941176470588</v>
      </c>
      <c r="U17" s="167">
        <f t="shared" si="24"/>
        <v>0.67954246963309384</v>
      </c>
      <c r="V17" s="167">
        <f t="shared" si="25"/>
        <v>5.9511238162981178E-2</v>
      </c>
      <c r="W17" s="167">
        <f t="shared" si="26"/>
        <v>0.14995978981060856</v>
      </c>
      <c r="X17" s="167">
        <f t="shared" si="27"/>
        <v>0.19786026340248583</v>
      </c>
    </row>
    <row r="18" spans="1:24" x14ac:dyDescent="0.2">
      <c r="A18" s="171" t="s">
        <v>15</v>
      </c>
      <c r="B18" s="166">
        <f>'ACTIVITY DATA'!G38</f>
        <v>208</v>
      </c>
      <c r="C18" s="166">
        <f>'ACTIVITY DATA'!H38</f>
        <v>34</v>
      </c>
      <c r="D18" s="166">
        <f>'ACTIVITY DATA'!I38</f>
        <v>52</v>
      </c>
      <c r="E18" s="167">
        <f t="shared" si="14"/>
        <v>0.81568627450980391</v>
      </c>
      <c r="F18" s="167">
        <f t="shared" si="15"/>
        <v>0.13333333333333333</v>
      </c>
      <c r="G18" s="167">
        <f t="shared" si="16"/>
        <v>0.20392156862745098</v>
      </c>
      <c r="H18" s="167">
        <f t="shared" si="17"/>
        <v>0.63075713634614672</v>
      </c>
      <c r="I18" s="167">
        <f t="shared" si="18"/>
        <v>1.5996293365509635E-2</v>
      </c>
      <c r="J18" s="167">
        <f t="shared" si="19"/>
        <v>3.4339806808682156E-2</v>
      </c>
      <c r="K18" s="167">
        <f t="shared" si="20"/>
        <v>0.14801885025379014</v>
      </c>
      <c r="L18" s="161"/>
      <c r="M18" s="161"/>
      <c r="N18" s="171" t="s">
        <v>15</v>
      </c>
      <c r="O18" s="166">
        <f>'ACTIVITY DATA'!G53</f>
        <v>217</v>
      </c>
      <c r="P18" s="166">
        <f>'ACTIVITY DATA'!H53</f>
        <v>39</v>
      </c>
      <c r="Q18" s="166">
        <f>'ACTIVITY DATA'!I53</f>
        <v>64</v>
      </c>
      <c r="R18" s="167">
        <f t="shared" si="21"/>
        <v>0.85098039215686272</v>
      </c>
      <c r="S18" s="167">
        <f t="shared" si="22"/>
        <v>0.15294117647058825</v>
      </c>
      <c r="T18" s="167">
        <f t="shared" si="23"/>
        <v>0.25098039215686274</v>
      </c>
      <c r="U18" s="167">
        <f t="shared" si="24"/>
        <v>0.69387176129198991</v>
      </c>
      <c r="V18" s="167">
        <f t="shared" si="25"/>
        <v>2.0288563056652397E-2</v>
      </c>
      <c r="W18" s="167">
        <f t="shared" si="26"/>
        <v>5.1269458374043231E-2</v>
      </c>
      <c r="X18" s="167">
        <f t="shared" si="27"/>
        <v>0.16572917164340079</v>
      </c>
    </row>
    <row r="19" spans="1:24" ht="16" thickBot="1" x14ac:dyDescent="0.25">
      <c r="A19" s="171" t="s">
        <v>16</v>
      </c>
      <c r="B19" s="166">
        <f>'ACTIVITY DATA'!G39</f>
        <v>188</v>
      </c>
      <c r="C19" s="166">
        <f>'ACTIVITY DATA'!H39</f>
        <v>36</v>
      </c>
      <c r="D19" s="166">
        <f>'ACTIVITY DATA'!I39</f>
        <v>42</v>
      </c>
      <c r="E19" s="167">
        <f t="shared" si="14"/>
        <v>0.73725490196078436</v>
      </c>
      <c r="F19" s="167">
        <f t="shared" si="15"/>
        <v>0.14117647058823529</v>
      </c>
      <c r="G19" s="167">
        <f t="shared" si="16"/>
        <v>0.16470588235294117</v>
      </c>
      <c r="H19" s="167">
        <f t="shared" si="17"/>
        <v>0.50288645803256871</v>
      </c>
      <c r="I19" s="167">
        <f t="shared" si="18"/>
        <v>1.7641954488384088E-2</v>
      </c>
      <c r="J19" s="167">
        <f t="shared" si="19"/>
        <v>2.3153366178110407E-2</v>
      </c>
      <c r="K19" s="167">
        <f t="shared" si="20"/>
        <v>0.12120285986587598</v>
      </c>
      <c r="L19" s="161"/>
      <c r="M19" s="161"/>
      <c r="N19" s="171" t="s">
        <v>16</v>
      </c>
      <c r="O19" s="166">
        <f>'ACTIVITY DATA'!G54</f>
        <v>197</v>
      </c>
      <c r="P19" s="166">
        <f>'ACTIVITY DATA'!H54</f>
        <v>42</v>
      </c>
      <c r="Q19" s="166">
        <f>'ACTIVITY DATA'!I54</f>
        <v>52</v>
      </c>
      <c r="R19" s="167">
        <f t="shared" si="21"/>
        <v>0.77254901960784317</v>
      </c>
      <c r="S19" s="167">
        <f t="shared" si="22"/>
        <v>0.16470588235294117</v>
      </c>
      <c r="T19" s="167">
        <f t="shared" si="23"/>
        <v>0.20392156862745098</v>
      </c>
      <c r="U19" s="167">
        <f t="shared" si="24"/>
        <v>0.5583403896342678</v>
      </c>
      <c r="V19" s="167">
        <f t="shared" si="25"/>
        <v>2.3153366178110407E-2</v>
      </c>
      <c r="W19" s="167">
        <f t="shared" si="26"/>
        <v>3.4339806808682156E-2</v>
      </c>
      <c r="X19" s="167">
        <f t="shared" si="27"/>
        <v>0.13774178837841675</v>
      </c>
    </row>
    <row r="20" spans="1:24" ht="16" thickBot="1" x14ac:dyDescent="0.25">
      <c r="A20" s="161"/>
      <c r="B20" s="161"/>
      <c r="C20" s="161"/>
      <c r="D20" s="161"/>
      <c r="E20" s="169"/>
      <c r="F20" s="169"/>
      <c r="G20" s="169"/>
      <c r="H20" s="169"/>
      <c r="I20" s="204" t="s">
        <v>74</v>
      </c>
      <c r="J20" s="205"/>
      <c r="K20" s="170">
        <f>AVERAGE(K15:K19)</f>
        <v>0.21208068032116928</v>
      </c>
      <c r="L20" s="161"/>
      <c r="M20" s="161"/>
      <c r="N20" s="161"/>
      <c r="O20" s="161"/>
      <c r="P20" s="161"/>
      <c r="Q20" s="161"/>
      <c r="R20" s="169"/>
      <c r="S20" s="169"/>
      <c r="T20" s="169"/>
      <c r="U20" s="169"/>
      <c r="V20" s="202" t="s">
        <v>74</v>
      </c>
      <c r="W20" s="203"/>
      <c r="X20" s="170">
        <f>AVERAGE(X15:X19)</f>
        <v>0.23199519568880325</v>
      </c>
    </row>
    <row r="21" spans="1:24" x14ac:dyDescent="0.2">
      <c r="A21" s="161"/>
      <c r="B21" s="161"/>
      <c r="C21" s="161"/>
      <c r="D21" s="161"/>
      <c r="E21" s="169"/>
      <c r="F21" s="169"/>
      <c r="G21" s="169"/>
      <c r="H21" s="169"/>
      <c r="I21" s="169"/>
      <c r="J21" s="169"/>
      <c r="K21" s="169"/>
      <c r="L21" s="161"/>
      <c r="M21" s="161"/>
      <c r="N21" s="161"/>
      <c r="O21" s="161"/>
      <c r="P21" s="161"/>
      <c r="Q21" s="161"/>
      <c r="R21" s="169"/>
      <c r="S21" s="169"/>
      <c r="T21" s="169"/>
      <c r="U21" s="169"/>
      <c r="V21" s="169"/>
      <c r="W21" s="169"/>
      <c r="X21" s="169"/>
    </row>
    <row r="22" spans="1:24" ht="16" x14ac:dyDescent="0.2">
      <c r="A22" s="161"/>
      <c r="B22" s="161"/>
      <c r="C22" s="161"/>
      <c r="D22" s="161"/>
      <c r="E22" s="169"/>
      <c r="F22" s="169"/>
      <c r="G22" s="169"/>
      <c r="H22" s="198" t="s">
        <v>81</v>
      </c>
      <c r="I22" s="198"/>
      <c r="J22" s="199"/>
      <c r="K22" s="172">
        <f>(0.38958/K20)</f>
        <v>1.8369424287494291</v>
      </c>
      <c r="L22" s="161"/>
      <c r="M22" s="161"/>
      <c r="N22" s="161"/>
      <c r="O22" s="161"/>
      <c r="P22" s="161"/>
      <c r="Q22" s="161"/>
      <c r="R22" s="169"/>
      <c r="S22" s="169"/>
      <c r="T22" s="169"/>
      <c r="U22" s="198" t="s">
        <v>81</v>
      </c>
      <c r="V22" s="198"/>
      <c r="W22" s="199"/>
      <c r="X22" s="172">
        <f>(0.38958/X20)</f>
        <v>1.6792589124241171</v>
      </c>
    </row>
    <row r="23" spans="1:24" ht="19" x14ac:dyDescent="0.25">
      <c r="A23" s="200" t="s">
        <v>77</v>
      </c>
      <c r="B23" s="200"/>
      <c r="C23" s="200"/>
      <c r="D23" s="200"/>
      <c r="E23" s="200"/>
      <c r="F23" s="169"/>
      <c r="G23" s="169"/>
      <c r="H23" s="169"/>
      <c r="I23" s="169"/>
      <c r="J23" s="169"/>
      <c r="K23" s="169"/>
      <c r="L23" s="161"/>
      <c r="M23" s="161"/>
      <c r="N23" s="200" t="s">
        <v>80</v>
      </c>
      <c r="O23" s="200"/>
      <c r="P23" s="200"/>
      <c r="Q23" s="200"/>
      <c r="R23" s="200"/>
      <c r="S23" s="169"/>
      <c r="T23" s="169"/>
      <c r="U23" s="169"/>
      <c r="V23" s="169"/>
      <c r="W23" s="169"/>
      <c r="X23" s="169"/>
    </row>
    <row r="24" spans="1:24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161"/>
      <c r="M24" s="16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</row>
    <row r="25" spans="1:24" x14ac:dyDescent="0.2">
      <c r="A25" s="160" t="s">
        <v>66</v>
      </c>
      <c r="B25" s="160" t="s">
        <v>0</v>
      </c>
      <c r="C25" s="160" t="s">
        <v>1</v>
      </c>
      <c r="D25" s="160" t="s">
        <v>2</v>
      </c>
      <c r="E25" s="165" t="s">
        <v>67</v>
      </c>
      <c r="F25" s="165" t="s">
        <v>68</v>
      </c>
      <c r="G25" s="165" t="s">
        <v>69</v>
      </c>
      <c r="H25" s="165" t="s">
        <v>70</v>
      </c>
      <c r="I25" s="165" t="s">
        <v>71</v>
      </c>
      <c r="J25" s="165" t="s">
        <v>72</v>
      </c>
      <c r="K25" s="165" t="s">
        <v>73</v>
      </c>
      <c r="L25" s="161"/>
      <c r="M25" s="161"/>
      <c r="N25" s="160" t="s">
        <v>66</v>
      </c>
      <c r="O25" s="160" t="s">
        <v>0</v>
      </c>
      <c r="P25" s="160" t="s">
        <v>1</v>
      </c>
      <c r="Q25" s="160" t="s">
        <v>2</v>
      </c>
      <c r="R25" s="165" t="s">
        <v>67</v>
      </c>
      <c r="S25" s="165" t="s">
        <v>68</v>
      </c>
      <c r="T25" s="165" t="s">
        <v>69</v>
      </c>
      <c r="U25" s="165" t="s">
        <v>70</v>
      </c>
      <c r="V25" s="165" t="s">
        <v>71</v>
      </c>
      <c r="W25" s="165" t="s">
        <v>72</v>
      </c>
      <c r="X25" s="165" t="s">
        <v>73</v>
      </c>
    </row>
    <row r="26" spans="1:24" x14ac:dyDescent="0.2">
      <c r="A26" s="171" t="s">
        <v>12</v>
      </c>
      <c r="B26" s="166">
        <f>'ACTIVITY DATA'!G40</f>
        <v>195</v>
      </c>
      <c r="C26" s="166">
        <f>'ACTIVITY DATA'!H40</f>
        <v>156</v>
      </c>
      <c r="D26" s="166">
        <f>'ACTIVITY DATA'!I40</f>
        <v>161</v>
      </c>
      <c r="E26" s="167">
        <f>(B26/255)</f>
        <v>0.76470588235294112</v>
      </c>
      <c r="F26" s="167">
        <f>(C26/255)</f>
        <v>0.61176470588235299</v>
      </c>
      <c r="G26" s="167">
        <f>(D26/255)</f>
        <v>0.63137254901960782</v>
      </c>
      <c r="H26" s="167">
        <f>((E26+0.055)/(1.055))^2.4</f>
        <v>0.5457244613701866</v>
      </c>
      <c r="I26" s="167">
        <f>((F26+0.055)/(1.055))^2.4</f>
        <v>0.33245153634617935</v>
      </c>
      <c r="J26" s="167">
        <f>((G26+0.055)/(1.055))^2.4</f>
        <v>0.35640014414594351</v>
      </c>
      <c r="K26" s="167">
        <f>SUM((0.2126*H26)+(0.7152*I26)+(0.0722*J26))</f>
        <v>0.37952244968942628</v>
      </c>
      <c r="L26" s="161"/>
      <c r="M26" s="161"/>
      <c r="N26" s="171" t="s">
        <v>12</v>
      </c>
      <c r="O26" s="166">
        <f>'ACTIVITY DATA'!G55</f>
        <v>168</v>
      </c>
      <c r="P26" s="166">
        <f>'ACTIVITY DATA'!H55</f>
        <v>129</v>
      </c>
      <c r="Q26" s="166">
        <f>'ACTIVITY DATA'!I55</f>
        <v>140</v>
      </c>
      <c r="R26" s="167">
        <f>(O26/255)</f>
        <v>0.6588235294117647</v>
      </c>
      <c r="S26" s="167">
        <f>(P26/255)</f>
        <v>0.50588235294117645</v>
      </c>
      <c r="T26" s="167">
        <f>(Q26/255)</f>
        <v>0.5490196078431373</v>
      </c>
      <c r="U26" s="167">
        <f>((R26+0.055)/(1.055))^2.4</f>
        <v>0.39157247774972326</v>
      </c>
      <c r="V26" s="167">
        <f>((S26+0.055)/(1.055))^2.4</f>
        <v>0.21952619972926918</v>
      </c>
      <c r="W26" s="167">
        <f>((T26+0.055)/(1.055))^2.4</f>
        <v>0.26225065752969623</v>
      </c>
      <c r="X26" s="167">
        <f>SUM((0.2126*U26)+(0.7152*V26)+(0.0722*W26))</f>
        <v>0.25918794428960856</v>
      </c>
    </row>
    <row r="27" spans="1:24" x14ac:dyDescent="0.2">
      <c r="A27" s="171" t="s">
        <v>13</v>
      </c>
      <c r="B27" s="166">
        <f>'ACTIVITY DATA'!G41</f>
        <v>201</v>
      </c>
      <c r="C27" s="166">
        <f>'ACTIVITY DATA'!H41</f>
        <v>133</v>
      </c>
      <c r="D27" s="166">
        <f>'ACTIVITY DATA'!I41</f>
        <v>152</v>
      </c>
      <c r="E27" s="167">
        <f t="shared" ref="E27:E30" si="28">(B27/255)</f>
        <v>0.78823529411764703</v>
      </c>
      <c r="F27" s="167">
        <f t="shared" ref="F27:F30" si="29">(C27/255)</f>
        <v>0.52156862745098043</v>
      </c>
      <c r="G27" s="167">
        <f t="shared" ref="G27:G30" si="30">(D27/255)</f>
        <v>0.59607843137254901</v>
      </c>
      <c r="H27" s="167">
        <f t="shared" ref="H27:H30" si="31">((E27+0.055)/(1.055))^2.4</f>
        <v>0.5840784178911641</v>
      </c>
      <c r="I27" s="167">
        <f t="shared" ref="I27:I30" si="32">((F27+0.055)/(1.055))^2.4</f>
        <v>0.23455058216100524</v>
      </c>
      <c r="J27" s="167">
        <f t="shared" ref="J27:J30" si="33">((G27+0.055)/(1.055))^2.4</f>
        <v>0.31398871337571754</v>
      </c>
      <c r="K27" s="167">
        <f t="shared" ref="K27:K30" si="34">SUM((0.2126*H27)+(0.7152*I27)+(0.0722*J27))</f>
        <v>0.31459563311093924</v>
      </c>
      <c r="L27" s="161"/>
      <c r="M27" s="161"/>
      <c r="N27" s="171" t="s">
        <v>13</v>
      </c>
      <c r="O27" s="166">
        <f>'ACTIVITY DATA'!G56</f>
        <v>177</v>
      </c>
      <c r="P27" s="166">
        <f>'ACTIVITY DATA'!H56</f>
        <v>110</v>
      </c>
      <c r="Q27" s="166">
        <f>'ACTIVITY DATA'!I56</f>
        <v>130</v>
      </c>
      <c r="R27" s="167">
        <f t="shared" ref="R27:R30" si="35">(O27/255)</f>
        <v>0.69411764705882351</v>
      </c>
      <c r="S27" s="167">
        <f t="shared" ref="S27:S30" si="36">(P27/255)</f>
        <v>0.43137254901960786</v>
      </c>
      <c r="T27" s="167">
        <f t="shared" ref="T27:T30" si="37">(Q27/255)</f>
        <v>0.50980392156862742</v>
      </c>
      <c r="U27" s="167">
        <f t="shared" ref="U27:U30" si="38">((R27+0.055)/(1.055))^2.4</f>
        <v>0.43965717384091879</v>
      </c>
      <c r="V27" s="167">
        <f t="shared" ref="V27:V30" si="39">((S27+0.055)/(1.055))^2.4</f>
        <v>0.15592646370782737</v>
      </c>
      <c r="W27" s="167">
        <f t="shared" ref="W27:W30" si="40">((T27+0.055)/(1.055))^2.4</f>
        <v>0.2232279573168085</v>
      </c>
      <c r="X27" s="167">
        <f t="shared" ref="X27:X30" si="41">SUM((0.2126*U27)+(0.7152*V27)+(0.0722*W27))</f>
        <v>0.22110678052069105</v>
      </c>
    </row>
    <row r="28" spans="1:24" x14ac:dyDescent="0.2">
      <c r="A28" s="171" t="s">
        <v>14</v>
      </c>
      <c r="B28" s="166">
        <f>'ACTIVITY DATA'!G42</f>
        <v>216</v>
      </c>
      <c r="C28" s="166">
        <f>'ACTIVITY DATA'!H42</f>
        <v>69</v>
      </c>
      <c r="D28" s="166">
        <f>'ACTIVITY DATA'!I42</f>
        <v>108</v>
      </c>
      <c r="E28" s="167">
        <f>(B28/255)</f>
        <v>0.84705882352941175</v>
      </c>
      <c r="F28" s="167">
        <f t="shared" si="29"/>
        <v>0.27058823529411763</v>
      </c>
      <c r="G28" s="167">
        <f t="shared" si="30"/>
        <v>0.42352941176470588</v>
      </c>
      <c r="H28" s="167">
        <f t="shared" si="31"/>
        <v>0.6866853124353135</v>
      </c>
      <c r="I28" s="167">
        <f t="shared" si="32"/>
        <v>5.9511238162981178E-2</v>
      </c>
      <c r="J28" s="167">
        <f t="shared" si="33"/>
        <v>0.14995978981060856</v>
      </c>
      <c r="K28" s="167">
        <f t="shared" si="34"/>
        <v>0.19937883178223775</v>
      </c>
      <c r="L28" s="161"/>
      <c r="M28" s="161"/>
      <c r="N28" s="171" t="s">
        <v>14</v>
      </c>
      <c r="O28" s="166">
        <f>'ACTIVITY DATA'!G57</f>
        <v>190</v>
      </c>
      <c r="P28" s="166">
        <f>'ACTIVITY DATA'!H57</f>
        <v>53</v>
      </c>
      <c r="Q28" s="166">
        <f>'ACTIVITY DATA'!I57</f>
        <v>87</v>
      </c>
      <c r="R28" s="167">
        <f t="shared" si="35"/>
        <v>0.74509803921568629</v>
      </c>
      <c r="S28" s="167">
        <f t="shared" si="36"/>
        <v>0.20784313725490197</v>
      </c>
      <c r="T28" s="167">
        <f t="shared" si="37"/>
        <v>0.3411764705882353</v>
      </c>
      <c r="U28" s="167">
        <f t="shared" si="38"/>
        <v>0.51491766537652139</v>
      </c>
      <c r="V28" s="167">
        <f t="shared" si="39"/>
        <v>3.5601314875020329E-2</v>
      </c>
      <c r="W28" s="167">
        <f t="shared" si="40"/>
        <v>9.5307466630964677E-2</v>
      </c>
      <c r="X28" s="167">
        <f t="shared" si="41"/>
        <v>0.14181475514841865</v>
      </c>
    </row>
    <row r="29" spans="1:24" x14ac:dyDescent="0.2">
      <c r="A29" s="171" t="s">
        <v>15</v>
      </c>
      <c r="B29" s="166">
        <f>'ACTIVITY DATA'!G43</f>
        <v>216</v>
      </c>
      <c r="C29" s="166">
        <f>'ACTIVITY DATA'!H43</f>
        <v>40</v>
      </c>
      <c r="D29" s="166">
        <f>'ACTIVITY DATA'!I43</f>
        <v>58</v>
      </c>
      <c r="E29" s="167">
        <f t="shared" si="28"/>
        <v>0.84705882352941175</v>
      </c>
      <c r="F29" s="167">
        <f t="shared" si="29"/>
        <v>0.15686274509803921</v>
      </c>
      <c r="G29" s="167">
        <f t="shared" si="30"/>
        <v>0.22745098039215686</v>
      </c>
      <c r="H29" s="167">
        <f t="shared" si="31"/>
        <v>0.6866853124353135</v>
      </c>
      <c r="I29" s="167">
        <f t="shared" si="32"/>
        <v>2.1219010376003551E-2</v>
      </c>
      <c r="J29" s="167">
        <f t="shared" si="33"/>
        <v>4.2311410620809675E-2</v>
      </c>
      <c r="K29" s="167">
        <f t="shared" si="34"/>
        <v>0.16422001749148785</v>
      </c>
      <c r="L29" s="161"/>
      <c r="M29" s="161"/>
      <c r="N29" s="171" t="s">
        <v>15</v>
      </c>
      <c r="O29" s="166">
        <f>'ACTIVITY DATA'!G58</f>
        <v>189</v>
      </c>
      <c r="P29" s="166">
        <f>'ACTIVITY DATA'!H58</f>
        <v>34</v>
      </c>
      <c r="Q29" s="166">
        <f>'ACTIVITY DATA'!I58</f>
        <v>45</v>
      </c>
      <c r="R29" s="167">
        <f t="shared" si="35"/>
        <v>0.74117647058823533</v>
      </c>
      <c r="S29" s="167">
        <f t="shared" si="36"/>
        <v>0.13333333333333333</v>
      </c>
      <c r="T29" s="167">
        <f t="shared" si="37"/>
        <v>0.17647058823529413</v>
      </c>
      <c r="U29" s="167">
        <f t="shared" si="38"/>
        <v>0.50888132085493376</v>
      </c>
      <c r="V29" s="167">
        <f t="shared" si="39"/>
        <v>1.5996293365509635E-2</v>
      </c>
      <c r="W29" s="167">
        <f t="shared" si="40"/>
        <v>2.6241221894849898E-2</v>
      </c>
      <c r="X29" s="167">
        <f t="shared" si="41"/>
        <v>0.12152333404957957</v>
      </c>
    </row>
    <row r="30" spans="1:24" ht="16" thickBot="1" x14ac:dyDescent="0.25">
      <c r="A30" s="171" t="s">
        <v>16</v>
      </c>
      <c r="B30" s="166">
        <f>'ACTIVITY DATA'!G44</f>
        <v>194</v>
      </c>
      <c r="C30" s="166">
        <f>'ACTIVITY DATA'!H44</f>
        <v>41</v>
      </c>
      <c r="D30" s="166">
        <f>'ACTIVITY DATA'!I44</f>
        <v>46</v>
      </c>
      <c r="E30" s="167">
        <f t="shared" si="28"/>
        <v>0.76078431372549016</v>
      </c>
      <c r="F30" s="167">
        <f t="shared" si="29"/>
        <v>0.16078431372549021</v>
      </c>
      <c r="G30" s="167">
        <f t="shared" si="30"/>
        <v>0.1803921568627451</v>
      </c>
      <c r="H30" s="167">
        <f t="shared" si="31"/>
        <v>0.53947948901210707</v>
      </c>
      <c r="I30" s="167">
        <f t="shared" si="32"/>
        <v>2.2173884793387392E-2</v>
      </c>
      <c r="J30" s="167">
        <f t="shared" si="33"/>
        <v>2.7320891639074901E-2</v>
      </c>
      <c r="K30" s="167">
        <f t="shared" si="34"/>
        <v>0.13252467014454586</v>
      </c>
      <c r="L30" s="161"/>
      <c r="M30" s="161"/>
      <c r="N30" s="171" t="s">
        <v>16</v>
      </c>
      <c r="O30" s="166">
        <f>'ACTIVITY DATA'!G59</f>
        <v>171</v>
      </c>
      <c r="P30" s="166">
        <f>'ACTIVITY DATA'!H59</f>
        <v>32</v>
      </c>
      <c r="Q30" s="166">
        <f>'ACTIVITY DATA'!I59</f>
        <v>36</v>
      </c>
      <c r="R30" s="167">
        <f t="shared" si="35"/>
        <v>0.6705882352941176</v>
      </c>
      <c r="S30" s="167">
        <f t="shared" si="36"/>
        <v>0.12549019607843137</v>
      </c>
      <c r="T30" s="167">
        <f t="shared" si="37"/>
        <v>0.14117647058823529</v>
      </c>
      <c r="U30" s="167">
        <f t="shared" si="38"/>
        <v>0.40724021190173676</v>
      </c>
      <c r="V30" s="167">
        <f t="shared" si="39"/>
        <v>1.4443843596092543E-2</v>
      </c>
      <c r="W30" s="167">
        <f t="shared" si="40"/>
        <v>1.7641954488384088E-2</v>
      </c>
      <c r="X30" s="167">
        <f t="shared" si="41"/>
        <v>9.8183255104295958E-2</v>
      </c>
    </row>
    <row r="31" spans="1:24" ht="16" thickBot="1" x14ac:dyDescent="0.25">
      <c r="A31" s="161"/>
      <c r="B31" s="161"/>
      <c r="C31" s="166"/>
      <c r="D31" s="161"/>
      <c r="E31" s="169"/>
      <c r="F31" s="169"/>
      <c r="G31" s="169"/>
      <c r="H31" s="169"/>
      <c r="I31" s="204" t="s">
        <v>74</v>
      </c>
      <c r="J31" s="205"/>
      <c r="K31" s="170">
        <f>AVERAGE(K26:K30)</f>
        <v>0.23804832044372742</v>
      </c>
      <c r="L31" s="161"/>
      <c r="M31" s="161"/>
      <c r="N31" s="161"/>
      <c r="O31" s="161"/>
      <c r="P31" s="161"/>
      <c r="Q31" s="161"/>
      <c r="R31" s="169"/>
      <c r="S31" s="169"/>
      <c r="T31" s="169"/>
      <c r="U31" s="169"/>
      <c r="V31" s="202" t="s">
        <v>74</v>
      </c>
      <c r="W31" s="203"/>
      <c r="X31" s="170">
        <f>AVERAGE(X26:X30)</f>
        <v>0.16836321382251876</v>
      </c>
    </row>
    <row r="33" spans="8:24" ht="16" x14ac:dyDescent="0.2">
      <c r="H33" s="198" t="s">
        <v>81</v>
      </c>
      <c r="I33" s="198"/>
      <c r="J33" s="199"/>
      <c r="K33" s="172">
        <f>(0.38958/K31)</f>
        <v>1.6365584906199468</v>
      </c>
      <c r="U33" s="198" t="s">
        <v>81</v>
      </c>
      <c r="V33" s="198"/>
      <c r="W33" s="199"/>
      <c r="X33" s="172">
        <f>(0.38958/X31)</f>
        <v>2.3139258936377778</v>
      </c>
    </row>
  </sheetData>
  <mergeCells count="24">
    <mergeCell ref="A23:E23"/>
    <mergeCell ref="A24:K24"/>
    <mergeCell ref="N1:R1"/>
    <mergeCell ref="N2:X2"/>
    <mergeCell ref="V9:W9"/>
    <mergeCell ref="N12:R12"/>
    <mergeCell ref="N13:X13"/>
    <mergeCell ref="H11:J11"/>
    <mergeCell ref="H22:J22"/>
    <mergeCell ref="I9:J9"/>
    <mergeCell ref="A2:K2"/>
    <mergeCell ref="A1:E1"/>
    <mergeCell ref="A12:E12"/>
    <mergeCell ref="A13:K13"/>
    <mergeCell ref="H33:J33"/>
    <mergeCell ref="U33:W33"/>
    <mergeCell ref="U22:W22"/>
    <mergeCell ref="U11:W11"/>
    <mergeCell ref="N23:R23"/>
    <mergeCell ref="N24:X24"/>
    <mergeCell ref="V31:W31"/>
    <mergeCell ref="V20:W20"/>
    <mergeCell ref="I31:J31"/>
    <mergeCell ref="I20:J20"/>
  </mergeCells>
  <conditionalFormatting sqref="E26:G30 E15:G19 E4:G8 R5:T8 S4:T4 R15:T19 R26:T30">
    <cfRule type="cellIs" dxfId="37" priority="2" operator="lessThan">
      <formula>0.04045</formula>
    </cfRule>
  </conditionalFormatting>
  <conditionalFormatting sqref="E26:G30 E15:G19 E4:G8 R15:T19 R26:T30 R4:T8">
    <cfRule type="cellIs" dxfId="36" priority="1" operator="lessThan">
      <formula>0.04045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C7FA-8B95-45B7-B49C-BCFC11D922F1}">
  <dimension ref="A1:AG33"/>
  <sheetViews>
    <sheetView topLeftCell="I3" zoomScaleNormal="85" workbookViewId="0">
      <selection activeCell="AG7" sqref="AG7"/>
    </sheetView>
  </sheetViews>
  <sheetFormatPr baseColWidth="10" defaultColWidth="8.83203125" defaultRowHeight="15" x14ac:dyDescent="0.2"/>
  <cols>
    <col min="1" max="1" width="8.1640625" bestFit="1" customWidth="1"/>
    <col min="2" max="2" width="19.33203125" bestFit="1" customWidth="1"/>
    <col min="3" max="3" width="15.5" style="180" bestFit="1" customWidth="1"/>
    <col min="4" max="4" width="4" style="180" bestFit="1" customWidth="1"/>
    <col min="5" max="6" width="4" style="180" customWidth="1"/>
    <col min="7" max="7" width="8" style="164" bestFit="1" customWidth="1"/>
    <col min="8" max="8" width="8.1640625" style="164" bestFit="1" customWidth="1"/>
    <col min="9" max="9" width="8" style="164" bestFit="1" customWidth="1"/>
    <col min="10" max="12" width="10.1640625" style="164" customWidth="1"/>
    <col min="13" max="13" width="10.1640625" style="164" bestFit="1" customWidth="1"/>
    <col min="14" max="14" width="14.5" bestFit="1" customWidth="1"/>
    <col min="18" max="18" width="8.1640625" bestFit="1" customWidth="1"/>
    <col min="19" max="19" width="19" bestFit="1" customWidth="1"/>
    <col min="20" max="20" width="15.1640625" style="180" bestFit="1" customWidth="1"/>
    <col min="21" max="21" width="4" style="180" bestFit="1" customWidth="1"/>
    <col min="22" max="23" width="4" style="180" customWidth="1"/>
    <col min="24" max="24" width="8" style="164" bestFit="1" customWidth="1"/>
    <col min="25" max="25" width="8.1640625" style="164" bestFit="1" customWidth="1"/>
    <col min="26" max="26" width="8" style="164" bestFit="1" customWidth="1"/>
    <col min="27" max="29" width="10.1640625" style="164" customWidth="1"/>
    <col min="30" max="30" width="10.1640625" style="164" bestFit="1" customWidth="1"/>
    <col min="31" max="31" width="14.5" bestFit="1" customWidth="1"/>
  </cols>
  <sheetData>
    <row r="1" spans="1:33" ht="19" x14ac:dyDescent="0.25">
      <c r="A1" s="200" t="s">
        <v>75</v>
      </c>
      <c r="B1" s="200"/>
      <c r="C1" s="200"/>
      <c r="D1" s="200"/>
      <c r="E1" s="200"/>
      <c r="F1" s="200"/>
      <c r="G1" s="200"/>
      <c r="R1" s="200" t="s">
        <v>78</v>
      </c>
      <c r="S1" s="200"/>
      <c r="T1" s="200"/>
      <c r="U1" s="200"/>
      <c r="V1" s="200"/>
      <c r="W1" s="200"/>
      <c r="X1" s="200"/>
    </row>
    <row r="2" spans="1:33" x14ac:dyDescent="0.2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161"/>
      <c r="O2" s="161"/>
      <c r="P2" s="161"/>
      <c r="Q2" s="16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</row>
    <row r="3" spans="1:33" ht="17" x14ac:dyDescent="0.2">
      <c r="A3" s="160" t="s">
        <v>48</v>
      </c>
      <c r="B3" s="160" t="s">
        <v>83</v>
      </c>
      <c r="C3" s="176" t="s">
        <v>84</v>
      </c>
      <c r="D3" s="176" t="s">
        <v>0</v>
      </c>
      <c r="E3" s="176" t="s">
        <v>1</v>
      </c>
      <c r="F3" s="176" t="s">
        <v>2</v>
      </c>
      <c r="G3" s="165" t="s">
        <v>67</v>
      </c>
      <c r="H3" s="165" t="s">
        <v>68</v>
      </c>
      <c r="I3" s="165" t="s">
        <v>69</v>
      </c>
      <c r="J3" s="165" t="s">
        <v>70</v>
      </c>
      <c r="K3" s="165" t="s">
        <v>71</v>
      </c>
      <c r="L3" s="165" t="s">
        <v>72</v>
      </c>
      <c r="M3" s="165" t="s">
        <v>73</v>
      </c>
      <c r="N3" s="165" t="s">
        <v>82</v>
      </c>
      <c r="O3" s="161" t="s">
        <v>87</v>
      </c>
      <c r="P3" s="161"/>
      <c r="Q3" s="161"/>
      <c r="R3" s="160" t="s">
        <v>48</v>
      </c>
      <c r="S3" s="160" t="s">
        <v>83</v>
      </c>
      <c r="T3" s="176" t="s">
        <v>84</v>
      </c>
      <c r="U3" s="176" t="s">
        <v>0</v>
      </c>
      <c r="V3" s="176" t="s">
        <v>1</v>
      </c>
      <c r="W3" s="176" t="s">
        <v>2</v>
      </c>
      <c r="X3" s="165" t="s">
        <v>67</v>
      </c>
      <c r="Y3" s="165" t="s">
        <v>68</v>
      </c>
      <c r="Z3" s="165" t="s">
        <v>69</v>
      </c>
      <c r="AA3" s="165" t="s">
        <v>70</v>
      </c>
      <c r="AB3" s="165" t="s">
        <v>71</v>
      </c>
      <c r="AC3" s="165" t="s">
        <v>72</v>
      </c>
      <c r="AD3" s="165" t="s">
        <v>73</v>
      </c>
      <c r="AE3" s="165" t="s">
        <v>82</v>
      </c>
      <c r="AF3" s="161" t="s">
        <v>87</v>
      </c>
    </row>
    <row r="4" spans="1:33" x14ac:dyDescent="0.2">
      <c r="A4" s="171">
        <v>2</v>
      </c>
      <c r="B4" s="166">
        <f>'ACTIVITY DATA'!F86</f>
        <v>0</v>
      </c>
      <c r="C4" s="177">
        <f>(B4*'ACTIVITY DATA'!$H$71)</f>
        <v>0</v>
      </c>
      <c r="D4" s="177">
        <f>'ACTIVITY DATA'!G86</f>
        <v>0</v>
      </c>
      <c r="E4" s="177">
        <f>'ACTIVITY DATA'!H86</f>
        <v>0</v>
      </c>
      <c r="F4" s="177">
        <f>'ACTIVITY DATA'!I86</f>
        <v>0</v>
      </c>
      <c r="G4" s="167">
        <f>(D4/255)</f>
        <v>0</v>
      </c>
      <c r="H4" s="167">
        <f>(E4/255)</f>
        <v>0</v>
      </c>
      <c r="I4" s="167">
        <f>(F4/255)</f>
        <v>0</v>
      </c>
      <c r="J4" s="167">
        <f>((G4+0.055)/(1.055))^2.4</f>
        <v>8.338051086174556E-4</v>
      </c>
      <c r="K4" s="167">
        <f>((H4+0.055)/(1.055))^2.4</f>
        <v>8.338051086174556E-4</v>
      </c>
      <c r="L4" s="167">
        <f>((I4+0.055)/(1.055))^2.4</f>
        <v>8.338051086174556E-4</v>
      </c>
      <c r="M4" s="167">
        <f>SUM((0.2126*J4)+(0.7152*K4)+(0.0722*L4))</f>
        <v>8.3380510861745549E-4</v>
      </c>
      <c r="N4" s="184">
        <f>(M4*$M$10)</f>
        <v>1.4423379904495511E-3</v>
      </c>
      <c r="O4" s="169">
        <v>0</v>
      </c>
      <c r="P4" s="161"/>
      <c r="Q4" s="161"/>
      <c r="R4" s="171">
        <v>2</v>
      </c>
      <c r="S4" s="166">
        <f>'ACTIVITY DATA'!F104</f>
        <v>99.29</v>
      </c>
      <c r="T4" s="182">
        <f>(S4*'ACTIVITY DATA'!$H$74)</f>
        <v>113.81821183094978</v>
      </c>
      <c r="U4" s="177">
        <f>'ACTIVITY DATA'!G104</f>
        <v>97</v>
      </c>
      <c r="V4" s="177">
        <f>'ACTIVITY DATA'!H104</f>
        <v>39</v>
      </c>
      <c r="W4" s="177">
        <f>'ACTIVITY DATA'!I104</f>
        <v>31</v>
      </c>
      <c r="X4" s="167">
        <f>(U4/255)</f>
        <v>0.38039215686274508</v>
      </c>
      <c r="Y4" s="167">
        <f>(V4/255)</f>
        <v>0.15294117647058825</v>
      </c>
      <c r="Z4" s="167">
        <f>(W4/255)</f>
        <v>0.12156862745098039</v>
      </c>
      <c r="AA4" s="167">
        <f>((X4+0.055)/(1.055))^2.4</f>
        <v>0.11953842798834564</v>
      </c>
      <c r="AB4" s="167">
        <f>((Y4+0.055)/(1.055))^2.4</f>
        <v>2.0288563056652397E-2</v>
      </c>
      <c r="AC4" s="167">
        <f>((Z4+0.055)/(1.055))^2.4</f>
        <v>1.3702083047289692E-2</v>
      </c>
      <c r="AD4" s="167">
        <f>SUM((0.2126*AA4)+(0.7152*AB4)+(0.0722*AC4))</f>
        <v>4.0913540484454398E-2</v>
      </c>
      <c r="AE4" s="184">
        <f>(AD4*$M$10)</f>
        <v>7.0773317595009183E-2</v>
      </c>
      <c r="AF4" s="185">
        <v>7.0000000000000007E-2</v>
      </c>
    </row>
    <row r="5" spans="1:33" x14ac:dyDescent="0.2">
      <c r="A5" s="171">
        <v>3</v>
      </c>
      <c r="B5" s="166">
        <f>'ACTIVITY DATA'!F87</f>
        <v>0</v>
      </c>
      <c r="C5" s="177">
        <f>(B5*'ACTIVITY DATA'!$H$71)</f>
        <v>0</v>
      </c>
      <c r="D5" s="177">
        <f>'ACTIVITY DATA'!G87</f>
        <v>0</v>
      </c>
      <c r="E5" s="177">
        <f>'ACTIVITY DATA'!H87</f>
        <v>0</v>
      </c>
      <c r="F5" s="177">
        <f>'ACTIVITY DATA'!I87</f>
        <v>0</v>
      </c>
      <c r="G5" s="167">
        <f t="shared" ref="G5:G7" si="0">(D5/255)</f>
        <v>0</v>
      </c>
      <c r="H5" s="167">
        <f t="shared" ref="H5:H7" si="1">(E5/255)</f>
        <v>0</v>
      </c>
      <c r="I5" s="167">
        <f t="shared" ref="I5:I7" si="2">(F5/255)</f>
        <v>0</v>
      </c>
      <c r="J5" s="167">
        <f t="shared" ref="J5:J7" si="3">((G5+0.055)/(1.055))^2.4</f>
        <v>8.338051086174556E-4</v>
      </c>
      <c r="K5" s="167">
        <f t="shared" ref="K5:K7" si="4">((H5+0.055)/(1.055))^2.4</f>
        <v>8.338051086174556E-4</v>
      </c>
      <c r="L5" s="167">
        <f t="shared" ref="L5:L7" si="5">((I5+0.055)/(1.055))^2.4</f>
        <v>8.338051086174556E-4</v>
      </c>
      <c r="M5" s="167">
        <f t="shared" ref="M5:M7" si="6">SUM((0.2126*J5)+(0.7152*K5)+(0.0722*L5))</f>
        <v>8.3380510861745549E-4</v>
      </c>
      <c r="N5" s="184">
        <f t="shared" ref="N5:N7" si="7">(M5*$M$10)</f>
        <v>1.4423379904495511E-3</v>
      </c>
      <c r="O5" s="169">
        <v>0</v>
      </c>
      <c r="P5" s="161"/>
      <c r="Q5" s="161"/>
      <c r="R5" s="171">
        <v>3</v>
      </c>
      <c r="S5" s="166">
        <f>'ACTIVITY DATA'!F105</f>
        <v>79.39</v>
      </c>
      <c r="T5" s="182">
        <f>(S5*'ACTIVITY DATA'!$H$74)</f>
        <v>91.006423982869393</v>
      </c>
      <c r="U5" s="177">
        <f>'ACTIVITY DATA'!G105</f>
        <v>112</v>
      </c>
      <c r="V5" s="177">
        <f>'ACTIVITY DATA'!H105</f>
        <v>51</v>
      </c>
      <c r="W5" s="177">
        <f>'ACTIVITY DATA'!I105</f>
        <v>40</v>
      </c>
      <c r="X5" s="167">
        <f t="shared" ref="X5:X7" si="8">(U5/255)</f>
        <v>0.4392156862745098</v>
      </c>
      <c r="Y5" s="167">
        <f t="shared" ref="Y5:Y7" si="9">(V5/255)</f>
        <v>0.2</v>
      </c>
      <c r="Z5" s="167">
        <f t="shared" ref="Z5:Z7" si="10">(W5/255)</f>
        <v>0.15686274509803921</v>
      </c>
      <c r="AA5" s="167">
        <f t="shared" ref="AA5:AA7" si="11">((X5+0.055)/(1.055))^2.4</f>
        <v>0.16202937563911096</v>
      </c>
      <c r="AB5" s="167">
        <f t="shared" ref="AB5:AB7" si="12">((Y5+0.055)/(1.055))^2.4</f>
        <v>3.3104766570885055E-2</v>
      </c>
      <c r="AC5" s="167">
        <f t="shared" ref="AC5:AC7" si="13">((Z5+0.055)/(1.055))^2.4</f>
        <v>2.1219010376003551E-2</v>
      </c>
      <c r="AD5" s="167">
        <f t="shared" ref="AD5:AD7" si="14">SUM((0.2126*AA5)+(0.7152*AB5)+(0.0722*AC5))</f>
        <v>5.965598686151944E-2</v>
      </c>
      <c r="AE5" s="184">
        <f t="shared" ref="AE5:AE7" si="15">(AD5*$M$10)</f>
        <v>0.1031944939157302</v>
      </c>
      <c r="AF5" s="185">
        <v>0.1</v>
      </c>
    </row>
    <row r="6" spans="1:33" x14ac:dyDescent="0.2">
      <c r="A6" s="171">
        <v>4</v>
      </c>
      <c r="B6" s="166">
        <f>'ACTIVITY DATA'!F88</f>
        <v>122.6</v>
      </c>
      <c r="C6" s="182">
        <f>(B6*'ACTIVITY DATA'!$H$71)</f>
        <v>65.130175352106676</v>
      </c>
      <c r="D6" s="177">
        <f>'ACTIVITY DATA'!G88</f>
        <v>185</v>
      </c>
      <c r="E6" s="177">
        <f>'ACTIVITY DATA'!H88</f>
        <v>80</v>
      </c>
      <c r="F6" s="177">
        <f>'ACTIVITY DATA'!I88</f>
        <v>75</v>
      </c>
      <c r="G6" s="167">
        <f t="shared" si="0"/>
        <v>0.72549019607843135</v>
      </c>
      <c r="H6" s="167">
        <f t="shared" si="1"/>
        <v>0.31372549019607843</v>
      </c>
      <c r="I6" s="167">
        <f t="shared" si="2"/>
        <v>0.29411764705882354</v>
      </c>
      <c r="J6" s="167">
        <f t="shared" si="3"/>
        <v>0.48514994005607043</v>
      </c>
      <c r="K6" s="167">
        <f t="shared" si="4"/>
        <v>8.0219820314468296E-2</v>
      </c>
      <c r="L6" s="167">
        <f t="shared" si="5"/>
        <v>7.0360095696595876E-2</v>
      </c>
      <c r="M6" s="167">
        <f t="shared" si="6"/>
        <v>0.16559609165412253</v>
      </c>
      <c r="N6" s="184">
        <f t="shared" si="7"/>
        <v>0.28645247143992686</v>
      </c>
      <c r="O6" s="161">
        <v>0.32</v>
      </c>
      <c r="P6" s="161" t="s">
        <v>88</v>
      </c>
      <c r="Q6" s="161"/>
      <c r="R6" s="171">
        <v>4</v>
      </c>
      <c r="S6" s="166">
        <f>'ACTIVITY DATA'!F106</f>
        <v>114.55</v>
      </c>
      <c r="T6" s="182">
        <f>(S6*'ACTIVITY DATA'!$H$74)</f>
        <v>131.31107025113602</v>
      </c>
      <c r="U6" s="177">
        <f>'ACTIVITY DATA'!G106</f>
        <v>105</v>
      </c>
      <c r="V6" s="177">
        <f>'ACTIVITY DATA'!H106</f>
        <v>48</v>
      </c>
      <c r="W6" s="177">
        <f>'ACTIVITY DATA'!I106</f>
        <v>39</v>
      </c>
      <c r="X6" s="167">
        <f t="shared" si="8"/>
        <v>0.41176470588235292</v>
      </c>
      <c r="Y6" s="167">
        <f t="shared" si="9"/>
        <v>0.18823529411764706</v>
      </c>
      <c r="Z6" s="167">
        <f t="shared" si="10"/>
        <v>0.15294117647058825</v>
      </c>
      <c r="AA6" s="167">
        <f t="shared" si="11"/>
        <v>0.14126329114027164</v>
      </c>
      <c r="AB6" s="167">
        <f t="shared" si="12"/>
        <v>2.9556834437808807E-2</v>
      </c>
      <c r="AC6" s="167">
        <f t="shared" si="13"/>
        <v>2.0288563056652397E-2</v>
      </c>
      <c r="AD6" s="167">
        <f t="shared" si="14"/>
        <v>5.2636457939032912E-2</v>
      </c>
      <c r="AE6" s="184">
        <f t="shared" si="15"/>
        <v>9.1051928302586668E-2</v>
      </c>
      <c r="AF6" s="185">
        <v>0.09</v>
      </c>
      <c r="AG6" s="161" t="s">
        <v>88</v>
      </c>
    </row>
    <row r="7" spans="1:33" x14ac:dyDescent="0.2">
      <c r="A7" s="171">
        <v>5</v>
      </c>
      <c r="B7" s="166">
        <f>'ACTIVITY DATA'!F89</f>
        <v>44.72</v>
      </c>
      <c r="C7" s="182">
        <f>(B7*'ACTIVITY DATA'!$H$71)</f>
        <v>23.757108007717868</v>
      </c>
      <c r="D7" s="177">
        <f>'ACTIVITY DATA'!G89</f>
        <v>175</v>
      </c>
      <c r="E7" s="177">
        <f>'ACTIVITY DATA'!H89</f>
        <v>118</v>
      </c>
      <c r="F7" s="177">
        <f>'ACTIVITY DATA'!I89</f>
        <v>89</v>
      </c>
      <c r="G7" s="167">
        <f t="shared" si="0"/>
        <v>0.68627450980392157</v>
      </c>
      <c r="H7" s="167">
        <f t="shared" si="1"/>
        <v>0.46274509803921571</v>
      </c>
      <c r="I7" s="167">
        <f t="shared" si="2"/>
        <v>0.34901960784313724</v>
      </c>
      <c r="J7" s="167">
        <f t="shared" si="3"/>
        <v>0.42869049661390662</v>
      </c>
      <c r="K7" s="167">
        <f t="shared" si="4"/>
        <v>0.18116424424986022</v>
      </c>
      <c r="L7" s="167">
        <f t="shared" si="5"/>
        <v>9.9898728247113905E-2</v>
      </c>
      <c r="M7" s="167">
        <f t="shared" si="6"/>
        <v>0.22792095524705819</v>
      </c>
      <c r="N7" s="184">
        <f t="shared" si="7"/>
        <v>0.39426365846746969</v>
      </c>
      <c r="O7" s="161">
        <v>0.39</v>
      </c>
      <c r="P7" s="186">
        <f>_xlfn.T.TEST(N4:N7,O4:O7,1,1)</f>
        <v>0.25839185789695557</v>
      </c>
      <c r="Q7" s="161"/>
      <c r="R7" s="171">
        <v>5</v>
      </c>
      <c r="S7" s="166">
        <f>'ACTIVITY DATA'!F107</f>
        <v>63.49</v>
      </c>
      <c r="T7" s="182">
        <f>(S7*'ACTIVITY DATA'!$H$74)</f>
        <v>72.779920124352913</v>
      </c>
      <c r="U7" s="177">
        <f>'ACTIVITY DATA'!G107</f>
        <v>102</v>
      </c>
      <c r="V7" s="177">
        <f>'ACTIVITY DATA'!H107</f>
        <v>59</v>
      </c>
      <c r="W7" s="177">
        <f>'ACTIVITY DATA'!I107</f>
        <v>49</v>
      </c>
      <c r="X7" s="167">
        <f t="shared" si="8"/>
        <v>0.4</v>
      </c>
      <c r="Y7" s="167">
        <f t="shared" si="9"/>
        <v>0.23137254901960785</v>
      </c>
      <c r="Z7" s="167">
        <f t="shared" si="10"/>
        <v>0.19215686274509805</v>
      </c>
      <c r="AA7" s="167">
        <f t="shared" si="11"/>
        <v>0.13286832155381798</v>
      </c>
      <c r="AB7" s="167">
        <f t="shared" si="12"/>
        <v>4.3735029256973472E-2</v>
      </c>
      <c r="AC7" s="167">
        <f t="shared" si="13"/>
        <v>3.0713443732993638E-2</v>
      </c>
      <c r="AD7" s="167">
        <f t="shared" si="14"/>
        <v>6.1744608724451269E-2</v>
      </c>
      <c r="AE7" s="184">
        <f t="shared" si="15"/>
        <v>0.10680744690613003</v>
      </c>
      <c r="AF7" s="185">
        <v>0.11</v>
      </c>
      <c r="AG7" s="186">
        <f>_xlfn.T.TEST(AE4:AE7,AF4:AF7,1,1)</f>
        <v>0.37706890835729401</v>
      </c>
    </row>
    <row r="8" spans="1:33" x14ac:dyDescent="0.2">
      <c r="A8" s="181"/>
      <c r="B8" s="161" t="s">
        <v>65</v>
      </c>
      <c r="C8" s="183">
        <f>AVERAGE(C4:C7)</f>
        <v>22.221820839956138</v>
      </c>
      <c r="D8" s="178"/>
      <c r="E8" s="178"/>
      <c r="F8" s="178"/>
      <c r="G8" s="169"/>
      <c r="H8" s="169"/>
      <c r="I8" s="169"/>
      <c r="J8" s="169"/>
      <c r="K8" s="169"/>
      <c r="L8" s="169"/>
      <c r="M8" s="169"/>
      <c r="N8" s="183">
        <f>AVERAGE(N4:N7)</f>
        <v>0.17090020147207391</v>
      </c>
      <c r="O8" s="161">
        <v>0.18</v>
      </c>
      <c r="P8" s="161"/>
      <c r="Q8" s="161"/>
      <c r="R8" s="181"/>
      <c r="S8" s="161" t="s">
        <v>65</v>
      </c>
      <c r="T8" s="183">
        <f>AVERAGE(T4:T7)</f>
        <v>102.22890654732703</v>
      </c>
      <c r="U8" s="178"/>
      <c r="V8" s="178"/>
      <c r="W8" s="178"/>
      <c r="X8" s="169"/>
      <c r="Y8" s="169"/>
      <c r="Z8" s="169"/>
      <c r="AA8" s="169"/>
      <c r="AB8" s="169"/>
      <c r="AC8" s="169"/>
      <c r="AD8" s="169"/>
      <c r="AE8" s="183">
        <f>AVERAGE(AE4:AE7)</f>
        <v>9.2956796679864021E-2</v>
      </c>
      <c r="AF8">
        <v>0.09</v>
      </c>
    </row>
    <row r="9" spans="1:33" ht="16" thickBot="1" x14ac:dyDescent="0.25">
      <c r="A9" s="161"/>
      <c r="B9" s="161" t="s">
        <v>86</v>
      </c>
      <c r="C9" s="183">
        <f>_xlfn.STDEV.P(C4:C7)</f>
        <v>26.604053434176627</v>
      </c>
      <c r="D9" s="178"/>
      <c r="E9" s="178"/>
      <c r="F9" s="178"/>
      <c r="G9" s="169"/>
      <c r="H9" s="169"/>
      <c r="I9" s="169"/>
      <c r="J9" s="169"/>
      <c r="K9" s="169"/>
      <c r="L9" s="169"/>
      <c r="M9" s="169"/>
      <c r="N9" s="183">
        <f>_xlfn.STDEV.P(N4:N7)</f>
        <v>0.17369189388625142</v>
      </c>
      <c r="O9" s="161">
        <v>0.18</v>
      </c>
      <c r="P9" s="161"/>
      <c r="Q9" s="161"/>
      <c r="R9" s="161"/>
      <c r="S9" s="161" t="s">
        <v>86</v>
      </c>
      <c r="T9" s="183">
        <f>_xlfn.STDEV.P(T4:T7)</f>
        <v>22.210758423015534</v>
      </c>
      <c r="U9" s="178"/>
      <c r="V9" s="178"/>
      <c r="W9" s="178"/>
      <c r="X9" s="169"/>
      <c r="Y9" s="169"/>
      <c r="Z9" s="169"/>
      <c r="AA9" s="169"/>
      <c r="AB9" s="169"/>
      <c r="AC9" s="169"/>
      <c r="AD9" s="169"/>
      <c r="AE9" s="183">
        <f>_xlfn.STDEV.P(AE4:AE7)</f>
        <v>1.4074677831362313E-2</v>
      </c>
      <c r="AF9">
        <v>0.02</v>
      </c>
    </row>
    <row r="10" spans="1:33" ht="17" thickBot="1" x14ac:dyDescent="0.25">
      <c r="A10" s="161"/>
      <c r="B10" s="161"/>
      <c r="C10" s="178"/>
      <c r="D10" s="178"/>
      <c r="E10" s="178"/>
      <c r="F10" s="178"/>
      <c r="G10" s="169"/>
      <c r="H10" s="169"/>
      <c r="I10" s="169"/>
      <c r="J10" s="206" t="s">
        <v>81</v>
      </c>
      <c r="K10" s="207"/>
      <c r="L10" s="208"/>
      <c r="M10" s="173">
        <f>'Pantone Luminance'!K11</f>
        <v>1.7298262813969956</v>
      </c>
      <c r="N10" s="161"/>
      <c r="O10" s="161"/>
      <c r="P10" s="161"/>
      <c r="Q10" s="161"/>
      <c r="R10" s="161"/>
      <c r="S10" s="161"/>
      <c r="T10" s="178"/>
      <c r="U10" s="178"/>
      <c r="V10" s="178"/>
      <c r="W10" s="178"/>
      <c r="X10" s="169"/>
      <c r="Y10" s="169"/>
      <c r="Z10" s="169"/>
      <c r="AA10" s="198" t="s">
        <v>81</v>
      </c>
      <c r="AB10" s="198"/>
      <c r="AC10" s="199"/>
      <c r="AD10" s="172">
        <f>'Pantone Luminance'!X11</f>
        <v>1.8140705103351868</v>
      </c>
    </row>
    <row r="11" spans="1:33" ht="19" x14ac:dyDescent="0.25">
      <c r="A11" s="200" t="s">
        <v>76</v>
      </c>
      <c r="B11" s="200"/>
      <c r="C11" s="200"/>
      <c r="D11" s="200"/>
      <c r="E11" s="200"/>
      <c r="F11" s="200"/>
      <c r="G11" s="200"/>
      <c r="H11" s="169"/>
      <c r="I11" s="169"/>
      <c r="J11" s="169"/>
      <c r="K11" s="169"/>
      <c r="L11" s="169"/>
      <c r="M11" s="169"/>
      <c r="N11" s="161"/>
      <c r="O11" s="161"/>
      <c r="P11" s="161"/>
      <c r="Q11" s="161"/>
      <c r="R11" s="200" t="s">
        <v>79</v>
      </c>
      <c r="S11" s="200"/>
      <c r="T11" s="200"/>
      <c r="U11" s="200"/>
      <c r="V11" s="200"/>
      <c r="W11" s="200"/>
      <c r="X11" s="200"/>
      <c r="Y11" s="169"/>
      <c r="Z11" s="169"/>
      <c r="AA11" s="169"/>
      <c r="AB11" s="169"/>
      <c r="AC11" s="169"/>
      <c r="AD11" s="169"/>
    </row>
    <row r="12" spans="1:33" x14ac:dyDescent="0.2">
      <c r="A12" s="162"/>
      <c r="B12" s="162"/>
      <c r="C12" s="179"/>
      <c r="D12" s="179"/>
      <c r="E12" s="179"/>
      <c r="F12" s="179"/>
      <c r="G12" s="162"/>
      <c r="H12" s="162"/>
      <c r="I12" s="162"/>
      <c r="J12" s="162"/>
      <c r="K12" s="162"/>
      <c r="L12" s="162"/>
      <c r="M12" s="162"/>
      <c r="N12" s="161"/>
      <c r="O12" s="161"/>
      <c r="P12" s="161"/>
      <c r="Q12" s="16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</row>
    <row r="13" spans="1:33" ht="17" x14ac:dyDescent="0.2">
      <c r="A13" s="160" t="s">
        <v>48</v>
      </c>
      <c r="B13" s="160" t="s">
        <v>83</v>
      </c>
      <c r="C13" s="176" t="s">
        <v>84</v>
      </c>
      <c r="D13" s="176" t="s">
        <v>0</v>
      </c>
      <c r="E13" s="176" t="s">
        <v>1</v>
      </c>
      <c r="F13" s="176" t="s">
        <v>2</v>
      </c>
      <c r="G13" s="165" t="s">
        <v>67</v>
      </c>
      <c r="H13" s="165" t="s">
        <v>68</v>
      </c>
      <c r="I13" s="165" t="s">
        <v>69</v>
      </c>
      <c r="J13" s="165" t="s">
        <v>70</v>
      </c>
      <c r="K13" s="165" t="s">
        <v>71</v>
      </c>
      <c r="L13" s="165" t="s">
        <v>72</v>
      </c>
      <c r="M13" s="165" t="s">
        <v>73</v>
      </c>
      <c r="N13" s="165" t="s">
        <v>82</v>
      </c>
      <c r="O13" s="161" t="s">
        <v>87</v>
      </c>
      <c r="P13" s="161"/>
      <c r="Q13" s="161"/>
      <c r="R13" s="160" t="s">
        <v>48</v>
      </c>
      <c r="S13" s="160" t="s">
        <v>83</v>
      </c>
      <c r="T13" s="176" t="s">
        <v>84</v>
      </c>
      <c r="U13" s="176" t="s">
        <v>0</v>
      </c>
      <c r="V13" s="176" t="s">
        <v>1</v>
      </c>
      <c r="W13" s="176" t="s">
        <v>2</v>
      </c>
      <c r="X13" s="165" t="s">
        <v>67</v>
      </c>
      <c r="Y13" s="165" t="s">
        <v>68</v>
      </c>
      <c r="Z13" s="165" t="s">
        <v>69</v>
      </c>
      <c r="AA13" s="165" t="s">
        <v>70</v>
      </c>
      <c r="AB13" s="165" t="s">
        <v>71</v>
      </c>
      <c r="AC13" s="165" t="s">
        <v>72</v>
      </c>
      <c r="AD13" s="165" t="s">
        <v>73</v>
      </c>
      <c r="AE13" s="165" t="s">
        <v>82</v>
      </c>
      <c r="AF13" s="161" t="s">
        <v>87</v>
      </c>
    </row>
    <row r="14" spans="1:33" x14ac:dyDescent="0.2">
      <c r="A14" s="171">
        <v>2</v>
      </c>
      <c r="B14" s="166">
        <f>'ACTIVITY DATA'!F92</f>
        <v>84.82</v>
      </c>
      <c r="C14" s="182">
        <f>(B14*'ACTIVITY DATA'!$H$72)</f>
        <v>97.648694947411045</v>
      </c>
      <c r="D14" s="177">
        <f>'ACTIVITY DATA'!G92</f>
        <v>153</v>
      </c>
      <c r="E14" s="177">
        <f>'ACTIVITY DATA'!H92</f>
        <v>72</v>
      </c>
      <c r="F14" s="177">
        <f>'ACTIVITY DATA'!I92</f>
        <v>68</v>
      </c>
      <c r="G14" s="167">
        <f>(D14/255)</f>
        <v>0.6</v>
      </c>
      <c r="H14" s="167">
        <f>(E14/255)</f>
        <v>0.28235294117647058</v>
      </c>
      <c r="I14" s="167">
        <f>(F14/255)</f>
        <v>0.26666666666666666</v>
      </c>
      <c r="J14" s="167">
        <f>((G14+0.055)/(1.055))^2.4</f>
        <v>0.31854677812509186</v>
      </c>
      <c r="K14" s="167">
        <f>((H14+0.055)/(1.055))^2.4</f>
        <v>6.48032666929058E-2</v>
      </c>
      <c r="L14" s="167">
        <f>((I14+0.055)/(1.055))^2.4</f>
        <v>5.7805430191067216E-2</v>
      </c>
      <c r="M14" s="167">
        <f>SUM((0.2126*J14)+(0.7152*K14)+(0.0722*L14))</f>
        <v>0.11824389342795583</v>
      </c>
      <c r="N14" s="184">
        <f>(M14*$M$10)</f>
        <v>0.20454139446638347</v>
      </c>
      <c r="O14" s="186">
        <v>0.24</v>
      </c>
      <c r="P14" s="161"/>
      <c r="Q14" s="161"/>
      <c r="R14" s="171">
        <v>2</v>
      </c>
      <c r="S14" s="166">
        <f>'ACTIVITY DATA'!F110</f>
        <v>153.21</v>
      </c>
      <c r="T14" s="182">
        <f>(S14*'ACTIVITY DATA'!$H$75)</f>
        <v>177.14186611168921</v>
      </c>
      <c r="U14" s="177">
        <f>'ACTIVITY DATA'!G110</f>
        <v>115</v>
      </c>
      <c r="V14" s="177">
        <f>'ACTIVITY DATA'!H110</f>
        <v>36</v>
      </c>
      <c r="W14" s="177">
        <f>'ACTIVITY DATA'!I110</f>
        <v>30</v>
      </c>
      <c r="X14" s="167">
        <f>(U14/255)</f>
        <v>0.45098039215686275</v>
      </c>
      <c r="Y14" s="167">
        <f>(V14/255)</f>
        <v>0.14117647058823529</v>
      </c>
      <c r="Z14" s="167">
        <f>(W14/255)</f>
        <v>0.11764705882352941</v>
      </c>
      <c r="AA14" s="167">
        <f>((X14+0.055)/(1.055))^2.4</f>
        <v>0.17144110073282262</v>
      </c>
      <c r="AB14" s="167">
        <f>((Y14+0.055)/(1.055))^2.4</f>
        <v>1.7641954488384088E-2</v>
      </c>
      <c r="AC14" s="167">
        <f>((Z14+0.055)/(1.055))^2.4</f>
        <v>1.2983032342173016E-2</v>
      </c>
      <c r="AD14" s="167">
        <f>SUM((0.2126*AA14)+(0.7152*AB14)+(0.0722*AC14))</f>
        <v>5.0003278800995282E-2</v>
      </c>
      <c r="AE14" s="184">
        <f>(AD14*$M$10)</f>
        <v>8.6496985825982892E-2</v>
      </c>
      <c r="AF14" s="185">
        <v>0.1</v>
      </c>
    </row>
    <row r="15" spans="1:33" x14ac:dyDescent="0.2">
      <c r="A15" s="171">
        <v>3</v>
      </c>
      <c r="B15" s="166">
        <f>'ACTIVITY DATA'!F93</f>
        <v>117.12</v>
      </c>
      <c r="C15" s="182">
        <f>(B15*'ACTIVITY DATA'!$H$72)</f>
        <v>134.83394426126839</v>
      </c>
      <c r="D15" s="177">
        <f>'ACTIVITY DATA'!G93</f>
        <v>163</v>
      </c>
      <c r="E15" s="177">
        <f>'ACTIVITY DATA'!H93</f>
        <v>90</v>
      </c>
      <c r="F15" s="177">
        <f>'ACTIVITY DATA'!I93</f>
        <v>76</v>
      </c>
      <c r="G15" s="167">
        <f t="shared" ref="G15:G17" si="16">(D15/255)</f>
        <v>0.63921568627450975</v>
      </c>
      <c r="H15" s="167">
        <f t="shared" ref="H15:H17" si="17">(E15/255)</f>
        <v>0.35294117647058826</v>
      </c>
      <c r="I15" s="167">
        <f t="shared" ref="I15:I17" si="18">(F15/255)</f>
        <v>0.29803921568627451</v>
      </c>
      <c r="J15" s="167">
        <f t="shared" ref="J15:J17" si="19">((G15+0.055)/(1.055))^2.4</f>
        <v>0.36625259559883949</v>
      </c>
      <c r="K15" s="167">
        <f t="shared" ref="K15:K17" si="20">((H15+0.055)/(1.055))^2.4</f>
        <v>0.10224173308810132</v>
      </c>
      <c r="L15" s="167">
        <f t="shared" ref="L15:L17" si="21">((I15+0.055)/(1.055))^2.4</f>
        <v>7.2271850682317465E-2</v>
      </c>
      <c r="M15" s="167">
        <f t="shared" ref="M15:M17" si="22">SUM((0.2126*J15)+(0.7152*K15)+(0.0722*L15))</f>
        <v>0.15620661694818666</v>
      </c>
      <c r="N15" s="184">
        <f t="shared" ref="N15:N17" si="23">(M15*$M$10)</f>
        <v>0.27021031132508666</v>
      </c>
      <c r="O15" s="186">
        <v>0.27</v>
      </c>
      <c r="P15" s="161"/>
      <c r="Q15" s="161"/>
      <c r="R15" s="171">
        <v>3</v>
      </c>
      <c r="S15" s="166">
        <f>'ACTIVITY DATA'!F111</f>
        <v>100.67</v>
      </c>
      <c r="T15" s="182">
        <f>(S15*'ACTIVITY DATA'!$H$75)</f>
        <v>116.39495895479246</v>
      </c>
      <c r="U15" s="177">
        <f>'ACTIVITY DATA'!G111</f>
        <v>117</v>
      </c>
      <c r="V15" s="177">
        <f>'ACTIVITY DATA'!H111</f>
        <v>36</v>
      </c>
      <c r="W15" s="177">
        <f>'ACTIVITY DATA'!I111</f>
        <v>30</v>
      </c>
      <c r="X15" s="167">
        <f t="shared" ref="X15:X17" si="24">(U15/255)</f>
        <v>0.45882352941176469</v>
      </c>
      <c r="Y15" s="167">
        <f t="shared" ref="Y15:Y17" si="25">(V15/255)</f>
        <v>0.14117647058823529</v>
      </c>
      <c r="Z15" s="167">
        <f t="shared" ref="Z15:Z17" si="26">(W15/255)</f>
        <v>0.11764705882352941</v>
      </c>
      <c r="AA15" s="167">
        <f t="shared" ref="AA15:AA17" si="27">((X15+0.055)/(1.055))^2.4</f>
        <v>0.17788841598362914</v>
      </c>
      <c r="AB15" s="167">
        <f t="shared" ref="AB15:AB17" si="28">((Y15+0.055)/(1.055))^2.4</f>
        <v>1.7641954488384088E-2</v>
      </c>
      <c r="AC15" s="167">
        <f t="shared" ref="AC15:AC17" si="29">((Z15+0.055)/(1.055))^2.4</f>
        <v>1.2983032342173016E-2</v>
      </c>
      <c r="AD15" s="167">
        <f t="shared" ref="AD15:AD17" si="30">SUM((0.2126*AA15)+(0.7152*AB15)+(0.0722*AC15))</f>
        <v>5.1373978023316752E-2</v>
      </c>
      <c r="AE15" s="184">
        <f t="shared" ref="AE15:AE17" si="31">(AD15*$M$10)</f>
        <v>8.8868057364644995E-2</v>
      </c>
      <c r="AF15">
        <v>0.09</v>
      </c>
    </row>
    <row r="16" spans="1:33" x14ac:dyDescent="0.2">
      <c r="A16" s="171">
        <v>4</v>
      </c>
      <c r="B16" s="166">
        <f>'ACTIVITY DATA'!F94</f>
        <v>56.22</v>
      </c>
      <c r="C16" s="182">
        <f>(B16*'ACTIVITY DATA'!$H$72)</f>
        <v>64.723056236069908</v>
      </c>
      <c r="D16" s="177">
        <f>'ACTIVITY DATA'!G94</f>
        <v>190</v>
      </c>
      <c r="E16" s="177">
        <f>'ACTIVITY DATA'!H94</f>
        <v>96</v>
      </c>
      <c r="F16" s="177">
        <f>'ACTIVITY DATA'!I94</f>
        <v>94</v>
      </c>
      <c r="G16" s="167">
        <f t="shared" si="16"/>
        <v>0.74509803921568629</v>
      </c>
      <c r="H16" s="167">
        <f t="shared" si="17"/>
        <v>0.37647058823529411</v>
      </c>
      <c r="I16" s="167">
        <f t="shared" si="18"/>
        <v>0.36862745098039218</v>
      </c>
      <c r="J16" s="167">
        <f t="shared" si="19"/>
        <v>0.51491766537652139</v>
      </c>
      <c r="K16" s="167">
        <f t="shared" si="20"/>
        <v>0.11697066775851085</v>
      </c>
      <c r="L16" s="167">
        <f t="shared" si="21"/>
        <v>0.11193242783690559</v>
      </c>
      <c r="M16" s="167">
        <f t="shared" si="22"/>
        <v>0.20121043852976001</v>
      </c>
      <c r="N16" s="184">
        <f t="shared" si="23"/>
        <v>0.34805910466019352</v>
      </c>
      <c r="O16" s="186">
        <v>0.38</v>
      </c>
      <c r="P16" s="161" t="s">
        <v>88</v>
      </c>
      <c r="Q16" s="161"/>
      <c r="R16" s="171">
        <v>4</v>
      </c>
      <c r="S16" s="166">
        <f>'ACTIVITY DATA'!F112</f>
        <v>128.86000000000001</v>
      </c>
      <c r="T16" s="182">
        <f>(S16*'ACTIVITY DATA'!$H$75)</f>
        <v>148.98832234940457</v>
      </c>
      <c r="U16" s="177">
        <f>'ACTIVITY DATA'!G112</f>
        <v>101</v>
      </c>
      <c r="V16" s="177">
        <f>'ACTIVITY DATA'!H112</f>
        <v>34</v>
      </c>
      <c r="W16" s="177">
        <f>'ACTIVITY DATA'!I112</f>
        <v>31</v>
      </c>
      <c r="X16" s="167">
        <f t="shared" si="24"/>
        <v>0.396078431372549</v>
      </c>
      <c r="Y16" s="167">
        <f t="shared" si="25"/>
        <v>0.13333333333333333</v>
      </c>
      <c r="Z16" s="167">
        <f t="shared" si="26"/>
        <v>0.12156862745098039</v>
      </c>
      <c r="AA16" s="167">
        <f t="shared" si="27"/>
        <v>0.13013647669036432</v>
      </c>
      <c r="AB16" s="167">
        <f t="shared" si="28"/>
        <v>1.5996293365509635E-2</v>
      </c>
      <c r="AC16" s="167">
        <f t="shared" si="29"/>
        <v>1.3702083047289692E-2</v>
      </c>
      <c r="AD16" s="167">
        <f t="shared" si="30"/>
        <v>4.0096854355398261E-2</v>
      </c>
      <c r="AE16" s="184">
        <f t="shared" si="31"/>
        <v>6.9360592465315493E-2</v>
      </c>
      <c r="AF16" s="185">
        <v>7.0000000000000007E-2</v>
      </c>
      <c r="AG16" s="161" t="s">
        <v>88</v>
      </c>
    </row>
    <row r="17" spans="1:33" x14ac:dyDescent="0.2">
      <c r="A17" s="171">
        <v>5</v>
      </c>
      <c r="B17" s="166">
        <f>'ACTIVITY DATA'!F95</f>
        <v>76.38</v>
      </c>
      <c r="C17" s="182">
        <f>(B17*'ACTIVITY DATA'!$H$72)</f>
        <v>87.932177789239049</v>
      </c>
      <c r="D17" s="177">
        <f>'ACTIVITY DATA'!G95</f>
        <v>191</v>
      </c>
      <c r="E17" s="177">
        <f>'ACTIVITY DATA'!H95</f>
        <v>95</v>
      </c>
      <c r="F17" s="177">
        <f>'ACTIVITY DATA'!I95</f>
        <v>93</v>
      </c>
      <c r="G17" s="167">
        <f t="shared" si="16"/>
        <v>0.74901960784313726</v>
      </c>
      <c r="H17" s="167">
        <f t="shared" si="17"/>
        <v>0.37254901960784315</v>
      </c>
      <c r="I17" s="167">
        <f t="shared" si="18"/>
        <v>0.36470588235294116</v>
      </c>
      <c r="J17" s="167">
        <f t="shared" si="19"/>
        <v>0.5209955732043543</v>
      </c>
      <c r="K17" s="167">
        <f t="shared" si="20"/>
        <v>0.11443537382697375</v>
      </c>
      <c r="L17" s="167">
        <f t="shared" si="21"/>
        <v>0.10946171077829935</v>
      </c>
      <c r="M17" s="167">
        <f t="shared" si="22"/>
        <v>0.20051097374249055</v>
      </c>
      <c r="N17" s="184">
        <f t="shared" si="23"/>
        <v>0.34684915208826306</v>
      </c>
      <c r="O17" s="186">
        <v>0.22</v>
      </c>
      <c r="P17" s="186">
        <f>_xlfn.T.TEST(N14:N17,O14:O17,1,1)</f>
        <v>0.36102011441917148</v>
      </c>
      <c r="Q17" s="161"/>
      <c r="R17" s="171">
        <v>5</v>
      </c>
      <c r="S17" s="166">
        <f>'ACTIVITY DATA'!F113</f>
        <v>154.55000000000001</v>
      </c>
      <c r="T17" s="182">
        <f>(S17*'ACTIVITY DATA'!$H$75)</f>
        <v>178.69117817088681</v>
      </c>
      <c r="U17" s="177">
        <f>'ACTIVITY DATA'!G113</f>
        <v>95</v>
      </c>
      <c r="V17" s="177">
        <f>'ACTIVITY DATA'!H113</f>
        <v>31</v>
      </c>
      <c r="W17" s="177">
        <f>'ACTIVITY DATA'!I113</f>
        <v>29</v>
      </c>
      <c r="X17" s="167">
        <f t="shared" si="24"/>
        <v>0.37254901960784315</v>
      </c>
      <c r="Y17" s="167">
        <f t="shared" si="25"/>
        <v>0.12156862745098039</v>
      </c>
      <c r="Z17" s="167">
        <f t="shared" si="26"/>
        <v>0.11372549019607843</v>
      </c>
      <c r="AA17" s="167">
        <f t="shared" si="27"/>
        <v>0.11443537382697375</v>
      </c>
      <c r="AB17" s="167">
        <f t="shared" si="28"/>
        <v>1.3702083047289692E-2</v>
      </c>
      <c r="AC17" s="167">
        <f t="shared" si="29"/>
        <v>1.2286488356915874E-2</v>
      </c>
      <c r="AD17" s="167">
        <f t="shared" si="30"/>
        <v>3.5015774730405534E-2</v>
      </c>
      <c r="AE17" s="184">
        <f t="shared" si="31"/>
        <v>6.0571207392132287E-2</v>
      </c>
      <c r="AF17">
        <v>7.0000000000000007E-2</v>
      </c>
      <c r="AG17" s="186">
        <f>_xlfn.T.TEST(AE14:AE17,AF14:AF17,1,1)</f>
        <v>7.3135772105260677E-2</v>
      </c>
    </row>
    <row r="18" spans="1:33" x14ac:dyDescent="0.2">
      <c r="A18" s="181"/>
      <c r="B18" s="161" t="s">
        <v>65</v>
      </c>
      <c r="C18" s="183">
        <f>AVERAGE(C14:C17)</f>
        <v>96.284468308497097</v>
      </c>
      <c r="D18" s="178"/>
      <c r="E18" s="178"/>
      <c r="F18" s="178"/>
      <c r="G18" s="169"/>
      <c r="H18" s="169"/>
      <c r="I18" s="169"/>
      <c r="J18" s="169"/>
      <c r="K18" s="169"/>
      <c r="L18" s="169"/>
      <c r="M18" s="169"/>
      <c r="N18" s="183">
        <f>AVERAGE(N14:N17)</f>
        <v>0.29241499063498166</v>
      </c>
      <c r="O18" s="186">
        <v>0.27</v>
      </c>
      <c r="P18" s="161"/>
      <c r="Q18" s="161"/>
      <c r="R18" s="181"/>
      <c r="S18" s="161" t="s">
        <v>65</v>
      </c>
      <c r="T18" s="183">
        <f>AVERAGE(T14:T17)</f>
        <v>155.30408139669328</v>
      </c>
      <c r="U18" s="178"/>
      <c r="V18" s="178"/>
      <c r="W18" s="178"/>
      <c r="X18" s="169"/>
      <c r="Y18" s="169"/>
      <c r="Z18" s="169"/>
      <c r="AA18" s="169"/>
      <c r="AB18" s="169"/>
      <c r="AC18" s="169"/>
      <c r="AD18" s="169"/>
      <c r="AE18" s="183">
        <f>AVERAGE(AE14:AE17)</f>
        <v>7.6324210762018924E-2</v>
      </c>
      <c r="AF18">
        <v>0.08</v>
      </c>
    </row>
    <row r="19" spans="1:33" x14ac:dyDescent="0.2">
      <c r="A19" s="161"/>
      <c r="B19" s="161" t="s">
        <v>86</v>
      </c>
      <c r="C19" s="183">
        <f>_xlfn.STDEV.P(C14:C17)</f>
        <v>25.267601288405146</v>
      </c>
      <c r="D19" s="178"/>
      <c r="E19" s="178"/>
      <c r="F19" s="178"/>
      <c r="G19" s="169"/>
      <c r="H19" s="169"/>
      <c r="I19" s="169"/>
      <c r="J19" s="169"/>
      <c r="K19" s="169"/>
      <c r="L19" s="169"/>
      <c r="M19" s="169"/>
      <c r="N19" s="183">
        <f>_xlfn.STDEV.P(N14:N17)</f>
        <v>5.9737262336061796E-2</v>
      </c>
      <c r="O19" s="186">
        <v>0.06</v>
      </c>
      <c r="P19" s="161"/>
      <c r="Q19" s="161"/>
      <c r="R19" s="161"/>
      <c r="S19" s="161" t="s">
        <v>86</v>
      </c>
      <c r="T19" s="183">
        <f>_xlfn.STDEV.P(T14:T17)</f>
        <v>25.385299674842379</v>
      </c>
      <c r="U19" s="178"/>
      <c r="V19" s="178"/>
      <c r="W19" s="178"/>
      <c r="X19" s="169"/>
      <c r="Y19" s="169"/>
      <c r="Z19" s="169"/>
      <c r="AA19" s="169"/>
      <c r="AB19" s="169"/>
      <c r="AC19" s="169"/>
      <c r="AD19" s="169"/>
      <c r="AE19" s="183">
        <f>_xlfn.STDEV.P(AE14:AE17)</f>
        <v>1.1805534031187037E-2</v>
      </c>
      <c r="AF19">
        <v>0.01</v>
      </c>
    </row>
    <row r="20" spans="1:33" ht="16" x14ac:dyDescent="0.2">
      <c r="A20" s="161"/>
      <c r="B20" s="161"/>
      <c r="C20" s="178"/>
      <c r="D20" s="178"/>
      <c r="E20" s="178"/>
      <c r="F20" s="178"/>
      <c r="G20" s="169"/>
      <c r="H20" s="169"/>
      <c r="I20" s="169"/>
      <c r="J20" s="198" t="s">
        <v>81</v>
      </c>
      <c r="K20" s="198"/>
      <c r="L20" s="199"/>
      <c r="M20" s="172">
        <f>'Pantone Luminance'!K22</f>
        <v>1.8369424287494291</v>
      </c>
      <c r="N20" s="161"/>
      <c r="O20" s="161"/>
      <c r="P20" s="161"/>
      <c r="Q20" s="161"/>
      <c r="R20" s="161"/>
      <c r="S20" s="161"/>
      <c r="T20" s="178"/>
      <c r="U20" s="178"/>
      <c r="V20" s="178"/>
      <c r="W20" s="178"/>
      <c r="X20" s="169"/>
      <c r="Y20" s="169"/>
      <c r="Z20" s="169"/>
      <c r="AA20" s="198" t="s">
        <v>81</v>
      </c>
      <c r="AB20" s="198"/>
      <c r="AC20" s="199"/>
      <c r="AD20" s="172">
        <f>'Pantone Luminance'!X22</f>
        <v>1.6792589124241171</v>
      </c>
    </row>
    <row r="21" spans="1:33" ht="19" x14ac:dyDescent="0.25">
      <c r="A21" s="200" t="s">
        <v>77</v>
      </c>
      <c r="B21" s="200"/>
      <c r="C21" s="200"/>
      <c r="D21" s="200"/>
      <c r="E21" s="200"/>
      <c r="F21" s="200"/>
      <c r="G21" s="200"/>
      <c r="H21" s="169"/>
      <c r="I21" s="169"/>
      <c r="J21" s="169"/>
      <c r="K21" s="169"/>
      <c r="L21" s="186"/>
      <c r="M21" s="186"/>
      <c r="N21" s="186"/>
      <c r="O21" s="186"/>
      <c r="P21" s="186"/>
      <c r="Q21" s="186"/>
      <c r="R21" s="200" t="s">
        <v>80</v>
      </c>
      <c r="S21" s="200"/>
      <c r="T21" s="200"/>
      <c r="U21" s="200"/>
      <c r="V21" s="200"/>
      <c r="W21" s="200"/>
      <c r="X21" s="200"/>
      <c r="Y21" s="169"/>
      <c r="Z21" s="169"/>
      <c r="AA21" s="169"/>
      <c r="AB21" s="169"/>
      <c r="AC21" s="169"/>
      <c r="AD21" s="169"/>
    </row>
    <row r="22" spans="1:33" x14ac:dyDescent="0.2">
      <c r="A22" s="20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161"/>
      <c r="O22" s="161"/>
      <c r="P22" s="161"/>
      <c r="Q22" s="16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</row>
    <row r="23" spans="1:33" ht="17" x14ac:dyDescent="0.2">
      <c r="A23" s="160" t="s">
        <v>48</v>
      </c>
      <c r="B23" s="160" t="s">
        <v>83</v>
      </c>
      <c r="C23" s="176" t="s">
        <v>84</v>
      </c>
      <c r="D23" s="176" t="s">
        <v>0</v>
      </c>
      <c r="E23" s="176" t="s">
        <v>1</v>
      </c>
      <c r="F23" s="176" t="s">
        <v>2</v>
      </c>
      <c r="G23" s="165" t="s">
        <v>67</v>
      </c>
      <c r="H23" s="165" t="s">
        <v>68</v>
      </c>
      <c r="I23" s="165" t="s">
        <v>69</v>
      </c>
      <c r="J23" s="165" t="s">
        <v>70</v>
      </c>
      <c r="K23" s="165" t="s">
        <v>71</v>
      </c>
      <c r="L23" s="165" t="s">
        <v>72</v>
      </c>
      <c r="M23" s="165" t="s">
        <v>73</v>
      </c>
      <c r="N23" s="165" t="s">
        <v>82</v>
      </c>
      <c r="O23" s="161" t="s">
        <v>87</v>
      </c>
      <c r="P23" s="161"/>
      <c r="Q23" s="161"/>
      <c r="R23" s="160" t="s">
        <v>48</v>
      </c>
      <c r="S23" s="160" t="s">
        <v>83</v>
      </c>
      <c r="T23" s="176" t="s">
        <v>84</v>
      </c>
      <c r="U23" s="176" t="s">
        <v>0</v>
      </c>
      <c r="V23" s="176" t="s">
        <v>1</v>
      </c>
      <c r="W23" s="176" t="s">
        <v>2</v>
      </c>
      <c r="X23" s="165" t="s">
        <v>67</v>
      </c>
      <c r="Y23" s="165" t="s">
        <v>68</v>
      </c>
      <c r="Z23" s="165" t="s">
        <v>69</v>
      </c>
      <c r="AA23" s="165" t="s">
        <v>70</v>
      </c>
      <c r="AB23" s="165" t="s">
        <v>71</v>
      </c>
      <c r="AC23" s="165" t="s">
        <v>72</v>
      </c>
      <c r="AD23" s="165" t="s">
        <v>73</v>
      </c>
      <c r="AE23" s="165" t="s">
        <v>82</v>
      </c>
      <c r="AF23" s="161" t="s">
        <v>87</v>
      </c>
    </row>
    <row r="24" spans="1:33" x14ac:dyDescent="0.2">
      <c r="A24" s="171">
        <v>2</v>
      </c>
      <c r="B24" s="166">
        <f>'ACTIVITY DATA'!F98</f>
        <v>114.18</v>
      </c>
      <c r="C24" s="182">
        <f>(B24*'ACTIVITY DATA'!$H$73)</f>
        <v>134.60797108368962</v>
      </c>
      <c r="D24" s="177">
        <f>'ACTIVITY DATA'!G98</f>
        <v>173</v>
      </c>
      <c r="E24" s="177">
        <f>'ACTIVITY DATA'!H98</f>
        <v>61</v>
      </c>
      <c r="F24" s="177">
        <f>'ACTIVITY DATA'!I98</f>
        <v>45</v>
      </c>
      <c r="G24" s="167">
        <f>(D24/255)</f>
        <v>0.67843137254901964</v>
      </c>
      <c r="H24" s="167">
        <f>(E24/255)</f>
        <v>0.23921568627450981</v>
      </c>
      <c r="I24" s="167">
        <f>(F24/255)</f>
        <v>0.17647058823529413</v>
      </c>
      <c r="J24" s="167">
        <f>((G24+0.055)/(1.055))^2.4</f>
        <v>0.41788507084813747</v>
      </c>
      <c r="K24" s="167">
        <f>((H24+0.055)/(1.055))^2.4</f>
        <v>4.6665086336880102E-2</v>
      </c>
      <c r="L24" s="167">
        <f>((I24+0.055)/(1.055))^2.4</f>
        <v>2.6241221894849898E-2</v>
      </c>
      <c r="M24" s="167">
        <f>SUM((0.2126*J24)+(0.7152*K24)+(0.0722*L24))</f>
        <v>0.12411185203125885</v>
      </c>
      <c r="N24" s="184">
        <f>(M24*$M$10)</f>
        <v>0.21469194347652665</v>
      </c>
      <c r="O24" s="186">
        <v>0.19</v>
      </c>
      <c r="P24" s="161"/>
      <c r="Q24" s="161"/>
      <c r="R24" s="171">
        <v>2</v>
      </c>
      <c r="S24" s="166">
        <f>'ACTIVITY DATA'!F116</f>
        <v>208.14</v>
      </c>
      <c r="T24" s="182">
        <f>(S24*'ACTIVITY DATA'!$H$76)</f>
        <v>245.91209829867682</v>
      </c>
      <c r="U24" s="177">
        <f>'ACTIVITY DATA'!G116</f>
        <v>133</v>
      </c>
      <c r="V24" s="177">
        <f>'ACTIVITY DATA'!H116</f>
        <v>27</v>
      </c>
      <c r="W24" s="177">
        <f>'ACTIVITY DATA'!I116</f>
        <v>24</v>
      </c>
      <c r="X24" s="167">
        <f>(U24/255)</f>
        <v>0.52156862745098043</v>
      </c>
      <c r="Y24" s="167">
        <f>(V24/255)</f>
        <v>0.10588235294117647</v>
      </c>
      <c r="Z24" s="167">
        <f>(W24/255)</f>
        <v>9.4117647058823528E-2</v>
      </c>
      <c r="AA24" s="167">
        <f>((X24+0.055)/(1.055))^2.4</f>
        <v>0.23455058216100524</v>
      </c>
      <c r="AB24" s="167">
        <f>((Y24+0.055)/(1.055))^2.4</f>
        <v>1.0960094006488242E-2</v>
      </c>
      <c r="AC24" s="167">
        <f>((Z24+0.055)/(1.055))^2.4</f>
        <v>9.1340587022207854E-3</v>
      </c>
      <c r="AD24" s="167">
        <f>SUM((0.2126*AA24)+(0.7152*AB24)+(0.0722*AC24))</f>
        <v>5.836359203917045E-2</v>
      </c>
      <c r="AE24" s="184">
        <f>(AD24*$M$10)</f>
        <v>0.10095887538608951</v>
      </c>
      <c r="AF24" s="185">
        <v>0.1</v>
      </c>
    </row>
    <row r="25" spans="1:33" x14ac:dyDescent="0.2">
      <c r="A25" s="171">
        <v>3</v>
      </c>
      <c r="B25" s="166">
        <f>'ACTIVITY DATA'!F99</f>
        <v>36.299999999999997</v>
      </c>
      <c r="C25" s="182">
        <f>(B25*'ACTIVITY DATA'!$H$73)</f>
        <v>42.794441674005363</v>
      </c>
      <c r="D25" s="177">
        <f>'ACTIVITY DATA'!G99</f>
        <v>177</v>
      </c>
      <c r="E25" s="177">
        <f>'ACTIVITY DATA'!H99</f>
        <v>85</v>
      </c>
      <c r="F25" s="177">
        <f>'ACTIVITY DATA'!I99</f>
        <v>68</v>
      </c>
      <c r="G25" s="167">
        <f t="shared" ref="G25:G27" si="32">(D25/255)</f>
        <v>0.69411764705882351</v>
      </c>
      <c r="H25" s="167">
        <f t="shared" ref="H25:H27" si="33">(E25/255)</f>
        <v>0.33333333333333331</v>
      </c>
      <c r="I25" s="167">
        <f t="shared" ref="I25:I27" si="34">(F25/255)</f>
        <v>0.26666666666666666</v>
      </c>
      <c r="J25" s="167">
        <f t="shared" ref="J25:J27" si="35">((G25+0.055)/(1.055))^2.4</f>
        <v>0.43965717384091879</v>
      </c>
      <c r="K25" s="167">
        <f t="shared" ref="K25:K27" si="36">((H25+0.055)/(1.055))^2.4</f>
        <v>9.084171118340767E-2</v>
      </c>
      <c r="L25" s="167">
        <f t="shared" ref="L25:L27" si="37">((I25+0.055)/(1.055))^2.4</f>
        <v>5.7805430191067216E-2</v>
      </c>
      <c r="M25" s="167">
        <f t="shared" ref="M25:M27" si="38">SUM((0.2126*J25)+(0.7152*K25)+(0.0722*L25))</f>
        <v>0.16261465905674757</v>
      </c>
      <c r="N25" s="184">
        <f t="shared" ref="N25:N27" si="39">(M25*$M$10)</f>
        <v>0.2812951109767739</v>
      </c>
      <c r="O25" s="186">
        <v>0.27</v>
      </c>
      <c r="P25" s="161"/>
      <c r="Q25" s="161"/>
      <c r="R25" s="171">
        <v>3</v>
      </c>
      <c r="S25" s="166">
        <f>'ACTIVITY DATA'!F117</f>
        <v>240.97</v>
      </c>
      <c r="T25" s="182">
        <f>(S25*'ACTIVITY DATA'!$H$76)</f>
        <v>284.69990548204169</v>
      </c>
      <c r="U25" s="177">
        <f>'ACTIVITY DATA'!G117</f>
        <v>76</v>
      </c>
      <c r="V25" s="177">
        <f>'ACTIVITY DATA'!H117</f>
        <v>20</v>
      </c>
      <c r="W25" s="177">
        <f>'ACTIVITY DATA'!I117</f>
        <v>20</v>
      </c>
      <c r="X25" s="167">
        <f t="shared" ref="X25:X27" si="40">(U25/255)</f>
        <v>0.29803921568627451</v>
      </c>
      <c r="Y25" s="167">
        <f t="shared" ref="Y25:Y27" si="41">(V25/255)</f>
        <v>7.8431372549019607E-2</v>
      </c>
      <c r="Z25" s="167">
        <f t="shared" ref="Z25:Z27" si="42">(W25/255)</f>
        <v>7.8431372549019607E-2</v>
      </c>
      <c r="AA25" s="167">
        <f t="shared" ref="AA25:AA27" si="43">((X25+0.055)/(1.055))^2.4</f>
        <v>7.2271850682317465E-2</v>
      </c>
      <c r="AB25" s="167">
        <f t="shared" ref="AB25:AB27" si="44">((Y25+0.055)/(1.055))^2.4</f>
        <v>6.9954101872653843E-3</v>
      </c>
      <c r="AC25" s="167">
        <f t="shared" ref="AC25:AC27" si="45">((Z25+0.055)/(1.055))^2.4</f>
        <v>6.9954101872653843E-3</v>
      </c>
      <c r="AD25" s="167">
        <f t="shared" ref="AD25:AD27" si="46">SUM((0.2126*AA25)+(0.7152*AB25)+(0.0722*AC25))</f>
        <v>2.0873181436513455E-2</v>
      </c>
      <c r="AE25" s="184">
        <f t="shared" ref="AE25:AE27" si="47">(AD25*$M$10)</f>
        <v>3.6106977825248868E-2</v>
      </c>
      <c r="AF25" s="185">
        <v>0.04</v>
      </c>
    </row>
    <row r="26" spans="1:33" x14ac:dyDescent="0.2">
      <c r="A26" s="171">
        <v>4</v>
      </c>
      <c r="B26" s="166">
        <f>'ACTIVITY DATA'!F100</f>
        <v>140.44999999999999</v>
      </c>
      <c r="C26" s="182">
        <f>(B26*'ACTIVITY DATA'!$H$73)</f>
        <v>165.57794306099322</v>
      </c>
      <c r="D26" s="177">
        <f>'ACTIVITY DATA'!G100</f>
        <v>161</v>
      </c>
      <c r="E26" s="177">
        <f>'ACTIVITY DATA'!H100</f>
        <v>72</v>
      </c>
      <c r="F26" s="177">
        <f>'ACTIVITY DATA'!I100</f>
        <v>59</v>
      </c>
      <c r="G26" s="167">
        <f t="shared" si="32"/>
        <v>0.63137254901960782</v>
      </c>
      <c r="H26" s="167">
        <f t="shared" si="33"/>
        <v>0.28235294117647058</v>
      </c>
      <c r="I26" s="167">
        <f t="shared" si="34"/>
        <v>0.23137254901960785</v>
      </c>
      <c r="J26" s="167">
        <f t="shared" si="35"/>
        <v>0.35640014414594351</v>
      </c>
      <c r="K26" s="167">
        <f t="shared" si="36"/>
        <v>6.48032666929058E-2</v>
      </c>
      <c r="L26" s="167">
        <f t="shared" si="37"/>
        <v>4.3735029256973472E-2</v>
      </c>
      <c r="M26" s="167">
        <f t="shared" si="38"/>
        <v>0.12527563609654732</v>
      </c>
      <c r="N26" s="184">
        <f t="shared" si="39"/>
        <v>0.21670508773853367</v>
      </c>
      <c r="O26" s="186">
        <v>0.21</v>
      </c>
      <c r="P26" s="161" t="s">
        <v>88</v>
      </c>
      <c r="Q26" s="161"/>
      <c r="R26" s="171">
        <v>4</v>
      </c>
      <c r="S26" s="166">
        <f>'ACTIVITY DATA'!F118</f>
        <v>193.26</v>
      </c>
      <c r="T26" s="182">
        <f>(S26*'ACTIVITY DATA'!$H$76)</f>
        <v>228.33175803402654</v>
      </c>
      <c r="U26" s="177">
        <f>'ACTIVITY DATA'!G118</f>
        <v>123</v>
      </c>
      <c r="V26" s="177">
        <f>'ACTIVITY DATA'!H118</f>
        <v>27</v>
      </c>
      <c r="W26" s="177">
        <f>'ACTIVITY DATA'!I118</f>
        <v>25</v>
      </c>
      <c r="X26" s="167">
        <f t="shared" si="40"/>
        <v>0.4823529411764706</v>
      </c>
      <c r="Y26" s="167">
        <f t="shared" si="41"/>
        <v>0.10588235294117647</v>
      </c>
      <c r="Z26" s="167">
        <f t="shared" si="42"/>
        <v>9.8039215686274508E-2</v>
      </c>
      <c r="AA26" s="167">
        <f t="shared" si="43"/>
        <v>0.19806931955994886</v>
      </c>
      <c r="AB26" s="167">
        <f t="shared" si="44"/>
        <v>1.0960094006488242E-2</v>
      </c>
      <c r="AC26" s="167">
        <f t="shared" si="45"/>
        <v>9.7212173202378457E-3</v>
      </c>
      <c r="AD26" s="167">
        <f t="shared" si="46"/>
        <v>5.0650068462406689E-2</v>
      </c>
      <c r="AE26" s="184">
        <f t="shared" si="47"/>
        <v>8.7615819580828203E-2</v>
      </c>
      <c r="AF26" s="185">
        <v>0.09</v>
      </c>
      <c r="AG26" s="161" t="s">
        <v>88</v>
      </c>
    </row>
    <row r="27" spans="1:33" x14ac:dyDescent="0.2">
      <c r="A27" s="171">
        <v>5</v>
      </c>
      <c r="B27" s="166">
        <f>'ACTIVITY DATA'!F101</f>
        <v>93.23</v>
      </c>
      <c r="C27" s="182">
        <f>(B27*'ACTIVITY DATA'!$H$73)</f>
        <v>109.90980157761764</v>
      </c>
      <c r="D27" s="177">
        <f>'ACTIVITY DATA'!G101</f>
        <v>157</v>
      </c>
      <c r="E27" s="177">
        <f>'ACTIVITY DATA'!H101</f>
        <v>72</v>
      </c>
      <c r="F27" s="177">
        <f>'ACTIVITY DATA'!I101</f>
        <v>61</v>
      </c>
      <c r="G27" s="167">
        <f t="shared" si="32"/>
        <v>0.61568627450980395</v>
      </c>
      <c r="H27" s="167">
        <f t="shared" si="33"/>
        <v>0.28235294117647058</v>
      </c>
      <c r="I27" s="167">
        <f t="shared" si="34"/>
        <v>0.23921568627450981</v>
      </c>
      <c r="J27" s="167">
        <f t="shared" si="35"/>
        <v>0.33716361504833031</v>
      </c>
      <c r="K27" s="167">
        <f t="shared" si="36"/>
        <v>6.48032666929058E-2</v>
      </c>
      <c r="L27" s="167">
        <f t="shared" si="37"/>
        <v>4.6665086336880102E-2</v>
      </c>
      <c r="M27" s="167">
        <f t="shared" si="38"/>
        <v>0.12139750013156402</v>
      </c>
      <c r="N27" s="184">
        <f t="shared" si="39"/>
        <v>0.20999658622347467</v>
      </c>
      <c r="O27" s="186">
        <v>0.23</v>
      </c>
      <c r="P27" s="186">
        <f>_xlfn.T.TEST(N24:N27,O24:O27,1,1)</f>
        <v>0.29384349380855423</v>
      </c>
      <c r="Q27" s="161"/>
      <c r="R27" s="171">
        <v>5</v>
      </c>
      <c r="S27" s="166">
        <f>'ACTIVITY DATA'!F119</f>
        <v>272.98</v>
      </c>
      <c r="T27" s="182">
        <f>(S27*'ACTIVITY DATA'!$H$76)</f>
        <v>322.51890359168254</v>
      </c>
      <c r="U27" s="177">
        <f>'ACTIVITY DATA'!G119</f>
        <v>132</v>
      </c>
      <c r="V27" s="177">
        <f>'ACTIVITY DATA'!H119</f>
        <v>31</v>
      </c>
      <c r="W27" s="177">
        <f>'ACTIVITY DATA'!I119</f>
        <v>26</v>
      </c>
      <c r="X27" s="167">
        <f t="shared" si="40"/>
        <v>0.51764705882352946</v>
      </c>
      <c r="Y27" s="167">
        <f t="shared" si="41"/>
        <v>0.12156862745098039</v>
      </c>
      <c r="Z27" s="167">
        <f t="shared" si="42"/>
        <v>0.10196078431372549</v>
      </c>
      <c r="AA27" s="167">
        <f t="shared" si="43"/>
        <v>0.23074004852434918</v>
      </c>
      <c r="AB27" s="167">
        <f t="shared" si="44"/>
        <v>1.3702083047289692E-2</v>
      </c>
      <c r="AC27" s="167">
        <f t="shared" si="45"/>
        <v>1.0329823029626938E-2</v>
      </c>
      <c r="AD27" s="167">
        <f t="shared" si="46"/>
        <v>5.9600877334437287E-2</v>
      </c>
      <c r="AE27" s="184">
        <f t="shared" si="47"/>
        <v>0.10309916400742813</v>
      </c>
      <c r="AF27" s="185">
        <v>0.11</v>
      </c>
      <c r="AG27" s="186">
        <f>_xlfn.T.TEST(AE24:AE27,AF24:AF27,1,1)</f>
        <v>7.9197683019421358E-2</v>
      </c>
    </row>
    <row r="28" spans="1:33" x14ac:dyDescent="0.2">
      <c r="A28" s="181"/>
      <c r="B28" s="161" t="s">
        <v>65</v>
      </c>
      <c r="C28" s="183">
        <f>AVERAGE(C24:C27)</f>
        <v>113.22253934907646</v>
      </c>
      <c r="D28" s="178"/>
      <c r="E28" s="178"/>
      <c r="F28" s="178"/>
      <c r="G28" s="169"/>
      <c r="H28" s="169"/>
      <c r="I28" s="169"/>
      <c r="J28" s="169"/>
      <c r="K28" s="169"/>
      <c r="L28" s="169"/>
      <c r="M28" s="169"/>
      <c r="N28" s="183">
        <f>AVERAGE(N24:N27)</f>
        <v>0.23067218210382723</v>
      </c>
      <c r="O28" s="186">
        <v>0.23</v>
      </c>
      <c r="P28" s="161"/>
      <c r="Q28" s="161"/>
      <c r="R28" s="181"/>
      <c r="S28" s="161" t="s">
        <v>65</v>
      </c>
      <c r="T28" s="183">
        <f>AVERAGE(T24:T27)</f>
        <v>270.36566635160688</v>
      </c>
      <c r="U28" s="178"/>
      <c r="V28" s="178"/>
      <c r="W28" s="178"/>
      <c r="X28" s="169"/>
      <c r="Y28" s="169"/>
      <c r="Z28" s="169"/>
      <c r="AA28" s="169"/>
      <c r="AB28" s="169"/>
      <c r="AC28" s="169"/>
      <c r="AD28" s="169"/>
      <c r="AE28" s="183">
        <f>AVERAGE(AE24:AE27)</f>
        <v>8.1945209199898672E-2</v>
      </c>
      <c r="AF28">
        <v>0.09</v>
      </c>
    </row>
    <row r="29" spans="1:33" x14ac:dyDescent="0.2">
      <c r="B29" s="161" t="s">
        <v>86</v>
      </c>
      <c r="C29" s="183">
        <f>_xlfn.STDEV.P(C24:C27)</f>
        <v>45.19268790962041</v>
      </c>
      <c r="N29" s="183">
        <f>_xlfn.STDEV.P(N24:N27)</f>
        <v>2.9328352085812498E-2</v>
      </c>
      <c r="O29" s="186">
        <v>0.03</v>
      </c>
      <c r="S29" s="161" t="s">
        <v>86</v>
      </c>
      <c r="T29" s="183">
        <f>_xlfn.STDEV.P(T24:T27)</f>
        <v>36.367076473914381</v>
      </c>
      <c r="AE29" s="183">
        <f>_xlfn.STDEV.P(AE24:AE27)</f>
        <v>2.7121525507828363E-2</v>
      </c>
      <c r="AF29">
        <v>0.03</v>
      </c>
    </row>
    <row r="30" spans="1:33" ht="16" x14ac:dyDescent="0.2">
      <c r="J30" s="198" t="s">
        <v>81</v>
      </c>
      <c r="K30" s="198"/>
      <c r="L30" s="199"/>
      <c r="M30" s="172">
        <f>'Pantone Luminance'!K33</f>
        <v>1.6365584906199468</v>
      </c>
      <c r="AA30" s="198" t="s">
        <v>81</v>
      </c>
      <c r="AB30" s="198"/>
      <c r="AC30" s="199"/>
      <c r="AD30" s="172">
        <f>'Pantone Luminance'!X33</f>
        <v>2.3139258936377778</v>
      </c>
    </row>
    <row r="33" spans="11:16" x14ac:dyDescent="0.2">
      <c r="K33" s="185"/>
      <c r="L33" s="185"/>
      <c r="M33" s="185"/>
      <c r="N33" s="185"/>
      <c r="O33" s="185"/>
      <c r="P33" s="185"/>
    </row>
  </sheetData>
  <mergeCells count="17">
    <mergeCell ref="A1:G1"/>
    <mergeCell ref="R1:X1"/>
    <mergeCell ref="A2:M2"/>
    <mergeCell ref="R2:AD2"/>
    <mergeCell ref="J10:L10"/>
    <mergeCell ref="AA10:AC10"/>
    <mergeCell ref="A11:G11"/>
    <mergeCell ref="R11:X11"/>
    <mergeCell ref="R12:AD12"/>
    <mergeCell ref="A22:M22"/>
    <mergeCell ref="R22:AD22"/>
    <mergeCell ref="J30:L30"/>
    <mergeCell ref="AA30:AC30"/>
    <mergeCell ref="J20:L20"/>
    <mergeCell ref="AA20:AC20"/>
    <mergeCell ref="A21:G21"/>
    <mergeCell ref="R21:X21"/>
  </mergeCells>
  <conditionalFormatting sqref="G4:G8">
    <cfRule type="cellIs" dxfId="35" priority="36" operator="lessThan">
      <formula>0.04045</formula>
    </cfRule>
  </conditionalFormatting>
  <conditionalFormatting sqref="G4:G8">
    <cfRule type="cellIs" dxfId="34" priority="35" operator="lessThan">
      <formula>0.04045</formula>
    </cfRule>
  </conditionalFormatting>
  <conditionalFormatting sqref="H4:H8">
    <cfRule type="cellIs" dxfId="33" priority="34" operator="lessThan">
      <formula>0.04045</formula>
    </cfRule>
  </conditionalFormatting>
  <conditionalFormatting sqref="H4:H8">
    <cfRule type="cellIs" dxfId="32" priority="33" operator="lessThan">
      <formula>0.04045</formula>
    </cfRule>
  </conditionalFormatting>
  <conditionalFormatting sqref="I4:I8">
    <cfRule type="cellIs" dxfId="31" priority="32" operator="lessThan">
      <formula>0.04045</formula>
    </cfRule>
  </conditionalFormatting>
  <conditionalFormatting sqref="I4:I8">
    <cfRule type="cellIs" dxfId="30" priority="31" operator="lessThan">
      <formula>0.04045</formula>
    </cfRule>
  </conditionalFormatting>
  <conditionalFormatting sqref="G14:G18">
    <cfRule type="cellIs" dxfId="29" priority="30" operator="lessThan">
      <formula>0.04045</formula>
    </cfRule>
  </conditionalFormatting>
  <conditionalFormatting sqref="G14:G18">
    <cfRule type="cellIs" dxfId="28" priority="29" operator="lessThan">
      <formula>0.04045</formula>
    </cfRule>
  </conditionalFormatting>
  <conditionalFormatting sqref="H14:H18">
    <cfRule type="cellIs" dxfId="27" priority="28" operator="lessThan">
      <formula>0.04045</formula>
    </cfRule>
  </conditionalFormatting>
  <conditionalFormatting sqref="H14:H18">
    <cfRule type="cellIs" dxfId="26" priority="27" operator="lessThan">
      <formula>0.04045</formula>
    </cfRule>
  </conditionalFormatting>
  <conditionalFormatting sqref="I14:I18">
    <cfRule type="cellIs" dxfId="25" priority="26" operator="lessThan">
      <formula>0.04045</formula>
    </cfRule>
  </conditionalFormatting>
  <conditionalFormatting sqref="I14:I18">
    <cfRule type="cellIs" dxfId="24" priority="25" operator="lessThan">
      <formula>0.04045</formula>
    </cfRule>
  </conditionalFormatting>
  <conditionalFormatting sqref="G24:G28">
    <cfRule type="cellIs" dxfId="23" priority="24" operator="lessThan">
      <formula>0.04045</formula>
    </cfRule>
  </conditionalFormatting>
  <conditionalFormatting sqref="G24:G28">
    <cfRule type="cellIs" dxfId="22" priority="23" operator="lessThan">
      <formula>0.04045</formula>
    </cfRule>
  </conditionalFormatting>
  <conditionalFormatting sqref="H24:H28">
    <cfRule type="cellIs" dxfId="21" priority="22" operator="lessThan">
      <formula>0.04045</formula>
    </cfRule>
  </conditionalFormatting>
  <conditionalFormatting sqref="H24:H28">
    <cfRule type="cellIs" dxfId="20" priority="21" operator="lessThan">
      <formula>0.04045</formula>
    </cfRule>
  </conditionalFormatting>
  <conditionalFormatting sqref="I24:I28">
    <cfRule type="cellIs" dxfId="19" priority="20" operator="lessThan">
      <formula>0.04045</formula>
    </cfRule>
  </conditionalFormatting>
  <conditionalFormatting sqref="I24:I28">
    <cfRule type="cellIs" dxfId="18" priority="19" operator="lessThan">
      <formula>0.04045</formula>
    </cfRule>
  </conditionalFormatting>
  <conditionalFormatting sqref="X4:X8">
    <cfRule type="cellIs" dxfId="17" priority="18" operator="lessThan">
      <formula>0.04045</formula>
    </cfRule>
  </conditionalFormatting>
  <conditionalFormatting sqref="X4:X8">
    <cfRule type="cellIs" dxfId="16" priority="17" operator="lessThan">
      <formula>0.04045</formula>
    </cfRule>
  </conditionalFormatting>
  <conditionalFormatting sqref="Y4:Y8">
    <cfRule type="cellIs" dxfId="15" priority="16" operator="lessThan">
      <formula>0.04045</formula>
    </cfRule>
  </conditionalFormatting>
  <conditionalFormatting sqref="Y4:Y8">
    <cfRule type="cellIs" dxfId="14" priority="15" operator="lessThan">
      <formula>0.04045</formula>
    </cfRule>
  </conditionalFormatting>
  <conditionalFormatting sqref="Z4:Z8">
    <cfRule type="cellIs" dxfId="13" priority="14" operator="lessThan">
      <formula>0.04045</formula>
    </cfRule>
  </conditionalFormatting>
  <conditionalFormatting sqref="Z4:Z8">
    <cfRule type="cellIs" dxfId="12" priority="13" operator="lessThan">
      <formula>0.04045</formula>
    </cfRule>
  </conditionalFormatting>
  <conditionalFormatting sqref="X14:X18">
    <cfRule type="cellIs" dxfId="11" priority="12" operator="lessThan">
      <formula>0.04045</formula>
    </cfRule>
  </conditionalFormatting>
  <conditionalFormatting sqref="X14:X18">
    <cfRule type="cellIs" dxfId="10" priority="11" operator="lessThan">
      <formula>0.04045</formula>
    </cfRule>
  </conditionalFormatting>
  <conditionalFormatting sqref="Y14:Y18">
    <cfRule type="cellIs" dxfId="9" priority="10" operator="lessThan">
      <formula>0.04045</formula>
    </cfRule>
  </conditionalFormatting>
  <conditionalFormatting sqref="Y14:Y18">
    <cfRule type="cellIs" dxfId="8" priority="9" operator="lessThan">
      <formula>0.04045</formula>
    </cfRule>
  </conditionalFormatting>
  <conditionalFormatting sqref="Z14:Z18">
    <cfRule type="cellIs" dxfId="7" priority="8" operator="lessThan">
      <formula>0.04045</formula>
    </cfRule>
  </conditionalFormatting>
  <conditionalFormatting sqref="Z14:Z18">
    <cfRule type="cellIs" dxfId="6" priority="7" operator="lessThan">
      <formula>0.04045</formula>
    </cfRule>
  </conditionalFormatting>
  <conditionalFormatting sqref="X24:X28">
    <cfRule type="cellIs" dxfId="5" priority="6" operator="lessThan">
      <formula>0.04045</formula>
    </cfRule>
  </conditionalFormatting>
  <conditionalFormatting sqref="X24:X28">
    <cfRule type="cellIs" dxfId="4" priority="5" operator="lessThan">
      <formula>0.04045</formula>
    </cfRule>
  </conditionalFormatting>
  <conditionalFormatting sqref="Y24:Y28">
    <cfRule type="cellIs" dxfId="3" priority="4" operator="lessThan">
      <formula>0.04045</formula>
    </cfRule>
  </conditionalFormatting>
  <conditionalFormatting sqref="Y24:Y28">
    <cfRule type="cellIs" dxfId="2" priority="3" operator="lessThan">
      <formula>0.04045</formula>
    </cfRule>
  </conditionalFormatting>
  <conditionalFormatting sqref="Z24:Z28">
    <cfRule type="cellIs" dxfId="1" priority="2" operator="lessThan">
      <formula>0.04045</formula>
    </cfRule>
  </conditionalFormatting>
  <conditionalFormatting sqref="Z24:Z28">
    <cfRule type="cellIs" dxfId="0" priority="1" operator="lessThan">
      <formula>0.04045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85DF-4A7C-40D7-9FC3-F545BA01FC01}">
  <dimension ref="A1:W29"/>
  <sheetViews>
    <sheetView topLeftCell="A3" zoomScale="91" workbookViewId="0">
      <selection activeCell="L12" sqref="L12"/>
    </sheetView>
  </sheetViews>
  <sheetFormatPr baseColWidth="10" defaultColWidth="8.83203125" defaultRowHeight="15" x14ac:dyDescent="0.2"/>
  <cols>
    <col min="2" max="2" width="23.83203125" bestFit="1" customWidth="1"/>
    <col min="9" max="9" width="23.83203125" bestFit="1" customWidth="1"/>
  </cols>
  <sheetData>
    <row r="1" spans="1:23" ht="19" x14ac:dyDescent="0.25">
      <c r="A1" s="200" t="s">
        <v>75</v>
      </c>
      <c r="B1" s="200"/>
      <c r="C1" s="200"/>
      <c r="D1" s="200"/>
      <c r="E1" s="163"/>
      <c r="F1" s="163"/>
      <c r="G1" s="163"/>
      <c r="H1" s="200" t="s">
        <v>78</v>
      </c>
      <c r="I1" s="200"/>
      <c r="J1" s="200"/>
      <c r="K1" s="200"/>
    </row>
    <row r="3" spans="1:23" x14ac:dyDescent="0.2">
      <c r="A3" s="160" t="s">
        <v>48</v>
      </c>
      <c r="B3" s="165" t="s">
        <v>85</v>
      </c>
      <c r="H3" s="160" t="s">
        <v>48</v>
      </c>
      <c r="I3" s="165" t="s">
        <v>85</v>
      </c>
    </row>
    <row r="4" spans="1:23" x14ac:dyDescent="0.2">
      <c r="A4" s="171">
        <v>2</v>
      </c>
      <c r="B4" s="184">
        <f>(('Mouse Luminance'!C4)/(10*'Mouse Luminance'!N4))</f>
        <v>0</v>
      </c>
      <c r="C4">
        <v>0</v>
      </c>
      <c r="H4" s="171">
        <v>2</v>
      </c>
      <c r="I4" s="184">
        <f>(('Mouse Luminance'!T4)/(10*'Mouse Luminance'!AE4))</f>
        <v>160.82079475524836</v>
      </c>
      <c r="J4">
        <v>154.66999999999999</v>
      </c>
    </row>
    <row r="5" spans="1:23" x14ac:dyDescent="0.2">
      <c r="A5" s="171">
        <v>3</v>
      </c>
      <c r="B5" s="184">
        <f>(('Mouse Luminance'!C5)/(10*'Mouse Luminance'!N5))</f>
        <v>0</v>
      </c>
      <c r="C5">
        <v>0</v>
      </c>
      <c r="H5" s="171">
        <v>3</v>
      </c>
      <c r="I5" s="184">
        <f>(('Mouse Luminance'!T5)/(10*'Mouse Luminance'!AE5))</f>
        <v>88.189224569661903</v>
      </c>
      <c r="J5">
        <v>90.69</v>
      </c>
    </row>
    <row r="6" spans="1:23" x14ac:dyDescent="0.2">
      <c r="A6" s="171">
        <v>4</v>
      </c>
      <c r="B6" s="184">
        <f>(('Mouse Luminance'!C6)/(10*'Mouse Luminance'!N6))</f>
        <v>22.736817394073487</v>
      </c>
      <c r="C6">
        <v>19.559999999999999</v>
      </c>
      <c r="D6" s="161" t="s">
        <v>88</v>
      </c>
      <c r="H6" s="171">
        <v>4</v>
      </c>
      <c r="I6" s="184">
        <f>(('Mouse Luminance'!T6)/(10*'Mouse Luminance'!AE6))</f>
        <v>144.21558411674587</v>
      </c>
      <c r="J6">
        <v>154.71</v>
      </c>
      <c r="K6" s="161" t="s">
        <v>88</v>
      </c>
    </row>
    <row r="7" spans="1:23" x14ac:dyDescent="0.2">
      <c r="A7" s="171">
        <v>5</v>
      </c>
      <c r="B7" s="184">
        <f>(('Mouse Luminance'!C7)/(10*'Mouse Luminance'!N7))</f>
        <v>6.0256905493302124</v>
      </c>
      <c r="C7">
        <v>5.93</v>
      </c>
      <c r="D7" s="186">
        <f>_xlfn.T.TEST(B4:B7,C4:C7,1,1)</f>
        <v>0.18736735348975894</v>
      </c>
      <c r="H7" s="171">
        <v>5</v>
      </c>
      <c r="I7" s="184">
        <f>(('Mouse Luminance'!T7)/(10*'Mouse Luminance'!AE7))</f>
        <v>68.14124130157056</v>
      </c>
      <c r="J7">
        <v>63.15</v>
      </c>
      <c r="K7" s="186">
        <f>_xlfn.T.TEST(I4:I7,J4:J7,1,1)</f>
        <v>0.4559618812840085</v>
      </c>
    </row>
    <row r="8" spans="1:23" ht="16" x14ac:dyDescent="0.2">
      <c r="A8" s="175" t="s">
        <v>17</v>
      </c>
      <c r="B8" s="187">
        <f>AVERAGE(B4:B7)</f>
        <v>7.1906269858509244</v>
      </c>
      <c r="C8">
        <v>6.37</v>
      </c>
      <c r="H8" s="175" t="s">
        <v>17</v>
      </c>
      <c r="I8" s="187">
        <f>AVERAGE(I4:I7)</f>
        <v>115.34171118580669</v>
      </c>
      <c r="J8">
        <v>115.81</v>
      </c>
      <c r="K8" s="161"/>
    </row>
    <row r="9" spans="1:23" x14ac:dyDescent="0.2">
      <c r="A9" s="174"/>
      <c r="B9" s="183">
        <f>_xlfn.STDEV.P(B4:B7)</f>
        <v>9.3066017698344119</v>
      </c>
      <c r="C9">
        <v>7.99</v>
      </c>
      <c r="I9" s="183">
        <f>_xlfn.STDEV.P(I4:I7)</f>
        <v>38.298790669813854</v>
      </c>
      <c r="J9">
        <v>40.090000000000003</v>
      </c>
    </row>
    <row r="11" spans="1:23" ht="19" x14ac:dyDescent="0.25">
      <c r="A11" s="200" t="s">
        <v>76</v>
      </c>
      <c r="B11" s="200"/>
      <c r="C11" s="200"/>
      <c r="D11" s="200"/>
      <c r="H11" s="200" t="s">
        <v>79</v>
      </c>
      <c r="I11" s="200"/>
      <c r="J11" s="200"/>
      <c r="K11" s="200"/>
    </row>
    <row r="13" spans="1:23" x14ac:dyDescent="0.2">
      <c r="A13" s="160" t="s">
        <v>48</v>
      </c>
      <c r="B13" s="165" t="s">
        <v>85</v>
      </c>
      <c r="H13" s="160" t="s">
        <v>48</v>
      </c>
      <c r="I13" s="165" t="s">
        <v>85</v>
      </c>
    </row>
    <row r="14" spans="1:23" x14ac:dyDescent="0.2">
      <c r="A14" s="171">
        <v>2</v>
      </c>
      <c r="B14" s="184">
        <f>(('Mouse Luminance'!C14)/(10*'Mouse Luminance'!N14))</f>
        <v>47.740309584845271</v>
      </c>
      <c r="C14">
        <v>42.01</v>
      </c>
      <c r="H14" s="171">
        <v>2</v>
      </c>
      <c r="I14" s="184">
        <f>(('Mouse Luminance'!T14)/(10*'Mouse Luminance'!AE14))</f>
        <v>204.79542081162029</v>
      </c>
      <c r="J14">
        <v>180.76</v>
      </c>
      <c r="P14" s="185">
        <v>47.740309584845271</v>
      </c>
      <c r="R14" s="185">
        <v>243.57650316354403</v>
      </c>
      <c r="S14" s="185">
        <v>788.48998899862761</v>
      </c>
      <c r="T14" s="185">
        <v>260.60562935599057</v>
      </c>
      <c r="U14" s="185">
        <v>312.8239755352871</v>
      </c>
      <c r="V14" s="185">
        <v>401.37402426336234</v>
      </c>
      <c r="W14" s="185">
        <v>224.95315065181069</v>
      </c>
    </row>
    <row r="15" spans="1:23" x14ac:dyDescent="0.2">
      <c r="A15" s="171">
        <v>3</v>
      </c>
      <c r="B15" s="184">
        <f>(('Mouse Luminance'!C15)/(10*'Mouse Luminance'!N15))</f>
        <v>49.899629514527057</v>
      </c>
      <c r="C15">
        <v>49.98</v>
      </c>
      <c r="H15" s="171">
        <v>3</v>
      </c>
      <c r="I15" s="184">
        <f>(('Mouse Luminance'!T15)/(10*'Mouse Luminance'!AE15))</f>
        <v>130.97502342962059</v>
      </c>
      <c r="J15">
        <v>134.09</v>
      </c>
      <c r="P15" s="185">
        <v>49.899629514527057</v>
      </c>
    </row>
    <row r="16" spans="1:23" x14ac:dyDescent="0.2">
      <c r="A16" s="171">
        <v>4</v>
      </c>
      <c r="B16" s="184">
        <f>(('Mouse Luminance'!C16)/(10*'Mouse Luminance'!N16))</f>
        <v>18.595421113680779</v>
      </c>
      <c r="C16">
        <v>18.09</v>
      </c>
      <c r="D16" s="161" t="s">
        <v>88</v>
      </c>
      <c r="H16" s="171">
        <v>4</v>
      </c>
      <c r="I16" s="184">
        <f>(('Mouse Luminance'!T16)/(10*'Mouse Luminance'!AE16))</f>
        <v>214.80255149767899</v>
      </c>
      <c r="J16">
        <v>239.51</v>
      </c>
      <c r="K16" s="161" t="s">
        <v>88</v>
      </c>
      <c r="P16" s="185">
        <v>18.595421113680779</v>
      </c>
    </row>
    <row r="17" spans="1:16" x14ac:dyDescent="0.2">
      <c r="A17" s="171">
        <v>5</v>
      </c>
      <c r="B17" s="184">
        <f>(('Mouse Luminance'!C17)/(10*'Mouse Luminance'!N17))</f>
        <v>25.351706140790235</v>
      </c>
      <c r="C17">
        <v>40.340000000000003</v>
      </c>
      <c r="D17" s="186">
        <f>_xlfn.T.TEST(B14:B17,C14:C17,1,1)</f>
        <v>0.3271056260173813</v>
      </c>
      <c r="H17" s="171">
        <v>5</v>
      </c>
      <c r="I17" s="184">
        <f>(('Mouse Luminance'!T17)/(10*'Mouse Luminance'!AE17))</f>
        <v>295.01009780778674</v>
      </c>
      <c r="J17">
        <v>266.37</v>
      </c>
      <c r="K17" s="186">
        <f>_xlfn.T.TEST(I14:I17,J14:J17,1,1)</f>
        <v>0.32617307356734981</v>
      </c>
      <c r="P17" s="185">
        <v>25.351706140790235</v>
      </c>
    </row>
    <row r="18" spans="1:16" ht="16" x14ac:dyDescent="0.2">
      <c r="A18" s="175" t="s">
        <v>17</v>
      </c>
      <c r="B18" s="187">
        <f>AVERAGE(B14:B17)</f>
        <v>35.396766588460835</v>
      </c>
      <c r="C18">
        <v>37.6</v>
      </c>
      <c r="H18" s="175" t="s">
        <v>17</v>
      </c>
      <c r="I18" s="187">
        <f>AVERAGE(I14:I17)</f>
        <v>211.39577338667664</v>
      </c>
      <c r="J18">
        <v>205.18</v>
      </c>
      <c r="P18" s="185">
        <v>35.396766588460835</v>
      </c>
    </row>
    <row r="19" spans="1:16" x14ac:dyDescent="0.2">
      <c r="B19" s="183">
        <f>_xlfn.STDEV.P(B14:B17)</f>
        <v>13.655443382733184</v>
      </c>
      <c r="C19">
        <v>11.84</v>
      </c>
      <c r="I19" s="183">
        <f>_xlfn.STDEV.P(I14:I17)</f>
        <v>58.12491518975888</v>
      </c>
      <c r="J19">
        <v>51.41</v>
      </c>
      <c r="P19" s="185">
        <v>13.655443382733184</v>
      </c>
    </row>
    <row r="21" spans="1:16" ht="19" x14ac:dyDescent="0.25">
      <c r="A21" s="200" t="s">
        <v>77</v>
      </c>
      <c r="B21" s="200"/>
      <c r="C21" s="200"/>
      <c r="D21" s="200"/>
      <c r="H21" s="200" t="s">
        <v>80</v>
      </c>
      <c r="I21" s="200"/>
      <c r="J21" s="200"/>
      <c r="K21" s="200"/>
    </row>
    <row r="23" spans="1:16" x14ac:dyDescent="0.2">
      <c r="A23" s="160" t="s">
        <v>48</v>
      </c>
      <c r="B23" s="165" t="s">
        <v>85</v>
      </c>
      <c r="H23" s="160" t="s">
        <v>48</v>
      </c>
      <c r="I23" s="165" t="s">
        <v>85</v>
      </c>
    </row>
    <row r="24" spans="1:16" x14ac:dyDescent="0.2">
      <c r="A24" s="171">
        <v>2</v>
      </c>
      <c r="B24" s="184">
        <f>(('Mouse Luminance'!C24)/(10*'Mouse Luminance'!N24))</f>
        <v>62.69819393497967</v>
      </c>
      <c r="C24">
        <v>74.790000000000006</v>
      </c>
      <c r="H24" s="171">
        <v>2</v>
      </c>
      <c r="I24" s="184">
        <f>(('Mouse Luminance'!T24)/(10*'Mouse Luminance'!AE24))</f>
        <v>243.57650316354403</v>
      </c>
      <c r="J24">
        <v>248.77</v>
      </c>
    </row>
    <row r="25" spans="1:16" x14ac:dyDescent="0.2">
      <c r="A25" s="171">
        <v>3</v>
      </c>
      <c r="B25" s="184">
        <f>(('Mouse Luminance'!C25)/(10*'Mouse Luminance'!N25))</f>
        <v>15.2133613433256</v>
      </c>
      <c r="C25">
        <v>14.43</v>
      </c>
      <c r="H25" s="171">
        <v>3</v>
      </c>
      <c r="I25" s="184">
        <f>(('Mouse Luminance'!T25)/(10*'Mouse Luminance'!AE25))</f>
        <v>788.48998899862761</v>
      </c>
      <c r="J25">
        <v>644.71</v>
      </c>
    </row>
    <row r="26" spans="1:16" x14ac:dyDescent="0.2">
      <c r="A26" s="171">
        <v>4</v>
      </c>
      <c r="B26" s="184">
        <f>(('Mouse Luminance'!C26)/(10*'Mouse Luminance'!N26))</f>
        <v>76.407039995651559</v>
      </c>
      <c r="C26">
        <v>79</v>
      </c>
      <c r="D26" s="161" t="s">
        <v>88</v>
      </c>
      <c r="H26" s="171">
        <v>4</v>
      </c>
      <c r="I26" s="184">
        <f>(('Mouse Luminance'!T26)/(10*'Mouse Luminance'!AE26))</f>
        <v>260.60562935599057</v>
      </c>
      <c r="J26">
        <v>233.08</v>
      </c>
      <c r="K26" s="161" t="s">
        <v>88</v>
      </c>
    </row>
    <row r="27" spans="1:16" x14ac:dyDescent="0.2">
      <c r="A27" s="171">
        <v>5</v>
      </c>
      <c r="B27" s="184">
        <f>(('Mouse Luminance'!C27)/(10*'Mouse Luminance'!N27))</f>
        <v>52.338851575736363</v>
      </c>
      <c r="C27">
        <v>44.38</v>
      </c>
      <c r="D27" s="186">
        <f>_xlfn.T.TEST(B24:B27,C24:C27,1,1)</f>
        <v>0.37243646753960236</v>
      </c>
      <c r="H27" s="171">
        <v>5</v>
      </c>
      <c r="I27" s="184">
        <f>(('Mouse Luminance'!T27)/(10*'Mouse Luminance'!AE27))</f>
        <v>312.8239755352871</v>
      </c>
      <c r="J27">
        <v>280.86</v>
      </c>
      <c r="K27" s="186">
        <f>_xlfn.T.TEST(I24:I27,J24:J27,1,1)</f>
        <v>0.11245838632481789</v>
      </c>
    </row>
    <row r="28" spans="1:16" ht="16" x14ac:dyDescent="0.2">
      <c r="A28" s="175" t="s">
        <v>17</v>
      </c>
      <c r="B28" s="187">
        <f>AVERAGE(B24:B27)</f>
        <v>51.664361712423293</v>
      </c>
      <c r="C28">
        <v>53.15</v>
      </c>
      <c r="H28" s="175" t="s">
        <v>17</v>
      </c>
      <c r="I28" s="187">
        <f>AVERAGE(I24:I27)</f>
        <v>401.37402426336234</v>
      </c>
      <c r="J28">
        <v>351.85</v>
      </c>
    </row>
    <row r="29" spans="1:16" x14ac:dyDescent="0.2">
      <c r="B29" s="183">
        <f>_xlfn.STDEV.P(B24:B27)</f>
        <v>22.710547916257621</v>
      </c>
      <c r="C29">
        <v>26.04</v>
      </c>
      <c r="I29" s="183">
        <f>_xlfn.STDEV.P(I24:I27)</f>
        <v>224.95315065181069</v>
      </c>
      <c r="J29">
        <v>169.96</v>
      </c>
    </row>
  </sheetData>
  <mergeCells count="6">
    <mergeCell ref="A1:D1"/>
    <mergeCell ref="A11:D11"/>
    <mergeCell ref="A21:D21"/>
    <mergeCell ref="H1:K1"/>
    <mergeCell ref="H11:K11"/>
    <mergeCell ref="H21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I77"/>
  <sheetViews>
    <sheetView zoomScale="80" zoomScaleNormal="80" workbookViewId="0"/>
  </sheetViews>
  <sheetFormatPr baseColWidth="10" defaultColWidth="10.83203125" defaultRowHeight="16" x14ac:dyDescent="0.2"/>
  <cols>
    <col min="1" max="1" width="17.6640625" style="5" bestFit="1" customWidth="1"/>
    <col min="2" max="2" width="21" style="5" bestFit="1" customWidth="1"/>
    <col min="3" max="3" width="16.5" style="5" bestFit="1" customWidth="1"/>
    <col min="4" max="6" width="4.6640625" style="5" bestFit="1" customWidth="1"/>
    <col min="7" max="9" width="13.83203125" style="5" bestFit="1" customWidth="1"/>
    <col min="10" max="10" width="12.6640625" style="5" bestFit="1" customWidth="1"/>
    <col min="11" max="11" width="12.83203125" style="5" bestFit="1" customWidth="1"/>
    <col min="12" max="12" width="12.5" style="5" bestFit="1" customWidth="1"/>
    <col min="13" max="13" width="18.83203125" style="5" bestFit="1" customWidth="1"/>
    <col min="14" max="14" width="24.1640625" style="5" bestFit="1" customWidth="1"/>
    <col min="15" max="15" width="26.1640625" style="5" bestFit="1" customWidth="1"/>
    <col min="16" max="21" width="10.83203125" style="5"/>
    <col min="22" max="22" width="16.6640625" style="5" bestFit="1" customWidth="1"/>
    <col min="23" max="25" width="4.6640625" style="5" bestFit="1" customWidth="1"/>
    <col min="26" max="26" width="8.1640625" style="5" bestFit="1" customWidth="1"/>
    <col min="27" max="27" width="8.5" style="5" bestFit="1" customWidth="1"/>
    <col min="28" max="28" width="8.1640625" style="5" bestFit="1" customWidth="1"/>
    <col min="29" max="29" width="11.6640625" style="5" bestFit="1" customWidth="1"/>
    <col min="30" max="30" width="12" style="5" bestFit="1" customWidth="1"/>
    <col min="31" max="31" width="17.5" style="5" customWidth="1"/>
    <col min="32" max="32" width="17.6640625" style="5" bestFit="1" customWidth="1"/>
    <col min="33" max="33" width="10.83203125" style="5"/>
    <col min="34" max="34" width="15.6640625" style="5" bestFit="1" customWidth="1"/>
    <col min="35" max="16384" width="10.83203125" style="5"/>
  </cols>
  <sheetData>
    <row r="1" spans="1:35" s="8" customFormat="1" ht="24" x14ac:dyDescent="0.3">
      <c r="A1" s="7" t="s">
        <v>23</v>
      </c>
      <c r="B1" s="14">
        <f>+'ACTIVITY DATA'!F16</f>
        <v>0.5</v>
      </c>
      <c r="V1" s="7">
        <f>+B1</f>
        <v>0.5</v>
      </c>
      <c r="W1" s="7"/>
    </row>
    <row r="3" spans="1:35" s="17" customFormat="1" ht="17" x14ac:dyDescent="0.2">
      <c r="A3" s="16" t="s">
        <v>61</v>
      </c>
      <c r="B3" s="16" t="s">
        <v>25</v>
      </c>
      <c r="C3" s="16" t="s">
        <v>62</v>
      </c>
      <c r="D3" s="16" t="s">
        <v>0</v>
      </c>
      <c r="E3" s="16" t="s">
        <v>1</v>
      </c>
      <c r="F3" s="16" t="s">
        <v>2</v>
      </c>
      <c r="G3" s="16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26</v>
      </c>
      <c r="N3" s="16" t="s">
        <v>27</v>
      </c>
      <c r="O3" s="28" t="s">
        <v>63</v>
      </c>
      <c r="V3" s="18" t="s">
        <v>10</v>
      </c>
      <c r="W3" s="19" t="s">
        <v>0</v>
      </c>
      <c r="X3" s="20" t="s">
        <v>1</v>
      </c>
      <c r="Y3" s="20" t="s">
        <v>2</v>
      </c>
      <c r="Z3" s="16" t="s">
        <v>3</v>
      </c>
      <c r="AA3" s="16" t="s">
        <v>4</v>
      </c>
      <c r="AB3" s="16" t="s">
        <v>5</v>
      </c>
      <c r="AC3" s="20" t="s">
        <v>6</v>
      </c>
      <c r="AD3" s="20" t="s">
        <v>7</v>
      </c>
      <c r="AE3" s="20" t="s">
        <v>11</v>
      </c>
      <c r="AF3" s="20" t="s">
        <v>9</v>
      </c>
    </row>
    <row r="4" spans="1:35" s="25" customFormat="1" ht="15" x14ac:dyDescent="0.2">
      <c r="A4" s="21">
        <f>+'ACTIVITY DATA'!E86</f>
        <v>2</v>
      </c>
      <c r="B4" s="21">
        <f>+'ACTIVITY DATA'!F86</f>
        <v>0</v>
      </c>
      <c r="C4" s="22">
        <f>+B4*'ACTIVITY DATA'!$H$71</f>
        <v>0</v>
      </c>
      <c r="D4" s="21">
        <f>+'ACTIVITY DATA'!G86</f>
        <v>0</v>
      </c>
      <c r="E4" s="21">
        <f>+'ACTIVITY DATA'!H86</f>
        <v>0</v>
      </c>
      <c r="F4" s="21">
        <f>+'ACTIVITY DATA'!I86</f>
        <v>0</v>
      </c>
      <c r="G4" s="23">
        <f>D4/255</f>
        <v>0</v>
      </c>
      <c r="H4" s="23">
        <f>E4/255</f>
        <v>0</v>
      </c>
      <c r="I4" s="23">
        <f>F4/255</f>
        <v>0</v>
      </c>
      <c r="J4" s="23">
        <f t="shared" ref="J4:L7" si="0">IF(GESTEP(G4,0.04045),POWER(((G4+0.055)/1.055),2.4),(G4/12.92))</f>
        <v>0</v>
      </c>
      <c r="K4" s="23">
        <f t="shared" si="0"/>
        <v>0</v>
      </c>
      <c r="L4" s="23">
        <f t="shared" si="0"/>
        <v>0</v>
      </c>
      <c r="M4" s="23">
        <f>0.2126*J4+0.7152*K4+0.0722*L4</f>
        <v>0</v>
      </c>
      <c r="N4" s="23">
        <f t="shared" ref="N4:N9" si="1">M4*$AF$11</f>
        <v>0</v>
      </c>
      <c r="O4" s="23" t="str">
        <f>IF(N4&gt;0,(C4/(10*N4)),"")</f>
        <v/>
      </c>
      <c r="V4" s="26" t="s">
        <v>12</v>
      </c>
      <c r="W4" s="27">
        <f>+'ACTIVITY DATA'!G30</f>
        <v>191</v>
      </c>
      <c r="X4" s="27">
        <f>+'ACTIVITY DATA'!H30</f>
        <v>150</v>
      </c>
      <c r="Y4" s="27">
        <f>+'ACTIVITY DATA'!I30</f>
        <v>150</v>
      </c>
      <c r="Z4" s="23">
        <f>W4/255</f>
        <v>0.74901960784313726</v>
      </c>
      <c r="AA4" s="23">
        <f t="shared" ref="AA4:AB8" si="2">X4/255</f>
        <v>0.58823529411764708</v>
      </c>
      <c r="AB4" s="23">
        <f t="shared" si="2"/>
        <v>0.58823529411764708</v>
      </c>
      <c r="AC4" s="23">
        <f>IF(GESTEP(Z4,0.04045),POWER(((Z4+0.055)/1.055),2.4),(Z4/12.92))</f>
        <v>0.5209955732043543</v>
      </c>
      <c r="AD4" s="23">
        <f t="shared" ref="AD4:AE8" si="3">IF(GESTEP(AA4,0.04045),POWER(((AA4+0.055)/1.055),2.4),(AA4/12.92))</f>
        <v>0.30498731406988622</v>
      </c>
      <c r="AE4" s="23">
        <f t="shared" si="3"/>
        <v>0.30498731406988622</v>
      </c>
      <c r="AF4" s="23">
        <f>0.2126*AC4+0.7152*AD4+0.0722*AE4</f>
        <v>0.35091066996187409</v>
      </c>
    </row>
    <row r="5" spans="1:35" s="25" customFormat="1" ht="15" x14ac:dyDescent="0.2">
      <c r="A5" s="21">
        <f>+'ACTIVITY DATA'!E87</f>
        <v>3</v>
      </c>
      <c r="B5" s="21">
        <f>+'ACTIVITY DATA'!F87</f>
        <v>0</v>
      </c>
      <c r="C5" s="22">
        <f>+B5*'ACTIVITY DATA'!$H$71</f>
        <v>0</v>
      </c>
      <c r="D5" s="21">
        <f>+'ACTIVITY DATA'!G87</f>
        <v>0</v>
      </c>
      <c r="E5" s="21">
        <f>+'ACTIVITY DATA'!H87</f>
        <v>0</v>
      </c>
      <c r="F5" s="21">
        <f>+'ACTIVITY DATA'!I87</f>
        <v>0</v>
      </c>
      <c r="G5" s="23">
        <f t="shared" ref="G5:G7" si="4">D5/255</f>
        <v>0</v>
      </c>
      <c r="H5" s="23">
        <f>E5/255</f>
        <v>0</v>
      </c>
      <c r="I5" s="23">
        <f>F5/255</f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>0.2126*J5+0.7152*K5+0.0722*L5</f>
        <v>0</v>
      </c>
      <c r="N5" s="23">
        <f t="shared" si="1"/>
        <v>0</v>
      </c>
      <c r="O5" s="23" t="str">
        <f t="shared" ref="O5:O9" si="5">IF(N5&gt;0,(C5/(10*N5)),"")</f>
        <v/>
      </c>
      <c r="V5" s="26" t="s">
        <v>13</v>
      </c>
      <c r="W5" s="27">
        <f>+'ACTIVITY DATA'!G31</f>
        <v>200</v>
      </c>
      <c r="X5" s="27">
        <f>+'ACTIVITY DATA'!H31</f>
        <v>129</v>
      </c>
      <c r="Y5" s="27">
        <f>+'ACTIVITY DATA'!I31</f>
        <v>145</v>
      </c>
      <c r="Z5" s="23">
        <f t="shared" ref="Z5:Z7" si="6">W5/255</f>
        <v>0.78431372549019607</v>
      </c>
      <c r="AA5" s="23">
        <f t="shared" si="2"/>
        <v>0.50588235294117645</v>
      </c>
      <c r="AB5" s="23">
        <f t="shared" si="2"/>
        <v>0.56862745098039214</v>
      </c>
      <c r="AC5" s="23">
        <f t="shared" ref="AC5:AC8" si="7">IF(GESTEP(Z5,0.04045),POWER(((Z5+0.055)/1.055),2.4),(Z5/12.92))</f>
        <v>0.57758044042965062</v>
      </c>
      <c r="AD5" s="23">
        <f t="shared" si="3"/>
        <v>0.21952619972926918</v>
      </c>
      <c r="AE5" s="23">
        <f t="shared" si="3"/>
        <v>0.28314874042999211</v>
      </c>
      <c r="AF5" s="23">
        <f t="shared" ref="AF5:AF8" si="8">0.2126*AC5+0.7152*AD5+0.0722*AE5</f>
        <v>0.30024207874076247</v>
      </c>
    </row>
    <row r="6" spans="1:35" s="25" customFormat="1" ht="15" x14ac:dyDescent="0.2">
      <c r="A6" s="21">
        <f>+'ACTIVITY DATA'!E88</f>
        <v>4</v>
      </c>
      <c r="B6" s="21">
        <f>+'ACTIVITY DATA'!F88</f>
        <v>122.6</v>
      </c>
      <c r="C6" s="22">
        <f>+B6*'ACTIVITY DATA'!$H$71</f>
        <v>65.130175352106676</v>
      </c>
      <c r="D6" s="21">
        <f>+'ACTIVITY DATA'!G88</f>
        <v>185</v>
      </c>
      <c r="E6" s="21">
        <f>+'ACTIVITY DATA'!H88</f>
        <v>80</v>
      </c>
      <c r="F6" s="21">
        <f>+'ACTIVITY DATA'!I88</f>
        <v>75</v>
      </c>
      <c r="G6" s="23">
        <f t="shared" si="4"/>
        <v>0.72549019607843135</v>
      </c>
      <c r="H6" s="23">
        <f t="shared" ref="H6:I7" si="9">E6/255</f>
        <v>0.31372549019607843</v>
      </c>
      <c r="I6" s="23">
        <f t="shared" si="9"/>
        <v>0.29411764705882354</v>
      </c>
      <c r="J6" s="23">
        <f t="shared" si="0"/>
        <v>0.48514994005607043</v>
      </c>
      <c r="K6" s="23">
        <f t="shared" si="0"/>
        <v>8.0219820314468296E-2</v>
      </c>
      <c r="L6" s="23">
        <f t="shared" si="0"/>
        <v>7.0360095696595876E-2</v>
      </c>
      <c r="M6" s="23">
        <f>0.2126*J6+0.7152*K6+0.0722*L6</f>
        <v>0.16559609165412253</v>
      </c>
      <c r="N6" s="23">
        <f t="shared" si="1"/>
        <v>0.28645021337857929</v>
      </c>
      <c r="O6" s="23">
        <f t="shared" si="5"/>
        <v>22.736996626366313</v>
      </c>
      <c r="V6" s="26" t="s">
        <v>14</v>
      </c>
      <c r="W6" s="27">
        <f>+'ACTIVITY DATA'!G32</f>
        <v>213</v>
      </c>
      <c r="X6" s="27">
        <f>+'ACTIVITY DATA'!H32</f>
        <v>66</v>
      </c>
      <c r="Y6" s="27">
        <f>+'ACTIVITY DATA'!I32</f>
        <v>99</v>
      </c>
      <c r="Z6" s="23">
        <f t="shared" si="6"/>
        <v>0.83529411764705885</v>
      </c>
      <c r="AA6" s="23">
        <f t="shared" si="2"/>
        <v>0.25882352941176473</v>
      </c>
      <c r="AB6" s="23">
        <f t="shared" si="2"/>
        <v>0.38823529411764707</v>
      </c>
      <c r="AC6" s="23">
        <f t="shared" si="7"/>
        <v>0.66538729828227205</v>
      </c>
      <c r="AD6" s="23">
        <f t="shared" si="3"/>
        <v>5.4480276442442369E-2</v>
      </c>
      <c r="AE6" s="23">
        <f t="shared" si="3"/>
        <v>0.12477181756095049</v>
      </c>
      <c r="AF6" s="23">
        <f t="shared" si="8"/>
        <v>0.18943415855434648</v>
      </c>
    </row>
    <row r="7" spans="1:35" s="25" customFormat="1" ht="15" x14ac:dyDescent="0.2">
      <c r="A7" s="21">
        <f>+'ACTIVITY DATA'!E89</f>
        <v>5</v>
      </c>
      <c r="B7" s="21">
        <f>+'ACTIVITY DATA'!F89</f>
        <v>44.72</v>
      </c>
      <c r="C7" s="22">
        <f>+B7*'ACTIVITY DATA'!$H$71</f>
        <v>23.757108007717868</v>
      </c>
      <c r="D7" s="21">
        <f>+'ACTIVITY DATA'!G89</f>
        <v>175</v>
      </c>
      <c r="E7" s="21">
        <f>+'ACTIVITY DATA'!H89</f>
        <v>118</v>
      </c>
      <c r="F7" s="21">
        <f>+'ACTIVITY DATA'!I89</f>
        <v>89</v>
      </c>
      <c r="G7" s="23">
        <f t="shared" si="4"/>
        <v>0.68627450980392157</v>
      </c>
      <c r="H7" s="23">
        <f t="shared" si="9"/>
        <v>0.46274509803921571</v>
      </c>
      <c r="I7" s="23">
        <f t="shared" si="9"/>
        <v>0.34901960784313724</v>
      </c>
      <c r="J7" s="23">
        <f t="shared" si="0"/>
        <v>0.42869049661390662</v>
      </c>
      <c r="K7" s="23">
        <f t="shared" si="0"/>
        <v>0.18116424424986022</v>
      </c>
      <c r="L7" s="23">
        <f t="shared" si="0"/>
        <v>9.9898728247113905E-2</v>
      </c>
      <c r="M7" s="23">
        <f t="shared" ref="M7:M9" si="10">0.2126*J7+0.7152*K7+0.0722*L7</f>
        <v>0.22792095524705819</v>
      </c>
      <c r="N7" s="23">
        <f t="shared" si="1"/>
        <v>0.39426055054690101</v>
      </c>
      <c r="O7" s="23">
        <f t="shared" si="5"/>
        <v>6.0257380493085204</v>
      </c>
      <c r="V7" s="26" t="s">
        <v>15</v>
      </c>
      <c r="W7" s="27">
        <f>+'ACTIVITY DATA'!G33</f>
        <v>214</v>
      </c>
      <c r="X7" s="27">
        <f>+'ACTIVITY DATA'!H33</f>
        <v>37</v>
      </c>
      <c r="Y7" s="27">
        <f>+'ACTIVITY DATA'!I33</f>
        <v>51</v>
      </c>
      <c r="Z7" s="23">
        <f t="shared" si="6"/>
        <v>0.83921568627450982</v>
      </c>
      <c r="AA7" s="23">
        <f t="shared" si="2"/>
        <v>0.14509803921568629</v>
      </c>
      <c r="AB7" s="23">
        <f t="shared" si="2"/>
        <v>0.2</v>
      </c>
      <c r="AC7" s="23">
        <f t="shared" si="7"/>
        <v>0.67244315695768753</v>
      </c>
      <c r="AD7" s="23">
        <f t="shared" si="3"/>
        <v>1.8500220128379697E-2</v>
      </c>
      <c r="AE7" s="23">
        <f t="shared" si="3"/>
        <v>3.3104766570885055E-2</v>
      </c>
      <c r="AF7" s="23">
        <f t="shared" si="8"/>
        <v>0.15858293675143945</v>
      </c>
    </row>
    <row r="8" spans="1:35" s="25" customFormat="1" thickBot="1" x14ac:dyDescent="0.25">
      <c r="A8" s="21">
        <f>+'ACTIVITY DATA'!E90</f>
        <v>6</v>
      </c>
      <c r="B8" s="21">
        <f>+'ACTIVITY DATA'!F90</f>
        <v>0</v>
      </c>
      <c r="C8" s="22">
        <f>+B8*'ACTIVITY DATA'!$H$71</f>
        <v>0</v>
      </c>
      <c r="D8" s="21">
        <f>+'ACTIVITY DATA'!G90</f>
        <v>0</v>
      </c>
      <c r="E8" s="21">
        <f>+'ACTIVITY DATA'!H90</f>
        <v>0</v>
      </c>
      <c r="F8" s="21">
        <f>+'ACTIVITY DATA'!I90</f>
        <v>0</v>
      </c>
      <c r="G8" s="23">
        <f t="shared" ref="G8:G9" si="11">D8/255</f>
        <v>0</v>
      </c>
      <c r="H8" s="23">
        <f t="shared" ref="H8:H9" si="12">E8/255</f>
        <v>0</v>
      </c>
      <c r="I8" s="23">
        <f t="shared" ref="I8:I9" si="13">F8/255</f>
        <v>0</v>
      </c>
      <c r="J8" s="23">
        <f t="shared" ref="J8:J9" si="14">IF(GESTEP(G8,0.04045),POWER(((G8+0.055)/1.055),2.4),(G8/12.92))</f>
        <v>0</v>
      </c>
      <c r="K8" s="23">
        <f t="shared" ref="K8:K9" si="15">IF(GESTEP(H8,0.04045),POWER(((H8+0.055)/1.055),2.4),(H8/12.92))</f>
        <v>0</v>
      </c>
      <c r="L8" s="23">
        <f t="shared" ref="L8:L9" si="16">IF(GESTEP(I8,0.04045),POWER(((I8+0.055)/1.055),2.4),(I8/12.92))</f>
        <v>0</v>
      </c>
      <c r="M8" s="23">
        <f t="shared" si="10"/>
        <v>0</v>
      </c>
      <c r="N8" s="23">
        <f t="shared" si="1"/>
        <v>0</v>
      </c>
      <c r="O8" s="23" t="str">
        <f t="shared" si="5"/>
        <v/>
      </c>
      <c r="V8" s="26" t="s">
        <v>16</v>
      </c>
      <c r="W8" s="27">
        <f>+'ACTIVITY DATA'!G34</f>
        <v>192</v>
      </c>
      <c r="X8" s="27">
        <f>+'ACTIVITY DATA'!H34</f>
        <v>37</v>
      </c>
      <c r="Y8" s="27">
        <f>+'ACTIVITY DATA'!I34</f>
        <v>41</v>
      </c>
      <c r="Z8" s="23">
        <f>W8/255</f>
        <v>0.75294117647058822</v>
      </c>
      <c r="AA8" s="23">
        <f t="shared" si="2"/>
        <v>0.14509803921568629</v>
      </c>
      <c r="AB8" s="23">
        <f t="shared" si="2"/>
        <v>0.16078431372549021</v>
      </c>
      <c r="AC8" s="23">
        <f t="shared" si="7"/>
        <v>0.52711512570581309</v>
      </c>
      <c r="AD8" s="138">
        <f t="shared" si="3"/>
        <v>1.8500220128379697E-2</v>
      </c>
      <c r="AE8" s="138">
        <f t="shared" si="3"/>
        <v>2.2173884793387392E-2</v>
      </c>
      <c r="AF8" s="138">
        <f t="shared" si="8"/>
        <v>0.12689698764295557</v>
      </c>
    </row>
    <row r="9" spans="1:35" s="25" customFormat="1" thickBot="1" x14ac:dyDescent="0.25">
      <c r="A9" s="21">
        <f>+'ACTIVITY DATA'!E91</f>
        <v>7</v>
      </c>
      <c r="B9" s="21">
        <f>+'ACTIVITY DATA'!F91</f>
        <v>0</v>
      </c>
      <c r="C9" s="22">
        <f>+B9*'ACTIVITY DATA'!$H$71</f>
        <v>0</v>
      </c>
      <c r="D9" s="21">
        <f>+'ACTIVITY DATA'!G91</f>
        <v>0</v>
      </c>
      <c r="E9" s="21">
        <f>+'ACTIVITY DATA'!H91</f>
        <v>0</v>
      </c>
      <c r="F9" s="21">
        <f>+'ACTIVITY DATA'!I91</f>
        <v>0</v>
      </c>
      <c r="G9" s="23">
        <f t="shared" si="11"/>
        <v>0</v>
      </c>
      <c r="H9" s="23">
        <f t="shared" si="12"/>
        <v>0</v>
      </c>
      <c r="I9" s="23">
        <f t="shared" si="13"/>
        <v>0</v>
      </c>
      <c r="J9" s="23">
        <f t="shared" si="14"/>
        <v>0</v>
      </c>
      <c r="K9" s="23">
        <f t="shared" si="15"/>
        <v>0</v>
      </c>
      <c r="L9" s="23">
        <f t="shared" si="16"/>
        <v>0</v>
      </c>
      <c r="M9" s="23">
        <f t="shared" si="10"/>
        <v>0</v>
      </c>
      <c r="N9" s="23">
        <f t="shared" si="1"/>
        <v>0</v>
      </c>
      <c r="O9" s="23" t="str">
        <f t="shared" si="5"/>
        <v/>
      </c>
      <c r="V9" s="26"/>
      <c r="W9" s="26"/>
      <c r="X9" s="26"/>
      <c r="Y9" s="26"/>
      <c r="Z9" s="26"/>
      <c r="AA9" s="26"/>
      <c r="AD9" s="209" t="s">
        <v>59</v>
      </c>
      <c r="AE9" s="210"/>
      <c r="AF9" s="139">
        <f>AVERAGE(AF4:AF8)</f>
        <v>0.22521336633027561</v>
      </c>
    </row>
    <row r="10" spans="1:35" ht="24" x14ac:dyDescent="0.3">
      <c r="N10" s="6" t="s">
        <v>17</v>
      </c>
      <c r="O10" s="29">
        <f>AVERAGE(O4:O9)</f>
        <v>14.381367337837418</v>
      </c>
      <c r="V10" s="9"/>
      <c r="W10" s="9"/>
      <c r="X10" s="9"/>
      <c r="Y10" s="9"/>
      <c r="AA10" s="9"/>
      <c r="AE10" s="9"/>
      <c r="AH10" s="30" t="s">
        <v>22</v>
      </c>
      <c r="AI10" s="30">
        <v>0.38957692900000002</v>
      </c>
    </row>
    <row r="11" spans="1:35" ht="19" x14ac:dyDescent="0.25">
      <c r="AA11" s="9"/>
      <c r="AD11" s="211" t="s">
        <v>60</v>
      </c>
      <c r="AE11" s="211"/>
      <c r="AF11" s="31">
        <f>IF(AF9=0,0,$AI$10/AF9)</f>
        <v>1.7298126454390148</v>
      </c>
    </row>
    <row r="12" spans="1:35" s="8" customFormat="1" ht="24" x14ac:dyDescent="0.3">
      <c r="A12" s="6">
        <f>+'ACTIVITY DATA'!F17</f>
        <v>1</v>
      </c>
      <c r="B12" s="13" t="s">
        <v>24</v>
      </c>
      <c r="V12" s="7">
        <f>+A12</f>
        <v>1</v>
      </c>
      <c r="W12" s="7" t="str">
        <f>+B12</f>
        <v>µg</v>
      </c>
    </row>
    <row r="14" spans="1:35" s="17" customFormat="1" ht="17" x14ac:dyDescent="0.2">
      <c r="A14" s="16" t="s">
        <v>61</v>
      </c>
      <c r="B14" s="16" t="s">
        <v>25</v>
      </c>
      <c r="C14" s="16" t="s">
        <v>62</v>
      </c>
      <c r="D14" s="16" t="s">
        <v>0</v>
      </c>
      <c r="E14" s="16" t="s">
        <v>1</v>
      </c>
      <c r="F14" s="16" t="s">
        <v>2</v>
      </c>
      <c r="G14" s="16" t="s">
        <v>3</v>
      </c>
      <c r="H14" s="16" t="s">
        <v>4</v>
      </c>
      <c r="I14" s="16" t="s">
        <v>5</v>
      </c>
      <c r="J14" s="16" t="s">
        <v>6</v>
      </c>
      <c r="K14" s="16" t="s">
        <v>7</v>
      </c>
      <c r="L14" s="16" t="s">
        <v>8</v>
      </c>
      <c r="M14" s="16" t="s">
        <v>26</v>
      </c>
      <c r="N14" s="16" t="s">
        <v>27</v>
      </c>
      <c r="O14" s="28" t="s">
        <v>63</v>
      </c>
      <c r="V14" s="18" t="s">
        <v>10</v>
      </c>
      <c r="W14" s="19" t="s">
        <v>0</v>
      </c>
      <c r="X14" s="20" t="s">
        <v>1</v>
      </c>
      <c r="Y14" s="20" t="s">
        <v>2</v>
      </c>
      <c r="Z14" s="16" t="s">
        <v>3</v>
      </c>
      <c r="AA14" s="16" t="s">
        <v>4</v>
      </c>
      <c r="AB14" s="16" t="s">
        <v>5</v>
      </c>
      <c r="AC14" s="20" t="s">
        <v>6</v>
      </c>
      <c r="AD14" s="20" t="s">
        <v>7</v>
      </c>
      <c r="AE14" s="20" t="s">
        <v>11</v>
      </c>
      <c r="AF14" s="20" t="s">
        <v>9</v>
      </c>
    </row>
    <row r="15" spans="1:35" s="25" customFormat="1" ht="15" x14ac:dyDescent="0.2">
      <c r="A15" s="21">
        <f>+'ACTIVITY DATA'!E92</f>
        <v>2</v>
      </c>
      <c r="B15" s="21">
        <f>+'ACTIVITY DATA'!F92</f>
        <v>84.82</v>
      </c>
      <c r="C15" s="22">
        <f>+B15*'ACTIVITY DATA'!$H$72</f>
        <v>97.648694947411045</v>
      </c>
      <c r="D15" s="21">
        <f>+'ACTIVITY DATA'!G92</f>
        <v>153</v>
      </c>
      <c r="E15" s="21">
        <f>+'ACTIVITY DATA'!H92</f>
        <v>72</v>
      </c>
      <c r="F15" s="21">
        <f>+'ACTIVITY DATA'!I92</f>
        <v>68</v>
      </c>
      <c r="G15" s="23">
        <f>D15/255</f>
        <v>0.6</v>
      </c>
      <c r="H15" s="23">
        <f t="shared" ref="H15:I18" si="17">E15/255</f>
        <v>0.28235294117647058</v>
      </c>
      <c r="I15" s="23">
        <f t="shared" si="17"/>
        <v>0.26666666666666666</v>
      </c>
      <c r="J15" s="23">
        <f>IF(GESTEP(G15,0.04045),POWER(((G15+0.055)/1.055),2.4),(G15/12.92))</f>
        <v>0.31854677812509186</v>
      </c>
      <c r="K15" s="23">
        <f t="shared" ref="K15:L18" si="18">IF(GESTEP(H15,0.04045),POWER(((H15+0.055)/1.055),2.4),(H15/12.92))</f>
        <v>6.48032666929058E-2</v>
      </c>
      <c r="L15" s="23">
        <f t="shared" si="18"/>
        <v>5.7805430191067216E-2</v>
      </c>
      <c r="M15" s="23">
        <f>0.2126*J15+0.7152*K15+0.0722*L15</f>
        <v>0.11824389342795583</v>
      </c>
      <c r="N15" s="23">
        <f t="shared" ref="N15:N20" si="19">M15*$AF$22</f>
        <v>0.21720551256675796</v>
      </c>
      <c r="O15" s="23">
        <f>IF(N15&gt;0,(C15/(10*N15)),"")</f>
        <v>44.956821672469651</v>
      </c>
      <c r="V15" s="26" t="s">
        <v>12</v>
      </c>
      <c r="W15" s="27">
        <f>+'ACTIVITY DATA'!G35</f>
        <v>186</v>
      </c>
      <c r="X15" s="27">
        <f>+'ACTIVITY DATA'!H35</f>
        <v>146</v>
      </c>
      <c r="Y15" s="27">
        <f>+'ACTIVITY DATA'!I35</f>
        <v>157</v>
      </c>
      <c r="Z15" s="23">
        <f>W15/255</f>
        <v>0.72941176470588232</v>
      </c>
      <c r="AA15" s="23">
        <f t="shared" ref="AA15:AB19" si="20">X15/255</f>
        <v>0.5725490196078431</v>
      </c>
      <c r="AB15" s="23">
        <f t="shared" si="20"/>
        <v>0.61568627450980395</v>
      </c>
      <c r="AC15" s="23">
        <f>IF(GESTEP(Z15,0.04045),POWER(((Z15+0.055)/1.055),2.4),(Z15/12.92))</f>
        <v>0.49102084984783556</v>
      </c>
      <c r="AD15" s="23">
        <f t="shared" ref="AD15:AE19" si="21">IF(GESTEP(AA15,0.04045),POWER(((AA15+0.055)/1.055),2.4),(AA15/12.92))</f>
        <v>0.28744083772691742</v>
      </c>
      <c r="AE15" s="23">
        <f t="shared" si="21"/>
        <v>0.33716361504833031</v>
      </c>
      <c r="AF15" s="23">
        <f>0.2126*AC15+0.7152*AD15+0.0722*AE15</f>
        <v>0.33431193282643062</v>
      </c>
    </row>
    <row r="16" spans="1:35" s="25" customFormat="1" ht="15" x14ac:dyDescent="0.2">
      <c r="A16" s="21">
        <f>+'ACTIVITY DATA'!E93</f>
        <v>3</v>
      </c>
      <c r="B16" s="21">
        <f>+'ACTIVITY DATA'!F93</f>
        <v>117.12</v>
      </c>
      <c r="C16" s="22">
        <f>+B16*'ACTIVITY DATA'!$H$72</f>
        <v>134.83394426126839</v>
      </c>
      <c r="D16" s="21">
        <f>+'ACTIVITY DATA'!G93</f>
        <v>163</v>
      </c>
      <c r="E16" s="21">
        <f>+'ACTIVITY DATA'!H93</f>
        <v>90</v>
      </c>
      <c r="F16" s="21">
        <f>+'ACTIVITY DATA'!I93</f>
        <v>76</v>
      </c>
      <c r="G16" s="23">
        <f>D16/255</f>
        <v>0.63921568627450975</v>
      </c>
      <c r="H16" s="23">
        <f t="shared" si="17"/>
        <v>0.35294117647058826</v>
      </c>
      <c r="I16" s="23">
        <f t="shared" si="17"/>
        <v>0.29803921568627451</v>
      </c>
      <c r="J16" s="23">
        <f t="shared" ref="J16:J18" si="22">IF(GESTEP(G16,0.04045),POWER(((G16+0.055)/1.055),2.4),(G16/12.92))</f>
        <v>0.36625259559883949</v>
      </c>
      <c r="K16" s="23">
        <f t="shared" si="18"/>
        <v>0.10224173308810132</v>
      </c>
      <c r="L16" s="23">
        <f t="shared" si="18"/>
        <v>7.2271850682317465E-2</v>
      </c>
      <c r="M16" s="23">
        <f t="shared" ref="M16:M18" si="23">0.2126*J16+0.7152*K16+0.0722*L16</f>
        <v>0.15620661694818666</v>
      </c>
      <c r="N16" s="23">
        <f t="shared" si="19"/>
        <v>0.28694030039887414</v>
      </c>
      <c r="O16" s="23">
        <f t="shared" ref="O16:O20" si="24">IF(N16&gt;0,(C16/(10*N16)),"")</f>
        <v>46.990242943858512</v>
      </c>
      <c r="V16" s="26" t="s">
        <v>13</v>
      </c>
      <c r="W16" s="27">
        <f>+'ACTIVITY DATA'!G36</f>
        <v>192</v>
      </c>
      <c r="X16" s="27">
        <f>+'ACTIVITY DATA'!H36</f>
        <v>125</v>
      </c>
      <c r="Y16" s="27">
        <f>+'ACTIVITY DATA'!I36</f>
        <v>147</v>
      </c>
      <c r="Z16" s="23">
        <f t="shared" ref="Z16:Z18" si="25">W16/255</f>
        <v>0.75294117647058822</v>
      </c>
      <c r="AA16" s="23">
        <f t="shared" si="20"/>
        <v>0.49019607843137253</v>
      </c>
      <c r="AB16" s="23">
        <f t="shared" si="20"/>
        <v>0.57647058823529407</v>
      </c>
      <c r="AC16" s="23">
        <f t="shared" ref="AC16:AC19" si="26">IF(GESTEP(Z16,0.04045),POWER(((Z16+0.055)/1.055),2.4),(Z16/12.92))</f>
        <v>0.52711512570581309</v>
      </c>
      <c r="AD16" s="23">
        <f t="shared" si="21"/>
        <v>0.2050787363903169</v>
      </c>
      <c r="AE16" s="23">
        <f t="shared" si="21"/>
        <v>0.29177064981753581</v>
      </c>
      <c r="AF16" s="23">
        <f t="shared" ref="AF16:AF19" si="27">0.2126*AC16+0.7152*AD16+0.0722*AE16</f>
        <v>0.27980282890823654</v>
      </c>
    </row>
    <row r="17" spans="1:32" s="25" customFormat="1" ht="15" x14ac:dyDescent="0.2">
      <c r="A17" s="21">
        <f>+'ACTIVITY DATA'!E94</f>
        <v>4</v>
      </c>
      <c r="B17" s="21">
        <f>+'ACTIVITY DATA'!F94</f>
        <v>56.22</v>
      </c>
      <c r="C17" s="22">
        <f>+B17*'ACTIVITY DATA'!$H$72</f>
        <v>64.723056236069908</v>
      </c>
      <c r="D17" s="21">
        <f>+'ACTIVITY DATA'!G94</f>
        <v>190</v>
      </c>
      <c r="E17" s="21">
        <f>+'ACTIVITY DATA'!H94</f>
        <v>96</v>
      </c>
      <c r="F17" s="21">
        <f>+'ACTIVITY DATA'!I94</f>
        <v>94</v>
      </c>
      <c r="G17" s="23">
        <f t="shared" ref="G17:G18" si="28">D17/255</f>
        <v>0.74509803921568629</v>
      </c>
      <c r="H17" s="23">
        <f t="shared" si="17"/>
        <v>0.37647058823529411</v>
      </c>
      <c r="I17" s="23">
        <f t="shared" si="17"/>
        <v>0.36862745098039218</v>
      </c>
      <c r="J17" s="23">
        <f>IF(GESTEP(G17,0.04045),POWER(((G17+0.055)/1.055),2.4),(G17/12.92))</f>
        <v>0.51491766537652139</v>
      </c>
      <c r="K17" s="23">
        <f t="shared" si="18"/>
        <v>0.11697066775851085</v>
      </c>
      <c r="L17" s="23">
        <f t="shared" si="18"/>
        <v>0.11193242783690559</v>
      </c>
      <c r="M17" s="23">
        <f t="shared" si="23"/>
        <v>0.20121043852976001</v>
      </c>
      <c r="N17" s="23">
        <f t="shared" si="19"/>
        <v>0.36960907804737375</v>
      </c>
      <c r="O17" s="23">
        <f t="shared" si="24"/>
        <v>17.511219307165984</v>
      </c>
      <c r="V17" s="26" t="s">
        <v>14</v>
      </c>
      <c r="W17" s="27">
        <f>+'ACTIVITY DATA'!G37</f>
        <v>208</v>
      </c>
      <c r="X17" s="27">
        <f>+'ACTIVITY DATA'!H37</f>
        <v>61</v>
      </c>
      <c r="Y17" s="27">
        <f>+'ACTIVITY DATA'!I37</f>
        <v>102</v>
      </c>
      <c r="Z17" s="23">
        <f t="shared" si="25"/>
        <v>0.81568627450980391</v>
      </c>
      <c r="AA17" s="23">
        <f t="shared" si="20"/>
        <v>0.23921568627450981</v>
      </c>
      <c r="AB17" s="23">
        <f t="shared" si="20"/>
        <v>0.4</v>
      </c>
      <c r="AC17" s="23">
        <f t="shared" si="26"/>
        <v>0.63075713634614672</v>
      </c>
      <c r="AD17" s="23">
        <f t="shared" si="21"/>
        <v>4.6665086336880102E-2</v>
      </c>
      <c r="AE17" s="23">
        <f t="shared" si="21"/>
        <v>0.13286832155381798</v>
      </c>
      <c r="AF17" s="23">
        <f t="shared" si="27"/>
        <v>0.17706692975151311</v>
      </c>
    </row>
    <row r="18" spans="1:32" s="25" customFormat="1" ht="15" x14ac:dyDescent="0.2">
      <c r="A18" s="21">
        <f>+'ACTIVITY DATA'!E95</f>
        <v>5</v>
      </c>
      <c r="B18" s="21">
        <f>+'ACTIVITY DATA'!F95</f>
        <v>76.38</v>
      </c>
      <c r="C18" s="22">
        <f>+B18*'ACTIVITY DATA'!$H$72</f>
        <v>87.932177789239049</v>
      </c>
      <c r="D18" s="21">
        <f>+'ACTIVITY DATA'!G95</f>
        <v>191</v>
      </c>
      <c r="E18" s="21">
        <f>+'ACTIVITY DATA'!H95</f>
        <v>95</v>
      </c>
      <c r="F18" s="21">
        <f>+'ACTIVITY DATA'!I95</f>
        <v>93</v>
      </c>
      <c r="G18" s="23">
        <f t="shared" si="28"/>
        <v>0.74901960784313726</v>
      </c>
      <c r="H18" s="23">
        <f t="shared" si="17"/>
        <v>0.37254901960784315</v>
      </c>
      <c r="I18" s="23">
        <f t="shared" si="17"/>
        <v>0.36470588235294116</v>
      </c>
      <c r="J18" s="23">
        <f t="shared" si="22"/>
        <v>0.5209955732043543</v>
      </c>
      <c r="K18" s="23">
        <f t="shared" si="18"/>
        <v>0.11443537382697375</v>
      </c>
      <c r="L18" s="23">
        <f t="shared" si="18"/>
        <v>0.10946171077829935</v>
      </c>
      <c r="M18" s="23">
        <f t="shared" si="23"/>
        <v>0.20051097374249055</v>
      </c>
      <c r="N18" s="23">
        <f t="shared" si="19"/>
        <v>0.36832421163070905</v>
      </c>
      <c r="O18" s="23">
        <f t="shared" si="24"/>
        <v>23.873580669576516</v>
      </c>
      <c r="V18" s="26" t="s">
        <v>15</v>
      </c>
      <c r="W18" s="27">
        <f>+'ACTIVITY DATA'!G38</f>
        <v>208</v>
      </c>
      <c r="X18" s="27">
        <f>+'ACTIVITY DATA'!H38</f>
        <v>34</v>
      </c>
      <c r="Y18" s="27">
        <f>+'ACTIVITY DATA'!I38</f>
        <v>52</v>
      </c>
      <c r="Z18" s="23">
        <f t="shared" si="25"/>
        <v>0.81568627450980391</v>
      </c>
      <c r="AA18" s="23">
        <f t="shared" si="20"/>
        <v>0.13333333333333333</v>
      </c>
      <c r="AB18" s="23">
        <f t="shared" si="20"/>
        <v>0.20392156862745098</v>
      </c>
      <c r="AC18" s="23">
        <f t="shared" si="26"/>
        <v>0.63075713634614672</v>
      </c>
      <c r="AD18" s="23">
        <f t="shared" si="21"/>
        <v>1.5996293365509635E-2</v>
      </c>
      <c r="AE18" s="23">
        <f t="shared" si="21"/>
        <v>3.4339806808682156E-2</v>
      </c>
      <c r="AF18" s="23">
        <f t="shared" si="27"/>
        <v>0.14801885025379014</v>
      </c>
    </row>
    <row r="19" spans="1:32" s="25" customFormat="1" thickBot="1" x14ac:dyDescent="0.25">
      <c r="A19" s="21">
        <f>+'ACTIVITY DATA'!E96</f>
        <v>6</v>
      </c>
      <c r="B19" s="21">
        <f>+'ACTIVITY DATA'!F96</f>
        <v>0</v>
      </c>
      <c r="C19" s="22">
        <f>+B19*'ACTIVITY DATA'!$H$72</f>
        <v>0</v>
      </c>
      <c r="D19" s="21">
        <f>+'ACTIVITY DATA'!G96</f>
        <v>0</v>
      </c>
      <c r="E19" s="21">
        <f>+'ACTIVITY DATA'!H96</f>
        <v>0</v>
      </c>
      <c r="F19" s="21">
        <f>+'ACTIVITY DATA'!I96</f>
        <v>0</v>
      </c>
      <c r="G19" s="23">
        <f t="shared" ref="G19:G20" si="29">D19/255</f>
        <v>0</v>
      </c>
      <c r="H19" s="23">
        <f t="shared" ref="H19:H20" si="30">E19/255</f>
        <v>0</v>
      </c>
      <c r="I19" s="23">
        <f t="shared" ref="I19:I20" si="31">F19/255</f>
        <v>0</v>
      </c>
      <c r="J19" s="23">
        <f t="shared" ref="J19:J20" si="32">IF(GESTEP(G19,0.04045),POWER(((G19+0.055)/1.055),2.4),(G19/12.92))</f>
        <v>0</v>
      </c>
      <c r="K19" s="23">
        <f t="shared" ref="K19:K20" si="33">IF(GESTEP(H19,0.04045),POWER(((H19+0.055)/1.055),2.4),(H19/12.92))</f>
        <v>0</v>
      </c>
      <c r="L19" s="23">
        <f t="shared" ref="L19:L20" si="34">IF(GESTEP(I19,0.04045),POWER(((I19+0.055)/1.055),2.4),(I19/12.92))</f>
        <v>0</v>
      </c>
      <c r="M19" s="23">
        <f t="shared" ref="M19:M20" si="35">0.2126*J19+0.7152*K19+0.0722*L19</f>
        <v>0</v>
      </c>
      <c r="N19" s="23">
        <f t="shared" si="19"/>
        <v>0</v>
      </c>
      <c r="O19" s="23" t="str">
        <f t="shared" si="24"/>
        <v/>
      </c>
      <c r="V19" s="26" t="s">
        <v>16</v>
      </c>
      <c r="W19" s="27">
        <f>+'ACTIVITY DATA'!G39</f>
        <v>188</v>
      </c>
      <c r="X19" s="27">
        <f>+'ACTIVITY DATA'!H39</f>
        <v>36</v>
      </c>
      <c r="Y19" s="27">
        <f>+'ACTIVITY DATA'!I39</f>
        <v>42</v>
      </c>
      <c r="Z19" s="23">
        <f>W19/255</f>
        <v>0.73725490196078436</v>
      </c>
      <c r="AA19" s="23">
        <f t="shared" si="20"/>
        <v>0.14117647058823529</v>
      </c>
      <c r="AB19" s="23">
        <f t="shared" si="20"/>
        <v>0.16470588235294117</v>
      </c>
      <c r="AC19" s="23">
        <f t="shared" si="26"/>
        <v>0.50288645803256871</v>
      </c>
      <c r="AD19" s="23">
        <f t="shared" si="21"/>
        <v>1.7641954488384088E-2</v>
      </c>
      <c r="AE19" s="23">
        <f t="shared" si="21"/>
        <v>2.3153366178110407E-2</v>
      </c>
      <c r="AF19" s="23">
        <f t="shared" si="27"/>
        <v>0.12120285986587598</v>
      </c>
    </row>
    <row r="20" spans="1:32" s="25" customFormat="1" thickBot="1" x14ac:dyDescent="0.25">
      <c r="A20" s="21">
        <f>+'ACTIVITY DATA'!E97</f>
        <v>7</v>
      </c>
      <c r="B20" s="21">
        <f>+'ACTIVITY DATA'!F97</f>
        <v>0</v>
      </c>
      <c r="C20" s="22">
        <f>+B20*'ACTIVITY DATA'!$H$72</f>
        <v>0</v>
      </c>
      <c r="D20" s="21">
        <f>+'ACTIVITY DATA'!G97</f>
        <v>0</v>
      </c>
      <c r="E20" s="21">
        <f>+'ACTIVITY DATA'!H97</f>
        <v>0</v>
      </c>
      <c r="F20" s="21">
        <f>+'ACTIVITY DATA'!I97</f>
        <v>0</v>
      </c>
      <c r="G20" s="23">
        <f t="shared" si="29"/>
        <v>0</v>
      </c>
      <c r="H20" s="23">
        <f t="shared" si="30"/>
        <v>0</v>
      </c>
      <c r="I20" s="23">
        <f t="shared" si="31"/>
        <v>0</v>
      </c>
      <c r="J20" s="23">
        <f t="shared" si="32"/>
        <v>0</v>
      </c>
      <c r="K20" s="23">
        <f t="shared" si="33"/>
        <v>0</v>
      </c>
      <c r="L20" s="23">
        <f t="shared" si="34"/>
        <v>0</v>
      </c>
      <c r="M20" s="23">
        <f t="shared" si="35"/>
        <v>0</v>
      </c>
      <c r="N20" s="23">
        <f t="shared" si="19"/>
        <v>0</v>
      </c>
      <c r="O20" s="23" t="str">
        <f t="shared" si="24"/>
        <v/>
      </c>
      <c r="V20" s="26"/>
      <c r="W20" s="26"/>
      <c r="X20" s="26"/>
      <c r="Y20" s="26"/>
      <c r="Z20" s="26"/>
      <c r="AA20" s="26"/>
      <c r="AD20" s="209" t="s">
        <v>59</v>
      </c>
      <c r="AE20" s="210"/>
      <c r="AF20" s="139">
        <f>AVERAGE(AF15:AF19)</f>
        <v>0.21208068032116928</v>
      </c>
    </row>
    <row r="21" spans="1:32" ht="24" x14ac:dyDescent="0.3">
      <c r="N21" s="6" t="s">
        <v>17</v>
      </c>
      <c r="O21" s="29">
        <f>AVERAGE(O15:O20)</f>
        <v>33.332966148267666</v>
      </c>
      <c r="V21" s="9"/>
      <c r="W21" s="9"/>
      <c r="X21" s="9"/>
      <c r="Y21" s="9"/>
      <c r="AA21" s="9"/>
      <c r="AE21" s="9"/>
    </row>
    <row r="22" spans="1:32" ht="19" x14ac:dyDescent="0.25">
      <c r="AA22" s="9"/>
      <c r="AD22" s="211" t="s">
        <v>60</v>
      </c>
      <c r="AE22" s="211"/>
      <c r="AF22" s="31">
        <f>IF(AF20=0,0,$AI$10/AF20)</f>
        <v>1.8369279484111196</v>
      </c>
    </row>
    <row r="23" spans="1:32" s="8" customFormat="1" ht="24" x14ac:dyDescent="0.3">
      <c r="A23" s="12">
        <f>+'ACTIVITY DATA'!F18</f>
        <v>2</v>
      </c>
      <c r="B23" s="13" t="s">
        <v>24</v>
      </c>
      <c r="V23" s="7">
        <f>+A23</f>
        <v>2</v>
      </c>
      <c r="W23" s="7" t="str">
        <f>+B23</f>
        <v>µg</v>
      </c>
    </row>
    <row r="25" spans="1:32" s="17" customFormat="1" ht="17" x14ac:dyDescent="0.2">
      <c r="A25" s="16" t="s">
        <v>61</v>
      </c>
      <c r="B25" s="16" t="s">
        <v>25</v>
      </c>
      <c r="C25" s="16" t="s">
        <v>62</v>
      </c>
      <c r="D25" s="16" t="s">
        <v>0</v>
      </c>
      <c r="E25" s="16" t="s">
        <v>1</v>
      </c>
      <c r="F25" s="16" t="s">
        <v>2</v>
      </c>
      <c r="G25" s="16" t="s">
        <v>3</v>
      </c>
      <c r="H25" s="16" t="s">
        <v>4</v>
      </c>
      <c r="I25" s="16" t="s">
        <v>5</v>
      </c>
      <c r="J25" s="16" t="s">
        <v>6</v>
      </c>
      <c r="K25" s="16" t="s">
        <v>7</v>
      </c>
      <c r="L25" s="16" t="s">
        <v>8</v>
      </c>
      <c r="M25" s="16" t="s">
        <v>26</v>
      </c>
      <c r="N25" s="16" t="s">
        <v>27</v>
      </c>
      <c r="O25" s="28" t="s">
        <v>63</v>
      </c>
      <c r="V25" s="18" t="s">
        <v>10</v>
      </c>
      <c r="W25" s="19" t="s">
        <v>0</v>
      </c>
      <c r="X25" s="20" t="s">
        <v>1</v>
      </c>
      <c r="Y25" s="20" t="s">
        <v>2</v>
      </c>
      <c r="Z25" s="16" t="s">
        <v>3</v>
      </c>
      <c r="AA25" s="16" t="s">
        <v>4</v>
      </c>
      <c r="AB25" s="16" t="s">
        <v>5</v>
      </c>
      <c r="AC25" s="20" t="s">
        <v>6</v>
      </c>
      <c r="AD25" s="20" t="s">
        <v>7</v>
      </c>
      <c r="AE25" s="20" t="s">
        <v>11</v>
      </c>
      <c r="AF25" s="20" t="s">
        <v>9</v>
      </c>
    </row>
    <row r="26" spans="1:32" s="25" customFormat="1" ht="15" x14ac:dyDescent="0.2">
      <c r="A26" s="21">
        <f>+'ACTIVITY DATA'!E98</f>
        <v>2</v>
      </c>
      <c r="B26" s="21">
        <f>+'ACTIVITY DATA'!F98</f>
        <v>114.18</v>
      </c>
      <c r="C26" s="22">
        <f>+B26*'ACTIVITY DATA'!$H$73</f>
        <v>134.60797108368962</v>
      </c>
      <c r="D26" s="21">
        <f>+'ACTIVITY DATA'!G98</f>
        <v>173</v>
      </c>
      <c r="E26" s="21">
        <f>+'ACTIVITY DATA'!H98</f>
        <v>61</v>
      </c>
      <c r="F26" s="21">
        <f>+'ACTIVITY DATA'!I98</f>
        <v>45</v>
      </c>
      <c r="G26" s="23">
        <f>D26/255</f>
        <v>0.67843137254901964</v>
      </c>
      <c r="H26" s="23">
        <f t="shared" ref="H26:I29" si="36">E26/255</f>
        <v>0.23921568627450981</v>
      </c>
      <c r="I26" s="23">
        <f t="shared" si="36"/>
        <v>0.17647058823529413</v>
      </c>
      <c r="J26" s="23">
        <f>IF(GESTEP(G26,0.04045),POWER(((G26+0.055)/1.055),2.4),(G26/12.92))</f>
        <v>0.41788507084813747</v>
      </c>
      <c r="K26" s="23">
        <f t="shared" ref="K26:L29" si="37">IF(GESTEP(H26,0.04045),POWER(((H26+0.055)/1.055),2.4),(H26/12.92))</f>
        <v>4.6665086336880102E-2</v>
      </c>
      <c r="L26" s="23">
        <f t="shared" si="37"/>
        <v>2.6241221894849898E-2</v>
      </c>
      <c r="M26" s="23">
        <f>0.2126*J26+0.7152*K26+0.0722*L26</f>
        <v>0.12411185203125885</v>
      </c>
      <c r="N26" s="23">
        <f t="shared" ref="N26:N31" si="38">M26*$AF$33</f>
        <v>0.20311470409332302</v>
      </c>
      <c r="O26" s="23">
        <f>IF(N26&gt;0,(C26/(10*N26)),"")</f>
        <v>66.271898769988937</v>
      </c>
      <c r="V26" s="26" t="s">
        <v>12</v>
      </c>
      <c r="W26" s="27">
        <f>+'ACTIVITY DATA'!G40</f>
        <v>195</v>
      </c>
      <c r="X26" s="27">
        <f>+'ACTIVITY DATA'!H40</f>
        <v>156</v>
      </c>
      <c r="Y26" s="27">
        <f>+'ACTIVITY DATA'!I40</f>
        <v>161</v>
      </c>
      <c r="Z26" s="23">
        <f>W26/255</f>
        <v>0.76470588235294112</v>
      </c>
      <c r="AA26" s="23">
        <f t="shared" ref="AA26:AB30" si="39">X26/255</f>
        <v>0.61176470588235299</v>
      </c>
      <c r="AB26" s="23">
        <f t="shared" si="39"/>
        <v>0.63137254901960782</v>
      </c>
      <c r="AC26" s="23">
        <f>IF(GESTEP(Z26,0.04045),POWER(((Z26+0.055)/1.055),2.4),(Z26/12.92))</f>
        <v>0.5457244613701866</v>
      </c>
      <c r="AD26" s="23">
        <f t="shared" ref="AD26:AE30" si="40">IF(GESTEP(AA26,0.04045),POWER(((AA26+0.055)/1.055),2.4),(AA26/12.92))</f>
        <v>0.33245153634617935</v>
      </c>
      <c r="AE26" s="23">
        <f t="shared" si="40"/>
        <v>0.35640014414594351</v>
      </c>
      <c r="AF26" s="23">
        <f>0.2126*AC26+0.7152*AD26+0.0722*AE26</f>
        <v>0.37952244968942628</v>
      </c>
    </row>
    <row r="27" spans="1:32" s="25" customFormat="1" ht="15" x14ac:dyDescent="0.2">
      <c r="A27" s="21">
        <f>+'ACTIVITY DATA'!E99</f>
        <v>3</v>
      </c>
      <c r="B27" s="21">
        <f>+'ACTIVITY DATA'!F99</f>
        <v>36.299999999999997</v>
      </c>
      <c r="C27" s="22">
        <f>+B27*'ACTIVITY DATA'!$H$73</f>
        <v>42.794441674005363</v>
      </c>
      <c r="D27" s="21">
        <f>+'ACTIVITY DATA'!G99</f>
        <v>177</v>
      </c>
      <c r="E27" s="21">
        <f>+'ACTIVITY DATA'!H99</f>
        <v>85</v>
      </c>
      <c r="F27" s="21">
        <f>+'ACTIVITY DATA'!I99</f>
        <v>68</v>
      </c>
      <c r="G27" s="23">
        <f t="shared" ref="G27:G29" si="41">D27/255</f>
        <v>0.69411764705882351</v>
      </c>
      <c r="H27" s="23">
        <f t="shared" si="36"/>
        <v>0.33333333333333331</v>
      </c>
      <c r="I27" s="23">
        <f t="shared" si="36"/>
        <v>0.26666666666666666</v>
      </c>
      <c r="J27" s="23">
        <f t="shared" ref="J27:J29" si="42">IF(GESTEP(G27,0.04045),POWER(((G27+0.055)/1.055),2.4),(G27/12.92))</f>
        <v>0.43965717384091879</v>
      </c>
      <c r="K27" s="23">
        <f t="shared" si="37"/>
        <v>9.084171118340767E-2</v>
      </c>
      <c r="L27" s="23">
        <f t="shared" si="37"/>
        <v>5.7805430191067216E-2</v>
      </c>
      <c r="M27" s="23">
        <f t="shared" ref="M27:M29" si="43">0.2126*J27+0.7152*K27+0.0722*L27</f>
        <v>0.16261465905674757</v>
      </c>
      <c r="N27" s="23">
        <f t="shared" si="38"/>
        <v>0.26612630312880264</v>
      </c>
      <c r="O27" s="23">
        <f>IF(N27&gt;0,(C27/(10*N27)),"")</f>
        <v>16.080500563408517</v>
      </c>
      <c r="V27" s="26" t="s">
        <v>13</v>
      </c>
      <c r="W27" s="27">
        <f>+'ACTIVITY DATA'!G41</f>
        <v>201</v>
      </c>
      <c r="X27" s="27">
        <f>+'ACTIVITY DATA'!H41</f>
        <v>133</v>
      </c>
      <c r="Y27" s="27">
        <f>+'ACTIVITY DATA'!I41</f>
        <v>152</v>
      </c>
      <c r="Z27" s="23">
        <f t="shared" ref="Z27:Z29" si="44">W27/255</f>
        <v>0.78823529411764703</v>
      </c>
      <c r="AA27" s="23">
        <f t="shared" si="39"/>
        <v>0.52156862745098043</v>
      </c>
      <c r="AB27" s="23">
        <f t="shared" si="39"/>
        <v>0.59607843137254901</v>
      </c>
      <c r="AC27" s="23">
        <f t="shared" ref="AC27:AC30" si="45">IF(GESTEP(Z27,0.04045),POWER(((Z27+0.055)/1.055),2.4),(Z27/12.92))</f>
        <v>0.5840784178911641</v>
      </c>
      <c r="AD27" s="23">
        <f t="shared" si="40"/>
        <v>0.23455058216100524</v>
      </c>
      <c r="AE27" s="23">
        <f t="shared" si="40"/>
        <v>0.31398871337571754</v>
      </c>
      <c r="AF27" s="23">
        <f t="shared" ref="AF27:AF30" si="46">0.2126*AC27+0.7152*AD27+0.0722*AE27</f>
        <v>0.31459563311093924</v>
      </c>
    </row>
    <row r="28" spans="1:32" s="25" customFormat="1" ht="15" x14ac:dyDescent="0.2">
      <c r="A28" s="21">
        <f>+'ACTIVITY DATA'!E100</f>
        <v>4</v>
      </c>
      <c r="B28" s="21">
        <f>+'ACTIVITY DATA'!F100</f>
        <v>140.44999999999999</v>
      </c>
      <c r="C28" s="22">
        <f>+B28*'ACTIVITY DATA'!$H$73</f>
        <v>165.57794306099322</v>
      </c>
      <c r="D28" s="21">
        <f>+'ACTIVITY DATA'!G100</f>
        <v>161</v>
      </c>
      <c r="E28" s="21">
        <f>+'ACTIVITY DATA'!H100</f>
        <v>72</v>
      </c>
      <c r="F28" s="21">
        <f>+'ACTIVITY DATA'!I100</f>
        <v>59</v>
      </c>
      <c r="G28" s="23">
        <f t="shared" si="41"/>
        <v>0.63137254901960782</v>
      </c>
      <c r="H28" s="23">
        <f t="shared" si="36"/>
        <v>0.28235294117647058</v>
      </c>
      <c r="I28" s="23">
        <f t="shared" si="36"/>
        <v>0.23137254901960785</v>
      </c>
      <c r="J28" s="23">
        <f t="shared" si="42"/>
        <v>0.35640014414594351</v>
      </c>
      <c r="K28" s="23">
        <f t="shared" si="37"/>
        <v>6.48032666929058E-2</v>
      </c>
      <c r="L28" s="23">
        <f t="shared" si="37"/>
        <v>4.3735029256973472E-2</v>
      </c>
      <c r="M28" s="23">
        <f t="shared" si="43"/>
        <v>0.12527563609654732</v>
      </c>
      <c r="N28" s="23">
        <f t="shared" si="38"/>
        <v>0.20501928977294093</v>
      </c>
      <c r="O28" s="23">
        <f t="shared" ref="O28:O31" si="47">IF(N28&gt;0,(C28/(10*N28)),"")</f>
        <v>80.762128892540304</v>
      </c>
      <c r="V28" s="26" t="s">
        <v>14</v>
      </c>
      <c r="W28" s="27">
        <f>+'ACTIVITY DATA'!G42</f>
        <v>216</v>
      </c>
      <c r="X28" s="27">
        <f>+'ACTIVITY DATA'!H42</f>
        <v>69</v>
      </c>
      <c r="Y28" s="27">
        <f>+'ACTIVITY DATA'!I42</f>
        <v>108</v>
      </c>
      <c r="Z28" s="23">
        <f t="shared" si="44"/>
        <v>0.84705882352941175</v>
      </c>
      <c r="AA28" s="23">
        <f t="shared" si="39"/>
        <v>0.27058823529411763</v>
      </c>
      <c r="AB28" s="23">
        <f t="shared" si="39"/>
        <v>0.42352941176470588</v>
      </c>
      <c r="AC28" s="23">
        <f t="shared" si="45"/>
        <v>0.6866853124353135</v>
      </c>
      <c r="AD28" s="23">
        <f t="shared" si="40"/>
        <v>5.9511238162981178E-2</v>
      </c>
      <c r="AE28" s="23">
        <f t="shared" si="40"/>
        <v>0.14995978981060856</v>
      </c>
      <c r="AF28" s="23">
        <f t="shared" si="46"/>
        <v>0.19937883178223775</v>
      </c>
    </row>
    <row r="29" spans="1:32" s="25" customFormat="1" ht="15" x14ac:dyDescent="0.2">
      <c r="A29" s="21">
        <f>+'ACTIVITY DATA'!E101</f>
        <v>5</v>
      </c>
      <c r="B29" s="21">
        <f>+'ACTIVITY DATA'!F101</f>
        <v>93.23</v>
      </c>
      <c r="C29" s="22">
        <f>+B29*'ACTIVITY DATA'!$H$73</f>
        <v>109.90980157761764</v>
      </c>
      <c r="D29" s="21">
        <f>+'ACTIVITY DATA'!G101</f>
        <v>157</v>
      </c>
      <c r="E29" s="21">
        <f>+'ACTIVITY DATA'!H101</f>
        <v>72</v>
      </c>
      <c r="F29" s="21">
        <f>+'ACTIVITY DATA'!I101</f>
        <v>61</v>
      </c>
      <c r="G29" s="23">
        <f t="shared" si="41"/>
        <v>0.61568627450980395</v>
      </c>
      <c r="H29" s="23">
        <f t="shared" si="36"/>
        <v>0.28235294117647058</v>
      </c>
      <c r="I29" s="23">
        <f t="shared" si="36"/>
        <v>0.23921568627450981</v>
      </c>
      <c r="J29" s="23">
        <f t="shared" si="42"/>
        <v>0.33716361504833031</v>
      </c>
      <c r="K29" s="23">
        <f t="shared" si="37"/>
        <v>6.48032666929058E-2</v>
      </c>
      <c r="L29" s="23">
        <f t="shared" si="37"/>
        <v>4.6665086336880102E-2</v>
      </c>
      <c r="M29" s="23">
        <f t="shared" si="43"/>
        <v>0.12139750013156402</v>
      </c>
      <c r="N29" s="23">
        <f t="shared" si="38"/>
        <v>0.19867254346250102</v>
      </c>
      <c r="O29" s="23">
        <f t="shared" si="47"/>
        <v>55.322089133248987</v>
      </c>
      <c r="V29" s="26" t="s">
        <v>15</v>
      </c>
      <c r="W29" s="27">
        <f>+'ACTIVITY DATA'!G43</f>
        <v>216</v>
      </c>
      <c r="X29" s="27">
        <f>+'ACTIVITY DATA'!H43</f>
        <v>40</v>
      </c>
      <c r="Y29" s="27">
        <f>+'ACTIVITY DATA'!I43</f>
        <v>58</v>
      </c>
      <c r="Z29" s="23">
        <f t="shared" si="44"/>
        <v>0.84705882352941175</v>
      </c>
      <c r="AA29" s="23">
        <f t="shared" si="39"/>
        <v>0.15686274509803921</v>
      </c>
      <c r="AB29" s="23">
        <f t="shared" si="39"/>
        <v>0.22745098039215686</v>
      </c>
      <c r="AC29" s="23">
        <f t="shared" si="45"/>
        <v>0.6866853124353135</v>
      </c>
      <c r="AD29" s="23">
        <f t="shared" si="40"/>
        <v>2.1219010376003551E-2</v>
      </c>
      <c r="AE29" s="23">
        <f t="shared" si="40"/>
        <v>4.2311410620809675E-2</v>
      </c>
      <c r="AF29" s="23">
        <f t="shared" si="46"/>
        <v>0.16422001749148785</v>
      </c>
    </row>
    <row r="30" spans="1:32" s="25" customFormat="1" thickBot="1" x14ac:dyDescent="0.25">
      <c r="A30" s="21">
        <f>+'ACTIVITY DATA'!E102</f>
        <v>6</v>
      </c>
      <c r="B30" s="21">
        <f>+'ACTIVITY DATA'!F102</f>
        <v>0</v>
      </c>
      <c r="C30" s="22">
        <f>+B30*'ACTIVITY DATA'!$H$73</f>
        <v>0</v>
      </c>
      <c r="D30" s="21">
        <f>+'ACTIVITY DATA'!G102</f>
        <v>0</v>
      </c>
      <c r="E30" s="21">
        <f>+'ACTIVITY DATA'!H102</f>
        <v>0</v>
      </c>
      <c r="F30" s="21">
        <f>+'ACTIVITY DATA'!I102</f>
        <v>0</v>
      </c>
      <c r="G30" s="23">
        <f t="shared" ref="G30:G31" si="48">D30/255</f>
        <v>0</v>
      </c>
      <c r="H30" s="23">
        <f t="shared" ref="H30:H31" si="49">E30/255</f>
        <v>0</v>
      </c>
      <c r="I30" s="23">
        <f t="shared" ref="I30:I31" si="50">F30/255</f>
        <v>0</v>
      </c>
      <c r="J30" s="23">
        <f t="shared" ref="J30:J31" si="51">IF(GESTEP(G30,0.04045),POWER(((G30+0.055)/1.055),2.4),(G30/12.92))</f>
        <v>0</v>
      </c>
      <c r="K30" s="23">
        <f t="shared" ref="K30:K31" si="52">IF(GESTEP(H30,0.04045),POWER(((H30+0.055)/1.055),2.4),(H30/12.92))</f>
        <v>0</v>
      </c>
      <c r="L30" s="23">
        <f t="shared" ref="L30:L31" si="53">IF(GESTEP(I30,0.04045),POWER(((I30+0.055)/1.055),2.4),(I30/12.92))</f>
        <v>0</v>
      </c>
      <c r="M30" s="23">
        <f t="shared" ref="M30:M31" si="54">0.2126*J30+0.7152*K30+0.0722*L30</f>
        <v>0</v>
      </c>
      <c r="N30" s="23">
        <f t="shared" si="38"/>
        <v>0</v>
      </c>
      <c r="O30" s="23" t="str">
        <f t="shared" si="47"/>
        <v/>
      </c>
      <c r="V30" s="26" t="s">
        <v>16</v>
      </c>
      <c r="W30" s="27">
        <f>+'ACTIVITY DATA'!G44</f>
        <v>194</v>
      </c>
      <c r="X30" s="27">
        <f>+'ACTIVITY DATA'!H44</f>
        <v>41</v>
      </c>
      <c r="Y30" s="27">
        <f>+'ACTIVITY DATA'!I44</f>
        <v>46</v>
      </c>
      <c r="Z30" s="23">
        <f>W30/255</f>
        <v>0.76078431372549016</v>
      </c>
      <c r="AA30" s="23">
        <f t="shared" si="39"/>
        <v>0.16078431372549021</v>
      </c>
      <c r="AB30" s="23">
        <f t="shared" si="39"/>
        <v>0.1803921568627451</v>
      </c>
      <c r="AC30" s="23">
        <f t="shared" si="45"/>
        <v>0.53947948901210707</v>
      </c>
      <c r="AD30" s="23">
        <f t="shared" si="40"/>
        <v>2.2173884793387392E-2</v>
      </c>
      <c r="AE30" s="23">
        <f t="shared" si="40"/>
        <v>2.7320891639074901E-2</v>
      </c>
      <c r="AF30" s="23">
        <f t="shared" si="46"/>
        <v>0.13252467014454586</v>
      </c>
    </row>
    <row r="31" spans="1:32" s="25" customFormat="1" thickBot="1" x14ac:dyDescent="0.25">
      <c r="A31" s="21">
        <f>+'ACTIVITY DATA'!E103</f>
        <v>7</v>
      </c>
      <c r="B31" s="21">
        <f>+'ACTIVITY DATA'!F103</f>
        <v>0</v>
      </c>
      <c r="C31" s="22">
        <f>+B31*'ACTIVITY DATA'!$H$73</f>
        <v>0</v>
      </c>
      <c r="D31" s="21">
        <f>+'ACTIVITY DATA'!G103</f>
        <v>0</v>
      </c>
      <c r="E31" s="21">
        <f>+'ACTIVITY DATA'!H103</f>
        <v>0</v>
      </c>
      <c r="F31" s="21">
        <f>+'ACTIVITY DATA'!I103</f>
        <v>0</v>
      </c>
      <c r="G31" s="23">
        <f t="shared" si="48"/>
        <v>0</v>
      </c>
      <c r="H31" s="23">
        <f t="shared" si="49"/>
        <v>0</v>
      </c>
      <c r="I31" s="23">
        <f t="shared" si="50"/>
        <v>0</v>
      </c>
      <c r="J31" s="23">
        <f t="shared" si="51"/>
        <v>0</v>
      </c>
      <c r="K31" s="23">
        <f t="shared" si="52"/>
        <v>0</v>
      </c>
      <c r="L31" s="23">
        <f t="shared" si="53"/>
        <v>0</v>
      </c>
      <c r="M31" s="23">
        <f t="shared" si="54"/>
        <v>0</v>
      </c>
      <c r="N31" s="23">
        <f t="shared" si="38"/>
        <v>0</v>
      </c>
      <c r="O31" s="23" t="str">
        <f t="shared" si="47"/>
        <v/>
      </c>
      <c r="V31" s="26"/>
      <c r="W31" s="26"/>
      <c r="X31" s="26"/>
      <c r="Y31" s="26"/>
      <c r="Z31" s="26"/>
      <c r="AA31" s="26"/>
      <c r="AD31" s="209" t="s">
        <v>59</v>
      </c>
      <c r="AE31" s="210"/>
      <c r="AF31" s="139">
        <f>AVERAGE(AF26:AF30)</f>
        <v>0.23804832044372742</v>
      </c>
    </row>
    <row r="32" spans="1:32" ht="24" x14ac:dyDescent="0.3">
      <c r="N32" s="6" t="s">
        <v>17</v>
      </c>
      <c r="O32" s="29">
        <f>AVERAGE(O26:O31)</f>
        <v>54.609154339796689</v>
      </c>
      <c r="V32" s="9"/>
      <c r="W32" s="9"/>
      <c r="X32" s="9"/>
      <c r="Y32" s="9"/>
      <c r="AA32" s="9"/>
      <c r="AE32" s="9"/>
    </row>
    <row r="33" spans="1:32" ht="19" x14ac:dyDescent="0.25">
      <c r="AA33" s="9"/>
      <c r="AD33" s="211" t="s">
        <v>60</v>
      </c>
      <c r="AE33" s="211"/>
      <c r="AF33" s="31">
        <f>IF(AF31=0,0,$AI$10/AF31)</f>
        <v>1.6365455898778023</v>
      </c>
    </row>
    <row r="34" spans="1:32" s="8" customFormat="1" ht="24" x14ac:dyDescent="0.3">
      <c r="A34" s="12">
        <f>+'ACTIVITY DATA'!F19</f>
        <v>4</v>
      </c>
      <c r="B34" s="13" t="s">
        <v>24</v>
      </c>
      <c r="V34" s="7">
        <f>+A34</f>
        <v>4</v>
      </c>
      <c r="W34" s="7" t="str">
        <f>+B34</f>
        <v>µg</v>
      </c>
    </row>
    <row r="36" spans="1:32" s="17" customFormat="1" ht="17" x14ac:dyDescent="0.2">
      <c r="A36" s="16" t="s">
        <v>61</v>
      </c>
      <c r="B36" s="16" t="s">
        <v>25</v>
      </c>
      <c r="C36" s="16" t="s">
        <v>62</v>
      </c>
      <c r="D36" s="16" t="s">
        <v>0</v>
      </c>
      <c r="E36" s="16" t="s">
        <v>1</v>
      </c>
      <c r="F36" s="16" t="s">
        <v>2</v>
      </c>
      <c r="G36" s="16" t="s">
        <v>3</v>
      </c>
      <c r="H36" s="16" t="s">
        <v>4</v>
      </c>
      <c r="I36" s="16" t="s">
        <v>5</v>
      </c>
      <c r="J36" s="16" t="s">
        <v>6</v>
      </c>
      <c r="K36" s="16" t="s">
        <v>7</v>
      </c>
      <c r="L36" s="16" t="s">
        <v>8</v>
      </c>
      <c r="M36" s="16" t="s">
        <v>26</v>
      </c>
      <c r="N36" s="16" t="s">
        <v>27</v>
      </c>
      <c r="O36" s="16" t="s">
        <v>28</v>
      </c>
      <c r="V36" s="18" t="s">
        <v>10</v>
      </c>
      <c r="W36" s="19" t="s">
        <v>0</v>
      </c>
      <c r="X36" s="20" t="s">
        <v>1</v>
      </c>
      <c r="Y36" s="20" t="s">
        <v>2</v>
      </c>
      <c r="Z36" s="16" t="s">
        <v>3</v>
      </c>
      <c r="AA36" s="16" t="s">
        <v>4</v>
      </c>
      <c r="AB36" s="16" t="s">
        <v>5</v>
      </c>
      <c r="AC36" s="20" t="s">
        <v>6</v>
      </c>
      <c r="AD36" s="20" t="s">
        <v>7</v>
      </c>
      <c r="AE36" s="20" t="s">
        <v>11</v>
      </c>
      <c r="AF36" s="20" t="s">
        <v>9</v>
      </c>
    </row>
    <row r="37" spans="1:32" s="25" customFormat="1" ht="15" x14ac:dyDescent="0.2">
      <c r="A37" s="21">
        <f>+'ACTIVITY DATA'!E104</f>
        <v>2</v>
      </c>
      <c r="B37" s="22">
        <f>+'ACTIVITY DATA'!F104</f>
        <v>99.29</v>
      </c>
      <c r="C37" s="22">
        <f>+B37*'ACTIVITY DATA'!$H$74</f>
        <v>113.81821183094978</v>
      </c>
      <c r="D37" s="21">
        <f>+'ACTIVITY DATA'!G104</f>
        <v>97</v>
      </c>
      <c r="E37" s="21">
        <f>+'ACTIVITY DATA'!H104</f>
        <v>39</v>
      </c>
      <c r="F37" s="21">
        <f>+'ACTIVITY DATA'!I104</f>
        <v>31</v>
      </c>
      <c r="G37" s="23">
        <f>D37/255</f>
        <v>0.38039215686274508</v>
      </c>
      <c r="H37" s="23">
        <f t="shared" ref="H37:I37" si="55">E37/255</f>
        <v>0.15294117647058825</v>
      </c>
      <c r="I37" s="23">
        <f t="shared" si="55"/>
        <v>0.12156862745098039</v>
      </c>
      <c r="J37" s="23">
        <f>IF(GESTEP(G37,0.04045),POWER(((G37+0.055)/1.055),2.4),(G37/12.92))</f>
        <v>0.11953842798834564</v>
      </c>
      <c r="K37" s="23">
        <f t="shared" ref="K37:L37" si="56">IF(GESTEP(H37,0.04045),POWER(((H37+0.055)/1.055),2.4),(H37/12.92))</f>
        <v>2.0288563056652397E-2</v>
      </c>
      <c r="L37" s="23">
        <f t="shared" si="56"/>
        <v>1.3702083047289692E-2</v>
      </c>
      <c r="M37" s="23">
        <f>0.2126*J37+0.7152*K37+0.0722*L37</f>
        <v>4.0913540484454398E-2</v>
      </c>
      <c r="N37" s="23">
        <f t="shared" ref="N37:N42" si="57">M37*$AF$44</f>
        <v>7.4219462200887862E-2</v>
      </c>
      <c r="O37" s="23">
        <f>IF(N37&gt;0,(C37/(10*N37)),"")</f>
        <v>153.35359278524683</v>
      </c>
      <c r="V37" s="26" t="s">
        <v>12</v>
      </c>
      <c r="W37" s="27">
        <f>+'ACTIVITY DATA'!G45</f>
        <v>188</v>
      </c>
      <c r="X37" s="27">
        <f>+'ACTIVITY DATA'!H45</f>
        <v>146</v>
      </c>
      <c r="Y37" s="27">
        <f>+'ACTIVITY DATA'!I45</f>
        <v>156</v>
      </c>
      <c r="Z37" s="23">
        <f>W37/255</f>
        <v>0.73725490196078436</v>
      </c>
      <c r="AA37" s="23">
        <f t="shared" ref="AA37:AB41" si="58">X37/255</f>
        <v>0.5725490196078431</v>
      </c>
      <c r="AB37" s="23">
        <f t="shared" si="58"/>
        <v>0.61176470588235299</v>
      </c>
      <c r="AC37" s="23">
        <f>IF(GESTEP(Z37,0.04045),POWER(((Z37+0.055)/1.055),2.4),(Z37/12.92))</f>
        <v>0.50288645803256871</v>
      </c>
      <c r="AD37" s="23">
        <f t="shared" ref="AD37:AE41" si="59">IF(GESTEP(AA37,0.04045),POWER(((AA37+0.055)/1.055),2.4),(AA37/12.92))</f>
        <v>0.28744083772691742</v>
      </c>
      <c r="AE37" s="23">
        <f t="shared" si="59"/>
        <v>0.33245153634617935</v>
      </c>
      <c r="AF37" s="23">
        <f>0.2126*AC37+0.7152*AD37+0.0722*AE37</f>
        <v>0.33649434904420961</v>
      </c>
    </row>
    <row r="38" spans="1:32" s="25" customFormat="1" ht="15" x14ac:dyDescent="0.2">
      <c r="A38" s="21">
        <f>+'ACTIVITY DATA'!E105</f>
        <v>3</v>
      </c>
      <c r="B38" s="22">
        <f>+'ACTIVITY DATA'!F105</f>
        <v>79.39</v>
      </c>
      <c r="C38" s="22">
        <f>+B38*'ACTIVITY DATA'!$H$74</f>
        <v>91.006423982869393</v>
      </c>
      <c r="D38" s="21">
        <f>+'ACTIVITY DATA'!G105</f>
        <v>112</v>
      </c>
      <c r="E38" s="21">
        <f>+'ACTIVITY DATA'!H105</f>
        <v>51</v>
      </c>
      <c r="F38" s="21">
        <f>+'ACTIVITY DATA'!I105</f>
        <v>40</v>
      </c>
      <c r="G38" s="23">
        <f t="shared" ref="G38:G42" si="60">D38/255</f>
        <v>0.4392156862745098</v>
      </c>
      <c r="H38" s="23">
        <f t="shared" ref="H38:H42" si="61">E38/255</f>
        <v>0.2</v>
      </c>
      <c r="I38" s="23">
        <f t="shared" ref="I38:I42" si="62">F38/255</f>
        <v>0.15686274509803921</v>
      </c>
      <c r="J38" s="23">
        <f t="shared" ref="J38:J42" si="63">IF(GESTEP(G38,0.04045),POWER(((G38+0.055)/1.055),2.4),(G38/12.92))</f>
        <v>0.16202937563911096</v>
      </c>
      <c r="K38" s="23">
        <f t="shared" ref="K38:K42" si="64">IF(GESTEP(H38,0.04045),POWER(((H38+0.055)/1.055),2.4),(H38/12.92))</f>
        <v>3.3104766570885055E-2</v>
      </c>
      <c r="L38" s="23">
        <f t="shared" ref="L38:L42" si="65">IF(GESTEP(I38,0.04045),POWER(((I38+0.055)/1.055),2.4),(I38/12.92))</f>
        <v>2.1219010376003551E-2</v>
      </c>
      <c r="M38" s="23">
        <f t="shared" ref="M38:M42" si="66">0.2126*J38+0.7152*K38+0.0722*L38</f>
        <v>5.965598686151944E-2</v>
      </c>
      <c r="N38" s="23">
        <f t="shared" si="57"/>
        <v>0.10821931344728133</v>
      </c>
      <c r="O38" s="23">
        <f t="shared" ref="O38:O42" si="67">IF(N38&gt;0,(C38/(10*N38)),"")</f>
        <v>84.094438491520151</v>
      </c>
      <c r="V38" s="26" t="s">
        <v>13</v>
      </c>
      <c r="W38" s="27">
        <f>+'ACTIVITY DATA'!G46</f>
        <v>195</v>
      </c>
      <c r="X38" s="27">
        <f>+'ACTIVITY DATA'!H46</f>
        <v>125</v>
      </c>
      <c r="Y38" s="27">
        <f>+'ACTIVITY DATA'!I46</f>
        <v>146</v>
      </c>
      <c r="Z38" s="23">
        <f t="shared" ref="Z38:Z40" si="68">W38/255</f>
        <v>0.76470588235294112</v>
      </c>
      <c r="AA38" s="23">
        <f t="shared" si="58"/>
        <v>0.49019607843137253</v>
      </c>
      <c r="AB38" s="23">
        <f t="shared" si="58"/>
        <v>0.5725490196078431</v>
      </c>
      <c r="AC38" s="23">
        <f t="shared" ref="AC38:AC41" si="69">IF(GESTEP(Z38,0.04045),POWER(((Z38+0.055)/1.055),2.4),(Z38/12.92))</f>
        <v>0.5457244613701866</v>
      </c>
      <c r="AD38" s="23">
        <f t="shared" si="59"/>
        <v>0.2050787363903169</v>
      </c>
      <c r="AE38" s="23">
        <f t="shared" si="59"/>
        <v>0.28744083772691742</v>
      </c>
      <c r="AF38" s="23">
        <f t="shared" ref="AF38:AF41" si="70">0.2126*AC38+0.7152*AD38+0.0722*AE38</f>
        <v>0.28344656123753975</v>
      </c>
    </row>
    <row r="39" spans="1:32" s="25" customFormat="1" ht="15" x14ac:dyDescent="0.2">
      <c r="A39" s="21">
        <f>+'ACTIVITY DATA'!E106</f>
        <v>4</v>
      </c>
      <c r="B39" s="22">
        <f>+'ACTIVITY DATA'!F106</f>
        <v>114.55</v>
      </c>
      <c r="C39" s="22">
        <f>+B39*'ACTIVITY DATA'!$H$74</f>
        <v>131.31107025113602</v>
      </c>
      <c r="D39" s="21">
        <f>+'ACTIVITY DATA'!G106</f>
        <v>105</v>
      </c>
      <c r="E39" s="21">
        <f>+'ACTIVITY DATA'!H106</f>
        <v>48</v>
      </c>
      <c r="F39" s="21">
        <f>+'ACTIVITY DATA'!I106</f>
        <v>39</v>
      </c>
      <c r="G39" s="23">
        <f t="shared" si="60"/>
        <v>0.41176470588235292</v>
      </c>
      <c r="H39" s="23">
        <f t="shared" si="61"/>
        <v>0.18823529411764706</v>
      </c>
      <c r="I39" s="23">
        <f t="shared" si="62"/>
        <v>0.15294117647058825</v>
      </c>
      <c r="J39" s="23">
        <f t="shared" si="63"/>
        <v>0.14126329114027164</v>
      </c>
      <c r="K39" s="23">
        <f t="shared" si="64"/>
        <v>2.9556834437808807E-2</v>
      </c>
      <c r="L39" s="23">
        <f t="shared" si="65"/>
        <v>2.0288563056652397E-2</v>
      </c>
      <c r="M39" s="23">
        <f t="shared" si="66"/>
        <v>5.2636457939032912E-2</v>
      </c>
      <c r="N39" s="23">
        <f t="shared" si="57"/>
        <v>9.5485493412115152E-2</v>
      </c>
      <c r="O39" s="23">
        <f t="shared" si="67"/>
        <v>137.51939227501057</v>
      </c>
      <c r="V39" s="26" t="s">
        <v>14</v>
      </c>
      <c r="W39" s="27">
        <f>+'ACTIVITY DATA'!G47</f>
        <v>210</v>
      </c>
      <c r="X39" s="27">
        <f>+'ACTIVITY DATA'!H47</f>
        <v>63</v>
      </c>
      <c r="Y39" s="27">
        <f>+'ACTIVITY DATA'!I47</f>
        <v>101</v>
      </c>
      <c r="Z39" s="23">
        <f t="shared" si="68"/>
        <v>0.82352941176470584</v>
      </c>
      <c r="AA39" s="23">
        <f t="shared" si="58"/>
        <v>0.24705882352941178</v>
      </c>
      <c r="AB39" s="23">
        <f t="shared" si="58"/>
        <v>0.396078431372549</v>
      </c>
      <c r="AC39" s="23">
        <f t="shared" si="69"/>
        <v>0.64447968197058214</v>
      </c>
      <c r="AD39" s="23">
        <f t="shared" si="59"/>
        <v>4.9706565984127239E-2</v>
      </c>
      <c r="AE39" s="23">
        <f t="shared" si="59"/>
        <v>0.13013647669036432</v>
      </c>
      <c r="AF39" s="23">
        <f t="shared" si="70"/>
        <v>0.1819623699958379</v>
      </c>
    </row>
    <row r="40" spans="1:32" s="25" customFormat="1" ht="15" x14ac:dyDescent="0.2">
      <c r="A40" s="21">
        <f>+'ACTIVITY DATA'!E107</f>
        <v>5</v>
      </c>
      <c r="B40" s="22">
        <f>+'ACTIVITY DATA'!F107</f>
        <v>63.49</v>
      </c>
      <c r="C40" s="22">
        <f>+B40*'ACTIVITY DATA'!$H$74</f>
        <v>72.779920124352913</v>
      </c>
      <c r="D40" s="21">
        <f>+'ACTIVITY DATA'!G107</f>
        <v>102</v>
      </c>
      <c r="E40" s="21">
        <f>+'ACTIVITY DATA'!H107</f>
        <v>59</v>
      </c>
      <c r="F40" s="21">
        <f>+'ACTIVITY DATA'!I107</f>
        <v>49</v>
      </c>
      <c r="G40" s="23">
        <f t="shared" si="60"/>
        <v>0.4</v>
      </c>
      <c r="H40" s="23">
        <f t="shared" si="61"/>
        <v>0.23137254901960785</v>
      </c>
      <c r="I40" s="23">
        <f t="shared" si="62"/>
        <v>0.19215686274509805</v>
      </c>
      <c r="J40" s="23">
        <f t="shared" si="63"/>
        <v>0.13286832155381798</v>
      </c>
      <c r="K40" s="23">
        <f t="shared" si="64"/>
        <v>4.3735029256973472E-2</v>
      </c>
      <c r="L40" s="23">
        <f t="shared" si="65"/>
        <v>3.0713443732993638E-2</v>
      </c>
      <c r="M40" s="23">
        <f t="shared" si="66"/>
        <v>6.1744608724451269E-2</v>
      </c>
      <c r="N40" s="23">
        <f t="shared" si="57"/>
        <v>0.11200819090868601</v>
      </c>
      <c r="O40" s="23">
        <f t="shared" si="67"/>
        <v>64.977319545930612</v>
      </c>
      <c r="V40" s="26" t="s">
        <v>15</v>
      </c>
      <c r="W40" s="27">
        <f>+'ACTIVITY DATA'!G48</f>
        <v>209</v>
      </c>
      <c r="X40" s="27">
        <f>+'ACTIVITY DATA'!H48</f>
        <v>35</v>
      </c>
      <c r="Y40" s="27">
        <f>+'ACTIVITY DATA'!I48</f>
        <v>52</v>
      </c>
      <c r="Z40" s="23">
        <f t="shared" si="68"/>
        <v>0.81960784313725488</v>
      </c>
      <c r="AA40" s="23">
        <f t="shared" si="58"/>
        <v>0.13725490196078433</v>
      </c>
      <c r="AB40" s="23">
        <f t="shared" si="58"/>
        <v>0.20392156862745098</v>
      </c>
      <c r="AC40" s="23">
        <f t="shared" si="69"/>
        <v>0.63759687399403264</v>
      </c>
      <c r="AD40" s="23">
        <f t="shared" si="59"/>
        <v>1.6807375752887391E-2</v>
      </c>
      <c r="AE40" s="23">
        <f t="shared" si="59"/>
        <v>3.4339806808682156E-2</v>
      </c>
      <c r="AF40" s="23">
        <f t="shared" si="70"/>
        <v>0.15005306460118323</v>
      </c>
    </row>
    <row r="41" spans="1:32" s="25" customFormat="1" thickBot="1" x14ac:dyDescent="0.25">
      <c r="A41" s="21">
        <f>+'ACTIVITY DATA'!E108</f>
        <v>6</v>
      </c>
      <c r="B41" s="22">
        <f>+'ACTIVITY DATA'!F108</f>
        <v>0</v>
      </c>
      <c r="C41" s="22">
        <f>+B41*'ACTIVITY DATA'!$H$74</f>
        <v>0</v>
      </c>
      <c r="D41" s="21">
        <f>+'ACTIVITY DATA'!G108</f>
        <v>0</v>
      </c>
      <c r="E41" s="21">
        <f>+'ACTIVITY DATA'!H108</f>
        <v>0</v>
      </c>
      <c r="F41" s="21">
        <f>+'ACTIVITY DATA'!I108</f>
        <v>0</v>
      </c>
      <c r="G41" s="23">
        <f t="shared" si="60"/>
        <v>0</v>
      </c>
      <c r="H41" s="23">
        <f t="shared" si="61"/>
        <v>0</v>
      </c>
      <c r="I41" s="23">
        <f t="shared" si="62"/>
        <v>0</v>
      </c>
      <c r="J41" s="23">
        <f t="shared" si="63"/>
        <v>0</v>
      </c>
      <c r="K41" s="23">
        <f t="shared" si="64"/>
        <v>0</v>
      </c>
      <c r="L41" s="23">
        <f t="shared" si="65"/>
        <v>0</v>
      </c>
      <c r="M41" s="23">
        <f t="shared" si="66"/>
        <v>0</v>
      </c>
      <c r="N41" s="23">
        <f t="shared" si="57"/>
        <v>0</v>
      </c>
      <c r="O41" s="23" t="str">
        <f t="shared" si="67"/>
        <v/>
      </c>
      <c r="V41" s="26" t="s">
        <v>16</v>
      </c>
      <c r="W41" s="27">
        <f>+'ACTIVITY DATA'!G49</f>
        <v>188</v>
      </c>
      <c r="X41" s="27">
        <f>+'ACTIVITY DATA'!H49</f>
        <v>37</v>
      </c>
      <c r="Y41" s="27">
        <f>+'ACTIVITY DATA'!I49</f>
        <v>42</v>
      </c>
      <c r="Z41" s="23">
        <f>W41/255</f>
        <v>0.73725490196078436</v>
      </c>
      <c r="AA41" s="23">
        <f t="shared" si="58"/>
        <v>0.14509803921568629</v>
      </c>
      <c r="AB41" s="23">
        <f t="shared" si="58"/>
        <v>0.16470588235294117</v>
      </c>
      <c r="AC41" s="23">
        <f t="shared" si="69"/>
        <v>0.50288645803256871</v>
      </c>
      <c r="AD41" s="23">
        <f t="shared" si="59"/>
        <v>1.8500220128379697E-2</v>
      </c>
      <c r="AE41" s="23">
        <f t="shared" si="59"/>
        <v>2.3153366178110407E-2</v>
      </c>
      <c r="AF41" s="23">
        <f t="shared" si="70"/>
        <v>0.12181669145160084</v>
      </c>
    </row>
    <row r="42" spans="1:32" s="25" customFormat="1" thickBot="1" x14ac:dyDescent="0.25">
      <c r="A42" s="21">
        <f>+'ACTIVITY DATA'!E109</f>
        <v>7</v>
      </c>
      <c r="B42" s="22">
        <f>+'ACTIVITY DATA'!F109</f>
        <v>0</v>
      </c>
      <c r="C42" s="22">
        <f>+B42*'ACTIVITY DATA'!$H$74</f>
        <v>0</v>
      </c>
      <c r="D42" s="21">
        <f>+'ACTIVITY DATA'!G109</f>
        <v>0</v>
      </c>
      <c r="E42" s="21">
        <f>+'ACTIVITY DATA'!H109</f>
        <v>0</v>
      </c>
      <c r="F42" s="21">
        <f>+'ACTIVITY DATA'!I109</f>
        <v>0</v>
      </c>
      <c r="G42" s="23">
        <f t="shared" si="60"/>
        <v>0</v>
      </c>
      <c r="H42" s="23">
        <f t="shared" si="61"/>
        <v>0</v>
      </c>
      <c r="I42" s="23">
        <f t="shared" si="62"/>
        <v>0</v>
      </c>
      <c r="J42" s="23">
        <f t="shared" si="63"/>
        <v>0</v>
      </c>
      <c r="K42" s="23">
        <f t="shared" si="64"/>
        <v>0</v>
      </c>
      <c r="L42" s="23">
        <f t="shared" si="65"/>
        <v>0</v>
      </c>
      <c r="M42" s="23">
        <f t="shared" si="66"/>
        <v>0</v>
      </c>
      <c r="N42" s="23">
        <f t="shared" si="57"/>
        <v>0</v>
      </c>
      <c r="O42" s="23" t="str">
        <f t="shared" si="67"/>
        <v/>
      </c>
      <c r="V42" s="26"/>
      <c r="W42" s="26"/>
      <c r="X42" s="26"/>
      <c r="Y42" s="26"/>
      <c r="Z42" s="26"/>
      <c r="AA42" s="26"/>
      <c r="AD42" s="209" t="s">
        <v>59</v>
      </c>
      <c r="AE42" s="210"/>
      <c r="AF42" s="139">
        <f>AVERAGE(AF37:AF41)</f>
        <v>0.21475460726607426</v>
      </c>
    </row>
    <row r="43" spans="1:32" ht="24" x14ac:dyDescent="0.3">
      <c r="N43" s="6" t="s">
        <v>17</v>
      </c>
      <c r="O43" s="29">
        <f>AVERAGE(O37:O42)</f>
        <v>109.98618577442704</v>
      </c>
      <c r="V43" s="9"/>
      <c r="W43" s="9"/>
      <c r="X43" s="9"/>
      <c r="Y43" s="9"/>
      <c r="AA43" s="9"/>
      <c r="AE43" s="9"/>
    </row>
    <row r="44" spans="1:32" ht="19" x14ac:dyDescent="0.25">
      <c r="AA44" s="9"/>
      <c r="AD44" s="211" t="s">
        <v>60</v>
      </c>
      <c r="AE44" s="211"/>
      <c r="AF44" s="31">
        <f>IF(AF42=0,0,$AI$10/AF42)</f>
        <v>1.8140562102927382</v>
      </c>
    </row>
    <row r="45" spans="1:32" s="8" customFormat="1" ht="24" x14ac:dyDescent="0.3">
      <c r="A45" s="12">
        <f>+'ACTIVITY DATA'!F20</f>
        <v>8</v>
      </c>
      <c r="B45" s="13" t="s">
        <v>24</v>
      </c>
      <c r="V45" s="7">
        <f>+A45</f>
        <v>8</v>
      </c>
      <c r="W45" s="7" t="str">
        <f>+B45</f>
        <v>µg</v>
      </c>
      <c r="AA45" s="10"/>
      <c r="AD45" s="10"/>
      <c r="AF45" s="11"/>
    </row>
    <row r="47" spans="1:32" s="17" customFormat="1" ht="17" x14ac:dyDescent="0.2">
      <c r="A47" s="16" t="s">
        <v>61</v>
      </c>
      <c r="B47" s="16" t="s">
        <v>25</v>
      </c>
      <c r="C47" s="16" t="s">
        <v>62</v>
      </c>
      <c r="D47" s="16" t="s">
        <v>0</v>
      </c>
      <c r="E47" s="16" t="s">
        <v>1</v>
      </c>
      <c r="F47" s="16" t="s">
        <v>2</v>
      </c>
      <c r="G47" s="16" t="s">
        <v>3</v>
      </c>
      <c r="H47" s="16" t="s">
        <v>4</v>
      </c>
      <c r="I47" s="16" t="s">
        <v>5</v>
      </c>
      <c r="J47" s="16" t="s">
        <v>6</v>
      </c>
      <c r="K47" s="16" t="s">
        <v>7</v>
      </c>
      <c r="L47" s="16" t="s">
        <v>8</v>
      </c>
      <c r="M47" s="16" t="s">
        <v>26</v>
      </c>
      <c r="N47" s="16" t="s">
        <v>27</v>
      </c>
      <c r="O47" s="16" t="s">
        <v>28</v>
      </c>
      <c r="V47" s="18" t="s">
        <v>10</v>
      </c>
      <c r="W47" s="19" t="s">
        <v>0</v>
      </c>
      <c r="X47" s="20" t="s">
        <v>1</v>
      </c>
      <c r="Y47" s="20" t="s">
        <v>2</v>
      </c>
      <c r="Z47" s="16" t="s">
        <v>3</v>
      </c>
      <c r="AA47" s="16" t="s">
        <v>4</v>
      </c>
      <c r="AB47" s="16" t="s">
        <v>5</v>
      </c>
      <c r="AC47" s="20" t="s">
        <v>6</v>
      </c>
      <c r="AD47" s="20" t="s">
        <v>7</v>
      </c>
      <c r="AE47" s="20" t="s">
        <v>11</v>
      </c>
      <c r="AF47" s="20" t="s">
        <v>9</v>
      </c>
    </row>
    <row r="48" spans="1:32" s="25" customFormat="1" ht="15" x14ac:dyDescent="0.2">
      <c r="A48" s="21">
        <f>+'ACTIVITY DATA'!E110</f>
        <v>2</v>
      </c>
      <c r="B48" s="22">
        <f>+'ACTIVITY DATA'!F110</f>
        <v>153.21</v>
      </c>
      <c r="C48" s="22">
        <f>+B48*'ACTIVITY DATA'!$H$75</f>
        <v>177.14186611168921</v>
      </c>
      <c r="D48" s="21">
        <f>+'ACTIVITY DATA'!G110</f>
        <v>115</v>
      </c>
      <c r="E48" s="21">
        <f>+'ACTIVITY DATA'!H110</f>
        <v>36</v>
      </c>
      <c r="F48" s="21">
        <f>+'ACTIVITY DATA'!I110</f>
        <v>30</v>
      </c>
      <c r="G48" s="23">
        <f>D48/255</f>
        <v>0.45098039215686275</v>
      </c>
      <c r="H48" s="23">
        <f t="shared" ref="H48:I48" si="71">E48/255</f>
        <v>0.14117647058823529</v>
      </c>
      <c r="I48" s="23">
        <f t="shared" si="71"/>
        <v>0.11764705882352941</v>
      </c>
      <c r="J48" s="23">
        <f>IF(GESTEP(G48,0.04045),POWER(((G48+0.055)/1.055),2.4),(G48/12.92))</f>
        <v>0.17144110073282262</v>
      </c>
      <c r="K48" s="23">
        <f t="shared" ref="K48:L48" si="72">IF(GESTEP(H48,0.04045),POWER(((H48+0.055)/1.055),2.4),(H48/12.92))</f>
        <v>1.7641954488384088E-2</v>
      </c>
      <c r="L48" s="23">
        <f t="shared" si="72"/>
        <v>1.2983032342173016E-2</v>
      </c>
      <c r="M48" s="23">
        <f>0.2126*J48+0.7152*K48+0.0722*L48</f>
        <v>5.0003278800995282E-2</v>
      </c>
      <c r="N48" s="23">
        <f t="shared" ref="N48:N53" si="73">M48*$AF$55</f>
        <v>8.3967789666442277E-2</v>
      </c>
      <c r="O48" s="23">
        <f t="shared" ref="O48:O53" si="74">IF(N48&gt;0,(C48/(10*N48)),"")</f>
        <v>210.96406945493763</v>
      </c>
      <c r="V48" s="26" t="s">
        <v>12</v>
      </c>
      <c r="W48" s="27">
        <f>+'ACTIVITY DATA'!G50</f>
        <v>189</v>
      </c>
      <c r="X48" s="27">
        <f>+'ACTIVITY DATA'!H50</f>
        <v>151</v>
      </c>
      <c r="Y48" s="27">
        <f>+'ACTIVITY DATA'!I50</f>
        <v>160</v>
      </c>
      <c r="Z48" s="23">
        <f>W48/255</f>
        <v>0.74117647058823533</v>
      </c>
      <c r="AA48" s="23">
        <f t="shared" ref="AA48:AB52" si="75">X48/255</f>
        <v>0.59215686274509804</v>
      </c>
      <c r="AB48" s="23">
        <f t="shared" si="75"/>
        <v>0.62745098039215685</v>
      </c>
      <c r="AC48" s="23">
        <f>IF(GESTEP(Z48,0.04045),POWER(((Z48+0.055)/1.055),2.4),(Z48/12.92))</f>
        <v>0.50888132085493376</v>
      </c>
      <c r="AD48" s="23">
        <f t="shared" ref="AD48:AE52" si="76">IF(GESTEP(AA48,0.04045),POWER(((AA48+0.055)/1.055),2.4),(AA48/12.92))</f>
        <v>0.30946892281750848</v>
      </c>
      <c r="AE48" s="23">
        <f t="shared" si="76"/>
        <v>0.35153259950043936</v>
      </c>
      <c r="AF48" s="23">
        <f>0.2126*AC48+0.7152*AD48+0.0722*AE48</f>
        <v>0.35490099609677273</v>
      </c>
    </row>
    <row r="49" spans="1:32" s="25" customFormat="1" ht="15" x14ac:dyDescent="0.2">
      <c r="A49" s="21">
        <f>+'ACTIVITY DATA'!E111</f>
        <v>3</v>
      </c>
      <c r="B49" s="22">
        <f>+'ACTIVITY DATA'!F111</f>
        <v>100.67</v>
      </c>
      <c r="C49" s="22">
        <f>+B49*'ACTIVITY DATA'!$H$75</f>
        <v>116.39495895479246</v>
      </c>
      <c r="D49" s="21">
        <f>+'ACTIVITY DATA'!G111</f>
        <v>117</v>
      </c>
      <c r="E49" s="21">
        <f>+'ACTIVITY DATA'!H111</f>
        <v>36</v>
      </c>
      <c r="F49" s="21">
        <f>+'ACTIVITY DATA'!I111</f>
        <v>30</v>
      </c>
      <c r="G49" s="23">
        <f t="shared" ref="G49:G53" si="77">D49/255</f>
        <v>0.45882352941176469</v>
      </c>
      <c r="H49" s="23">
        <f t="shared" ref="H49:H53" si="78">E49/255</f>
        <v>0.14117647058823529</v>
      </c>
      <c r="I49" s="23">
        <f t="shared" ref="I49:I53" si="79">F49/255</f>
        <v>0.11764705882352941</v>
      </c>
      <c r="J49" s="23">
        <f t="shared" ref="J49:J53" si="80">IF(GESTEP(G49,0.04045),POWER(((G49+0.055)/1.055),2.4),(G49/12.92))</f>
        <v>0.17788841598362914</v>
      </c>
      <c r="K49" s="23">
        <f t="shared" ref="K49:K53" si="81">IF(GESTEP(H49,0.04045),POWER(((H49+0.055)/1.055),2.4),(H49/12.92))</f>
        <v>1.7641954488384088E-2</v>
      </c>
      <c r="L49" s="23">
        <f t="shared" ref="L49:L53" si="82">IF(GESTEP(I49,0.04045),POWER(((I49+0.055)/1.055),2.4),(I49/12.92))</f>
        <v>1.2983032342173016E-2</v>
      </c>
      <c r="M49" s="23">
        <f t="shared" ref="M49:M53" si="83">0.2126*J49+0.7152*K49+0.0722*L49</f>
        <v>5.1373978023316752E-2</v>
      </c>
      <c r="N49" s="23">
        <f t="shared" si="73"/>
        <v>8.626953040736253E-2</v>
      </c>
      <c r="O49" s="23">
        <f t="shared" si="74"/>
        <v>134.92012580244545</v>
      </c>
      <c r="V49" s="26" t="s">
        <v>13</v>
      </c>
      <c r="W49" s="27">
        <f>+'ACTIVITY DATA'!G51</f>
        <v>199</v>
      </c>
      <c r="X49" s="27">
        <f>+'ACTIVITY DATA'!H51</f>
        <v>130</v>
      </c>
      <c r="Y49" s="27">
        <f>+'ACTIVITY DATA'!I51</f>
        <v>152</v>
      </c>
      <c r="Z49" s="23">
        <f t="shared" ref="Z49:Z51" si="84">W49/255</f>
        <v>0.7803921568627451</v>
      </c>
      <c r="AA49" s="23">
        <f t="shared" si="75"/>
        <v>0.50980392156862742</v>
      </c>
      <c r="AB49" s="23">
        <f t="shared" si="75"/>
        <v>0.59607843137254901</v>
      </c>
      <c r="AC49" s="23">
        <f t="shared" ref="AC49:AC52" si="85">IF(GESTEP(Z49,0.04045),POWER(((Z49+0.055)/1.055),2.4),(Z49/12.92))</f>
        <v>0.57112482946487308</v>
      </c>
      <c r="AD49" s="23">
        <f t="shared" si="76"/>
        <v>0.2232279573168085</v>
      </c>
      <c r="AE49" s="23">
        <f t="shared" si="76"/>
        <v>0.31398871337571754</v>
      </c>
      <c r="AF49" s="23">
        <f t="shared" ref="AF49:AF52" si="86">0.2126*AC49+0.7152*AD49+0.0722*AE49</f>
        <v>0.30374375892294025</v>
      </c>
    </row>
    <row r="50" spans="1:32" s="25" customFormat="1" ht="15" x14ac:dyDescent="0.2">
      <c r="A50" s="21">
        <f>+'ACTIVITY DATA'!E112</f>
        <v>4</v>
      </c>
      <c r="B50" s="22">
        <f>+'ACTIVITY DATA'!F112</f>
        <v>128.86000000000001</v>
      </c>
      <c r="C50" s="22">
        <f>+B50*'ACTIVITY DATA'!$H$75</f>
        <v>148.98832234940457</v>
      </c>
      <c r="D50" s="21">
        <f>+'ACTIVITY DATA'!G112</f>
        <v>101</v>
      </c>
      <c r="E50" s="21">
        <f>+'ACTIVITY DATA'!H112</f>
        <v>34</v>
      </c>
      <c r="F50" s="21">
        <f>+'ACTIVITY DATA'!I112</f>
        <v>31</v>
      </c>
      <c r="G50" s="23">
        <f t="shared" si="77"/>
        <v>0.396078431372549</v>
      </c>
      <c r="H50" s="23">
        <f t="shared" si="78"/>
        <v>0.13333333333333333</v>
      </c>
      <c r="I50" s="23">
        <f t="shared" si="79"/>
        <v>0.12156862745098039</v>
      </c>
      <c r="J50" s="23">
        <f t="shared" si="80"/>
        <v>0.13013647669036432</v>
      </c>
      <c r="K50" s="23">
        <f t="shared" si="81"/>
        <v>1.5996293365509635E-2</v>
      </c>
      <c r="L50" s="23">
        <f t="shared" si="82"/>
        <v>1.3702083047289692E-2</v>
      </c>
      <c r="M50" s="23">
        <f t="shared" si="83"/>
        <v>4.0096854355398261E-2</v>
      </c>
      <c r="N50" s="23">
        <f t="shared" si="73"/>
        <v>6.7332469260656488E-2</v>
      </c>
      <c r="O50" s="23">
        <f t="shared" si="74"/>
        <v>221.2726252064856</v>
      </c>
      <c r="V50" s="26" t="s">
        <v>14</v>
      </c>
      <c r="W50" s="27">
        <f>+'ACTIVITY DATA'!G52</f>
        <v>215</v>
      </c>
      <c r="X50" s="27">
        <f>+'ACTIVITY DATA'!H52</f>
        <v>69</v>
      </c>
      <c r="Y50" s="27">
        <f>+'ACTIVITY DATA'!I52</f>
        <v>108</v>
      </c>
      <c r="Z50" s="23">
        <f t="shared" si="84"/>
        <v>0.84313725490196079</v>
      </c>
      <c r="AA50" s="23">
        <f t="shared" si="75"/>
        <v>0.27058823529411763</v>
      </c>
      <c r="AB50" s="23">
        <f t="shared" si="75"/>
        <v>0.42352941176470588</v>
      </c>
      <c r="AC50" s="23">
        <f t="shared" si="85"/>
        <v>0.67954246963309384</v>
      </c>
      <c r="AD50" s="23">
        <f t="shared" si="76"/>
        <v>5.9511238162981178E-2</v>
      </c>
      <c r="AE50" s="23">
        <f t="shared" si="76"/>
        <v>0.14995978981060856</v>
      </c>
      <c r="AF50" s="23">
        <f t="shared" si="86"/>
        <v>0.19786026340248583</v>
      </c>
    </row>
    <row r="51" spans="1:32" s="25" customFormat="1" ht="15" x14ac:dyDescent="0.2">
      <c r="A51" s="21">
        <f>+'ACTIVITY DATA'!E113</f>
        <v>5</v>
      </c>
      <c r="B51" s="22">
        <f>+'ACTIVITY DATA'!F113</f>
        <v>154.55000000000001</v>
      </c>
      <c r="C51" s="22">
        <f>+B51*'ACTIVITY DATA'!$H$75</f>
        <v>178.69117817088681</v>
      </c>
      <c r="D51" s="21">
        <f>+'ACTIVITY DATA'!G113</f>
        <v>95</v>
      </c>
      <c r="E51" s="21">
        <f>+'ACTIVITY DATA'!H113</f>
        <v>31</v>
      </c>
      <c r="F51" s="21">
        <f>+'ACTIVITY DATA'!I113</f>
        <v>29</v>
      </c>
      <c r="G51" s="23">
        <f t="shared" si="77"/>
        <v>0.37254901960784315</v>
      </c>
      <c r="H51" s="23">
        <f t="shared" si="78"/>
        <v>0.12156862745098039</v>
      </c>
      <c r="I51" s="23">
        <f t="shared" si="79"/>
        <v>0.11372549019607843</v>
      </c>
      <c r="J51" s="23">
        <f t="shared" si="80"/>
        <v>0.11443537382697375</v>
      </c>
      <c r="K51" s="23">
        <f t="shared" si="81"/>
        <v>1.3702083047289692E-2</v>
      </c>
      <c r="L51" s="23">
        <f t="shared" si="82"/>
        <v>1.2286488356915874E-2</v>
      </c>
      <c r="M51" s="23">
        <f t="shared" si="83"/>
        <v>3.5015774730405534E-2</v>
      </c>
      <c r="N51" s="23">
        <f t="shared" si="73"/>
        <v>5.8800088275645104E-2</v>
      </c>
      <c r="O51" s="23">
        <f t="shared" si="74"/>
        <v>303.89610527999906</v>
      </c>
      <c r="V51" s="26" t="s">
        <v>15</v>
      </c>
      <c r="W51" s="27">
        <f>+'ACTIVITY DATA'!G53</f>
        <v>217</v>
      </c>
      <c r="X51" s="27">
        <f>+'ACTIVITY DATA'!H53</f>
        <v>39</v>
      </c>
      <c r="Y51" s="27">
        <f>+'ACTIVITY DATA'!I53</f>
        <v>64</v>
      </c>
      <c r="Z51" s="23">
        <f t="shared" si="84"/>
        <v>0.85098039215686272</v>
      </c>
      <c r="AA51" s="23">
        <f t="shared" si="75"/>
        <v>0.15294117647058825</v>
      </c>
      <c r="AB51" s="23">
        <f t="shared" si="75"/>
        <v>0.25098039215686274</v>
      </c>
      <c r="AC51" s="23">
        <f t="shared" si="85"/>
        <v>0.69387176129198991</v>
      </c>
      <c r="AD51" s="23">
        <f t="shared" si="76"/>
        <v>2.0288563056652397E-2</v>
      </c>
      <c r="AE51" s="23">
        <f t="shared" si="76"/>
        <v>5.1269458374043231E-2</v>
      </c>
      <c r="AF51" s="23">
        <f t="shared" si="86"/>
        <v>0.16572917164340079</v>
      </c>
    </row>
    <row r="52" spans="1:32" s="25" customFormat="1" thickBot="1" x14ac:dyDescent="0.25">
      <c r="A52" s="21">
        <f>+'ACTIVITY DATA'!E114</f>
        <v>6</v>
      </c>
      <c r="B52" s="22">
        <f>+'ACTIVITY DATA'!F114</f>
        <v>0</v>
      </c>
      <c r="C52" s="22">
        <f>+B52*'ACTIVITY DATA'!$H$75</f>
        <v>0</v>
      </c>
      <c r="D52" s="21">
        <f>+'ACTIVITY DATA'!G114</f>
        <v>0</v>
      </c>
      <c r="E52" s="21">
        <f>+'ACTIVITY DATA'!H114</f>
        <v>0</v>
      </c>
      <c r="F52" s="21">
        <f>+'ACTIVITY DATA'!I114</f>
        <v>0</v>
      </c>
      <c r="G52" s="23">
        <f t="shared" si="77"/>
        <v>0</v>
      </c>
      <c r="H52" s="23">
        <f t="shared" si="78"/>
        <v>0</v>
      </c>
      <c r="I52" s="23">
        <f t="shared" si="79"/>
        <v>0</v>
      </c>
      <c r="J52" s="23">
        <f t="shared" si="80"/>
        <v>0</v>
      </c>
      <c r="K52" s="23">
        <f t="shared" si="81"/>
        <v>0</v>
      </c>
      <c r="L52" s="23">
        <f t="shared" si="82"/>
        <v>0</v>
      </c>
      <c r="M52" s="23">
        <f t="shared" si="83"/>
        <v>0</v>
      </c>
      <c r="N52" s="23">
        <f t="shared" si="73"/>
        <v>0</v>
      </c>
      <c r="O52" s="23" t="str">
        <f t="shared" si="74"/>
        <v/>
      </c>
      <c r="V52" s="26" t="s">
        <v>16</v>
      </c>
      <c r="W52" s="27">
        <f>+'ACTIVITY DATA'!G54</f>
        <v>197</v>
      </c>
      <c r="X52" s="27">
        <f>+'ACTIVITY DATA'!H54</f>
        <v>42</v>
      </c>
      <c r="Y52" s="27">
        <f>+'ACTIVITY DATA'!I54</f>
        <v>52</v>
      </c>
      <c r="Z52" s="23">
        <f>W52/255</f>
        <v>0.77254901960784317</v>
      </c>
      <c r="AA52" s="23">
        <f t="shared" si="75"/>
        <v>0.16470588235294117</v>
      </c>
      <c r="AB52" s="23">
        <f t="shared" si="75"/>
        <v>0.20392156862745098</v>
      </c>
      <c r="AC52" s="23">
        <f t="shared" si="85"/>
        <v>0.5583403896342678</v>
      </c>
      <c r="AD52" s="23">
        <f t="shared" si="76"/>
        <v>2.3153366178110407E-2</v>
      </c>
      <c r="AE52" s="23">
        <f t="shared" si="76"/>
        <v>3.4339806808682156E-2</v>
      </c>
      <c r="AF52" s="23">
        <f t="shared" si="86"/>
        <v>0.13774178837841675</v>
      </c>
    </row>
    <row r="53" spans="1:32" s="25" customFormat="1" thickBot="1" x14ac:dyDescent="0.25">
      <c r="A53" s="21">
        <f>+'ACTIVITY DATA'!E115</f>
        <v>7</v>
      </c>
      <c r="B53" s="22">
        <f>+'ACTIVITY DATA'!F115</f>
        <v>0</v>
      </c>
      <c r="C53" s="22">
        <f>+B53*'ACTIVITY DATA'!$H$75</f>
        <v>0</v>
      </c>
      <c r="D53" s="21">
        <f>+'ACTIVITY DATA'!G115</f>
        <v>0</v>
      </c>
      <c r="E53" s="21">
        <f>+'ACTIVITY DATA'!H115</f>
        <v>0</v>
      </c>
      <c r="F53" s="21">
        <f>+'ACTIVITY DATA'!I115</f>
        <v>0</v>
      </c>
      <c r="G53" s="23">
        <f t="shared" si="77"/>
        <v>0</v>
      </c>
      <c r="H53" s="23">
        <f t="shared" si="78"/>
        <v>0</v>
      </c>
      <c r="I53" s="23">
        <f t="shared" si="79"/>
        <v>0</v>
      </c>
      <c r="J53" s="23">
        <f t="shared" si="80"/>
        <v>0</v>
      </c>
      <c r="K53" s="23">
        <f t="shared" si="81"/>
        <v>0</v>
      </c>
      <c r="L53" s="23">
        <f t="shared" si="82"/>
        <v>0</v>
      </c>
      <c r="M53" s="23">
        <f t="shared" si="83"/>
        <v>0</v>
      </c>
      <c r="N53" s="23">
        <f t="shared" si="73"/>
        <v>0</v>
      </c>
      <c r="O53" s="23" t="str">
        <f t="shared" si="74"/>
        <v/>
      </c>
      <c r="V53" s="26"/>
      <c r="W53" s="26"/>
      <c r="X53" s="26"/>
      <c r="Y53" s="26"/>
      <c r="Z53" s="26"/>
      <c r="AA53" s="26"/>
      <c r="AD53" s="209" t="s">
        <v>59</v>
      </c>
      <c r="AE53" s="210"/>
      <c r="AF53" s="139">
        <f>AVERAGE(AF48:AF52)</f>
        <v>0.23199519568880325</v>
      </c>
    </row>
    <row r="54" spans="1:32" ht="24" x14ac:dyDescent="0.3">
      <c r="N54" s="6" t="s">
        <v>17</v>
      </c>
      <c r="O54" s="29">
        <f>AVERAGE(O48:O53)</f>
        <v>217.76323143596693</v>
      </c>
      <c r="V54" s="9"/>
      <c r="W54" s="9"/>
      <c r="X54" s="9"/>
      <c r="Y54" s="9"/>
      <c r="AA54" s="9"/>
      <c r="AE54" s="9"/>
      <c r="AF54" s="15"/>
    </row>
    <row r="55" spans="1:32" ht="19" x14ac:dyDescent="0.25">
      <c r="AA55" s="9"/>
      <c r="AD55" s="211" t="s">
        <v>60</v>
      </c>
      <c r="AE55" s="211"/>
      <c r="AF55" s="31">
        <f>IF(AF53=0,0,$AI$10/AF53)</f>
        <v>1.6792456750810298</v>
      </c>
    </row>
    <row r="56" spans="1:32" s="8" customFormat="1" ht="24" x14ac:dyDescent="0.3">
      <c r="A56" s="12">
        <f>+'ACTIVITY DATA'!F21</f>
        <v>16</v>
      </c>
      <c r="B56" s="13" t="s">
        <v>24</v>
      </c>
      <c r="V56" s="7">
        <f>+A56</f>
        <v>16</v>
      </c>
      <c r="W56" s="7" t="str">
        <f>+B56</f>
        <v>µg</v>
      </c>
      <c r="AA56" s="10"/>
      <c r="AD56" s="10"/>
      <c r="AF56" s="11"/>
    </row>
    <row r="58" spans="1:32" s="17" customFormat="1" ht="17" x14ac:dyDescent="0.2">
      <c r="A58" s="16" t="s">
        <v>61</v>
      </c>
      <c r="B58" s="16" t="s">
        <v>25</v>
      </c>
      <c r="C58" s="16" t="s">
        <v>62</v>
      </c>
      <c r="D58" s="16" t="s">
        <v>0</v>
      </c>
      <c r="E58" s="16" t="s">
        <v>1</v>
      </c>
      <c r="F58" s="16" t="s">
        <v>2</v>
      </c>
      <c r="G58" s="16" t="s">
        <v>3</v>
      </c>
      <c r="H58" s="16" t="s">
        <v>4</v>
      </c>
      <c r="I58" s="16" t="s">
        <v>5</v>
      </c>
      <c r="J58" s="16" t="s">
        <v>6</v>
      </c>
      <c r="K58" s="16" t="s">
        <v>7</v>
      </c>
      <c r="L58" s="16" t="s">
        <v>8</v>
      </c>
      <c r="M58" s="16" t="s">
        <v>26</v>
      </c>
      <c r="N58" s="16" t="s">
        <v>27</v>
      </c>
      <c r="O58" s="16" t="s">
        <v>28</v>
      </c>
      <c r="V58" s="18" t="s">
        <v>10</v>
      </c>
      <c r="W58" s="19" t="s">
        <v>0</v>
      </c>
      <c r="X58" s="20" t="s">
        <v>1</v>
      </c>
      <c r="Y58" s="20" t="s">
        <v>2</v>
      </c>
      <c r="Z58" s="16" t="s">
        <v>3</v>
      </c>
      <c r="AA58" s="16" t="s">
        <v>4</v>
      </c>
      <c r="AB58" s="16" t="s">
        <v>5</v>
      </c>
      <c r="AC58" s="20" t="s">
        <v>6</v>
      </c>
      <c r="AD58" s="20" t="s">
        <v>7</v>
      </c>
      <c r="AE58" s="20" t="s">
        <v>11</v>
      </c>
      <c r="AF58" s="20" t="s">
        <v>9</v>
      </c>
    </row>
    <row r="59" spans="1:32" s="25" customFormat="1" ht="15" x14ac:dyDescent="0.2">
      <c r="A59" s="21">
        <f>+'ACTIVITY DATA'!E116</f>
        <v>2</v>
      </c>
      <c r="B59" s="22">
        <f>+'ACTIVITY DATA'!F116</f>
        <v>208.14</v>
      </c>
      <c r="C59" s="22">
        <f>+B59*'ACTIVITY DATA'!$H$76</f>
        <v>245.91209829867682</v>
      </c>
      <c r="D59" s="21">
        <f>+'ACTIVITY DATA'!G116</f>
        <v>133</v>
      </c>
      <c r="E59" s="21">
        <f>+'ACTIVITY DATA'!H116</f>
        <v>27</v>
      </c>
      <c r="F59" s="21">
        <f>+'ACTIVITY DATA'!I116</f>
        <v>24</v>
      </c>
      <c r="G59" s="23">
        <f>D59/255</f>
        <v>0.52156862745098043</v>
      </c>
      <c r="H59" s="23">
        <f t="shared" ref="H59:H64" si="87">E59/255</f>
        <v>0.10588235294117647</v>
      </c>
      <c r="I59" s="23">
        <f t="shared" ref="I59:I64" si="88">F59/255</f>
        <v>9.4117647058823528E-2</v>
      </c>
      <c r="J59" s="23">
        <f>IF(GESTEP(G59,0.04045),POWER(((G59+0.055)/1.055),2.4),(G59/12.92))</f>
        <v>0.23455058216100524</v>
      </c>
      <c r="K59" s="23">
        <f t="shared" ref="K59:K64" si="89">IF(GESTEP(H59,0.04045),POWER(((H59+0.055)/1.055),2.4),(H59/12.92))</f>
        <v>1.0960094006488242E-2</v>
      </c>
      <c r="L59" s="23">
        <f t="shared" ref="L59:L64" si="90">IF(GESTEP(I59,0.04045),POWER(((I59+0.055)/1.055),2.4),(I59/12.92))</f>
        <v>9.1340587022207854E-3</v>
      </c>
      <c r="M59" s="23">
        <f>0.2126*J59+0.7152*K59+0.0722*L59</f>
        <v>5.836359203917045E-2</v>
      </c>
      <c r="N59" s="23">
        <f t="shared" ref="N59:N64" si="91">M59*$AF$66</f>
        <v>0.13504796229417046</v>
      </c>
      <c r="O59" s="23">
        <f t="shared" ref="O59:O64" si="92">IF(N59&gt;0,(C59/(10*N59)),"")</f>
        <v>182.09241673933201</v>
      </c>
      <c r="V59" s="26" t="s">
        <v>12</v>
      </c>
      <c r="W59" s="27">
        <f>+'ACTIVITY DATA'!G55</f>
        <v>168</v>
      </c>
      <c r="X59" s="27">
        <f>+'ACTIVITY DATA'!H55</f>
        <v>129</v>
      </c>
      <c r="Y59" s="27">
        <f>+'ACTIVITY DATA'!I55</f>
        <v>140</v>
      </c>
      <c r="Z59" s="23">
        <f>W59/255</f>
        <v>0.6588235294117647</v>
      </c>
      <c r="AA59" s="23">
        <f t="shared" ref="AA59:AA63" si="93">X59/255</f>
        <v>0.50588235294117645</v>
      </c>
      <c r="AB59" s="23">
        <f t="shared" ref="AB59:AB63" si="94">Y59/255</f>
        <v>0.5490196078431373</v>
      </c>
      <c r="AC59" s="23">
        <f>IF(GESTEP(Z59,0.04045),POWER(((Z59+0.055)/1.055),2.4),(Z59/12.92))</f>
        <v>0.39157247774972326</v>
      </c>
      <c r="AD59" s="23">
        <f t="shared" ref="AD59:AD63" si="95">IF(GESTEP(AA59,0.04045),POWER(((AA59+0.055)/1.055),2.4),(AA59/12.92))</f>
        <v>0.21952619972926918</v>
      </c>
      <c r="AE59" s="23">
        <f t="shared" ref="AE59:AE63" si="96">IF(GESTEP(AB59,0.04045),POWER(((AB59+0.055)/1.055),2.4),(AB59/12.92))</f>
        <v>0.26225065752969623</v>
      </c>
      <c r="AF59" s="23">
        <f>0.2126*AC59+0.7152*AD59+0.0722*AE59</f>
        <v>0.25918794428960856</v>
      </c>
    </row>
    <row r="60" spans="1:32" s="25" customFormat="1" ht="15" x14ac:dyDescent="0.2">
      <c r="A60" s="21">
        <f>+'ACTIVITY DATA'!E117</f>
        <v>3</v>
      </c>
      <c r="B60" s="22">
        <f>+'ACTIVITY DATA'!F117</f>
        <v>240.97</v>
      </c>
      <c r="C60" s="22">
        <f>+B60*'ACTIVITY DATA'!$H$76</f>
        <v>284.69990548204169</v>
      </c>
      <c r="D60" s="21">
        <f>+'ACTIVITY DATA'!G117</f>
        <v>76</v>
      </c>
      <c r="E60" s="21">
        <f>+'ACTIVITY DATA'!H117</f>
        <v>20</v>
      </c>
      <c r="F60" s="21">
        <f>+'ACTIVITY DATA'!I117</f>
        <v>20</v>
      </c>
      <c r="G60" s="23">
        <f t="shared" ref="G60:G64" si="97">D60/255</f>
        <v>0.29803921568627451</v>
      </c>
      <c r="H60" s="23">
        <f t="shared" si="87"/>
        <v>7.8431372549019607E-2</v>
      </c>
      <c r="I60" s="23">
        <f t="shared" si="88"/>
        <v>7.8431372549019607E-2</v>
      </c>
      <c r="J60" s="23">
        <f t="shared" ref="J60:J64" si="98">IF(GESTEP(G60,0.04045),POWER(((G60+0.055)/1.055),2.4),(G60/12.92))</f>
        <v>7.2271850682317465E-2</v>
      </c>
      <c r="K60" s="23">
        <f t="shared" si="89"/>
        <v>6.9954101872653843E-3</v>
      </c>
      <c r="L60" s="23">
        <f t="shared" si="90"/>
        <v>6.9954101872653843E-3</v>
      </c>
      <c r="M60" s="23">
        <f t="shared" ref="M60:M64" si="99">0.2126*J60+0.7152*K60+0.0722*L60</f>
        <v>2.0873181436513455E-2</v>
      </c>
      <c r="N60" s="23">
        <f t="shared" si="91"/>
        <v>4.829861427490223E-2</v>
      </c>
      <c r="O60" s="23">
        <f t="shared" si="92"/>
        <v>589.45770961793914</v>
      </c>
      <c r="V60" s="26" t="s">
        <v>13</v>
      </c>
      <c r="W60" s="27">
        <f>+'ACTIVITY DATA'!G56</f>
        <v>177</v>
      </c>
      <c r="X60" s="27">
        <f>+'ACTIVITY DATA'!H56</f>
        <v>110</v>
      </c>
      <c r="Y60" s="27">
        <f>+'ACTIVITY DATA'!I56</f>
        <v>130</v>
      </c>
      <c r="Z60" s="23">
        <f t="shared" ref="Z60:Z62" si="100">W60/255</f>
        <v>0.69411764705882351</v>
      </c>
      <c r="AA60" s="23">
        <f t="shared" si="93"/>
        <v>0.43137254901960786</v>
      </c>
      <c r="AB60" s="23">
        <f t="shared" si="94"/>
        <v>0.50980392156862742</v>
      </c>
      <c r="AC60" s="23">
        <f t="shared" ref="AC60:AC63" si="101">IF(GESTEP(Z60,0.04045),POWER(((Z60+0.055)/1.055),2.4),(Z60/12.92))</f>
        <v>0.43965717384091879</v>
      </c>
      <c r="AD60" s="23">
        <f t="shared" si="95"/>
        <v>0.15592646370782737</v>
      </c>
      <c r="AE60" s="23">
        <f t="shared" si="96"/>
        <v>0.2232279573168085</v>
      </c>
      <c r="AF60" s="23">
        <f t="shared" ref="AF60:AF63" si="102">0.2126*AC60+0.7152*AD60+0.0722*AE60</f>
        <v>0.22110678052069105</v>
      </c>
    </row>
    <row r="61" spans="1:32" s="25" customFormat="1" ht="15" x14ac:dyDescent="0.2">
      <c r="A61" s="21">
        <f>+'ACTIVITY DATA'!E118</f>
        <v>4</v>
      </c>
      <c r="B61" s="22">
        <f>+'ACTIVITY DATA'!F118</f>
        <v>193.26</v>
      </c>
      <c r="C61" s="22">
        <f>+B61*'ACTIVITY DATA'!$H$76</f>
        <v>228.33175803402654</v>
      </c>
      <c r="D61" s="21">
        <f>+'ACTIVITY DATA'!G118</f>
        <v>123</v>
      </c>
      <c r="E61" s="21">
        <f>+'ACTIVITY DATA'!H118</f>
        <v>27</v>
      </c>
      <c r="F61" s="21">
        <f>+'ACTIVITY DATA'!I118</f>
        <v>25</v>
      </c>
      <c r="G61" s="23">
        <f t="shared" si="97"/>
        <v>0.4823529411764706</v>
      </c>
      <c r="H61" s="23">
        <f t="shared" si="87"/>
        <v>0.10588235294117647</v>
      </c>
      <c r="I61" s="23">
        <f t="shared" si="88"/>
        <v>9.8039215686274508E-2</v>
      </c>
      <c r="J61" s="23">
        <f t="shared" si="98"/>
        <v>0.19806931955994886</v>
      </c>
      <c r="K61" s="23">
        <f t="shared" si="89"/>
        <v>1.0960094006488242E-2</v>
      </c>
      <c r="L61" s="23">
        <f t="shared" si="90"/>
        <v>9.7212173202378457E-3</v>
      </c>
      <c r="M61" s="23">
        <f t="shared" si="99"/>
        <v>5.0650068462406689E-2</v>
      </c>
      <c r="N61" s="23">
        <f t="shared" si="91"/>
        <v>0.11719958105590024</v>
      </c>
      <c r="O61" s="23">
        <f t="shared" si="92"/>
        <v>194.82301555764093</v>
      </c>
      <c r="V61" s="26" t="s">
        <v>14</v>
      </c>
      <c r="W61" s="27">
        <f>+'ACTIVITY DATA'!G57</f>
        <v>190</v>
      </c>
      <c r="X61" s="27">
        <f>+'ACTIVITY DATA'!H57</f>
        <v>53</v>
      </c>
      <c r="Y61" s="27">
        <f>+'ACTIVITY DATA'!I57</f>
        <v>87</v>
      </c>
      <c r="Z61" s="23">
        <f t="shared" si="100"/>
        <v>0.74509803921568629</v>
      </c>
      <c r="AA61" s="23">
        <f t="shared" si="93"/>
        <v>0.20784313725490197</v>
      </c>
      <c r="AB61" s="23">
        <f t="shared" si="94"/>
        <v>0.3411764705882353</v>
      </c>
      <c r="AC61" s="23">
        <f t="shared" si="101"/>
        <v>0.51491766537652139</v>
      </c>
      <c r="AD61" s="23">
        <f t="shared" si="95"/>
        <v>3.5601314875020329E-2</v>
      </c>
      <c r="AE61" s="23">
        <f t="shared" si="96"/>
        <v>9.5307466630964677E-2</v>
      </c>
      <c r="AF61" s="23">
        <f t="shared" si="102"/>
        <v>0.14181475514841865</v>
      </c>
    </row>
    <row r="62" spans="1:32" s="25" customFormat="1" ht="15" x14ac:dyDescent="0.2">
      <c r="A62" s="21">
        <f>+'ACTIVITY DATA'!E119</f>
        <v>5</v>
      </c>
      <c r="B62" s="22">
        <f>+'ACTIVITY DATA'!F119</f>
        <v>272.98</v>
      </c>
      <c r="C62" s="22">
        <f>+B62*'ACTIVITY DATA'!$H$76</f>
        <v>322.51890359168254</v>
      </c>
      <c r="D62" s="21">
        <f>+'ACTIVITY DATA'!G119</f>
        <v>132</v>
      </c>
      <c r="E62" s="21">
        <f>+'ACTIVITY DATA'!H119</f>
        <v>31</v>
      </c>
      <c r="F62" s="21">
        <f>+'ACTIVITY DATA'!I119</f>
        <v>26</v>
      </c>
      <c r="G62" s="23">
        <f t="shared" si="97"/>
        <v>0.51764705882352946</v>
      </c>
      <c r="H62" s="23">
        <f t="shared" si="87"/>
        <v>0.12156862745098039</v>
      </c>
      <c r="I62" s="23">
        <f t="shared" si="88"/>
        <v>0.10196078431372549</v>
      </c>
      <c r="J62" s="23">
        <f t="shared" si="98"/>
        <v>0.23074004852434918</v>
      </c>
      <c r="K62" s="23">
        <f t="shared" si="89"/>
        <v>1.3702083047289692E-2</v>
      </c>
      <c r="L62" s="23">
        <f t="shared" si="90"/>
        <v>1.0329823029626938E-2</v>
      </c>
      <c r="M62" s="23">
        <f t="shared" si="99"/>
        <v>5.9600877334437287E-2</v>
      </c>
      <c r="N62" s="23">
        <f t="shared" si="91"/>
        <v>0.13791092620821782</v>
      </c>
      <c r="O62" s="23">
        <f t="shared" si="92"/>
        <v>233.86029842533557</v>
      </c>
      <c r="V62" s="26" t="s">
        <v>15</v>
      </c>
      <c r="W62" s="27">
        <f>+'ACTIVITY DATA'!G58</f>
        <v>189</v>
      </c>
      <c r="X62" s="27">
        <f>+'ACTIVITY DATA'!H58</f>
        <v>34</v>
      </c>
      <c r="Y62" s="27">
        <f>+'ACTIVITY DATA'!I58</f>
        <v>45</v>
      </c>
      <c r="Z62" s="23">
        <f t="shared" si="100"/>
        <v>0.74117647058823533</v>
      </c>
      <c r="AA62" s="23">
        <f t="shared" si="93"/>
        <v>0.13333333333333333</v>
      </c>
      <c r="AB62" s="23">
        <f t="shared" si="94"/>
        <v>0.17647058823529413</v>
      </c>
      <c r="AC62" s="23">
        <f t="shared" si="101"/>
        <v>0.50888132085493376</v>
      </c>
      <c r="AD62" s="23">
        <f t="shared" si="95"/>
        <v>1.5996293365509635E-2</v>
      </c>
      <c r="AE62" s="23">
        <f t="shared" si="96"/>
        <v>2.6241221894849898E-2</v>
      </c>
      <c r="AF62" s="23">
        <f t="shared" si="102"/>
        <v>0.12152333404957957</v>
      </c>
    </row>
    <row r="63" spans="1:32" s="25" customFormat="1" thickBot="1" x14ac:dyDescent="0.25">
      <c r="A63" s="21">
        <f>+'ACTIVITY DATA'!E120</f>
        <v>6</v>
      </c>
      <c r="B63" s="22">
        <f>+'ACTIVITY DATA'!F120</f>
        <v>0</v>
      </c>
      <c r="C63" s="22">
        <f>+B63*'ACTIVITY DATA'!$H$76</f>
        <v>0</v>
      </c>
      <c r="D63" s="21">
        <f>+'ACTIVITY DATA'!G120</f>
        <v>0</v>
      </c>
      <c r="E63" s="21">
        <f>+'ACTIVITY DATA'!H120</f>
        <v>0</v>
      </c>
      <c r="F63" s="21">
        <f>+'ACTIVITY DATA'!I120</f>
        <v>0</v>
      </c>
      <c r="G63" s="23">
        <f t="shared" si="97"/>
        <v>0</v>
      </c>
      <c r="H63" s="23">
        <f t="shared" si="87"/>
        <v>0</v>
      </c>
      <c r="I63" s="23">
        <f t="shared" si="88"/>
        <v>0</v>
      </c>
      <c r="J63" s="23">
        <f t="shared" si="98"/>
        <v>0</v>
      </c>
      <c r="K63" s="23">
        <f t="shared" si="89"/>
        <v>0</v>
      </c>
      <c r="L63" s="23">
        <f t="shared" si="90"/>
        <v>0</v>
      </c>
      <c r="M63" s="23">
        <f t="shared" si="99"/>
        <v>0</v>
      </c>
      <c r="N63" s="23">
        <f t="shared" si="91"/>
        <v>0</v>
      </c>
      <c r="O63" s="23" t="str">
        <f t="shared" si="92"/>
        <v/>
      </c>
      <c r="V63" s="26" t="s">
        <v>16</v>
      </c>
      <c r="W63" s="27">
        <f>+'ACTIVITY DATA'!G59</f>
        <v>171</v>
      </c>
      <c r="X63" s="27">
        <f>+'ACTIVITY DATA'!H59</f>
        <v>32</v>
      </c>
      <c r="Y63" s="27">
        <f>+'ACTIVITY DATA'!I59</f>
        <v>36</v>
      </c>
      <c r="Z63" s="23">
        <f>W63/255</f>
        <v>0.6705882352941176</v>
      </c>
      <c r="AA63" s="23">
        <f t="shared" si="93"/>
        <v>0.12549019607843137</v>
      </c>
      <c r="AB63" s="23">
        <f t="shared" si="94"/>
        <v>0.14117647058823529</v>
      </c>
      <c r="AC63" s="23">
        <f t="shared" si="101"/>
        <v>0.40724021190173676</v>
      </c>
      <c r="AD63" s="23">
        <f t="shared" si="95"/>
        <v>1.4443843596092543E-2</v>
      </c>
      <c r="AE63" s="23">
        <f t="shared" si="96"/>
        <v>1.7641954488384088E-2</v>
      </c>
      <c r="AF63" s="23">
        <f t="shared" si="102"/>
        <v>9.8183255104295958E-2</v>
      </c>
    </row>
    <row r="64" spans="1:32" s="25" customFormat="1" thickBot="1" x14ac:dyDescent="0.25">
      <c r="A64" s="21">
        <f>+'ACTIVITY DATA'!E121</f>
        <v>7</v>
      </c>
      <c r="B64" s="22">
        <f>+'ACTIVITY DATA'!F121</f>
        <v>0</v>
      </c>
      <c r="C64" s="22">
        <f>+B64*'ACTIVITY DATA'!$H$76</f>
        <v>0</v>
      </c>
      <c r="D64" s="21">
        <f>+'ACTIVITY DATA'!G121</f>
        <v>0</v>
      </c>
      <c r="E64" s="21">
        <f>+'ACTIVITY DATA'!H121</f>
        <v>0</v>
      </c>
      <c r="F64" s="21">
        <f>+'ACTIVITY DATA'!I121</f>
        <v>0</v>
      </c>
      <c r="G64" s="23">
        <f t="shared" si="97"/>
        <v>0</v>
      </c>
      <c r="H64" s="23">
        <f t="shared" si="87"/>
        <v>0</v>
      </c>
      <c r="I64" s="23">
        <f t="shared" si="88"/>
        <v>0</v>
      </c>
      <c r="J64" s="23">
        <f t="shared" si="98"/>
        <v>0</v>
      </c>
      <c r="K64" s="23">
        <f t="shared" si="89"/>
        <v>0</v>
      </c>
      <c r="L64" s="23">
        <f t="shared" si="90"/>
        <v>0</v>
      </c>
      <c r="M64" s="23">
        <f t="shared" si="99"/>
        <v>0</v>
      </c>
      <c r="N64" s="23">
        <f t="shared" si="91"/>
        <v>0</v>
      </c>
      <c r="O64" s="23" t="str">
        <f t="shared" si="92"/>
        <v/>
      </c>
      <c r="V64" s="26"/>
      <c r="W64" s="26"/>
      <c r="X64" s="26"/>
      <c r="Y64" s="26"/>
      <c r="Z64" s="26"/>
      <c r="AA64" s="26"/>
      <c r="AD64" s="209" t="s">
        <v>59</v>
      </c>
      <c r="AE64" s="210"/>
      <c r="AF64" s="139">
        <f>AVERAGE(AF59:AF63)</f>
        <v>0.16836321382251876</v>
      </c>
    </row>
    <row r="65" spans="1:32" ht="24" x14ac:dyDescent="0.3">
      <c r="N65" s="6" t="s">
        <v>17</v>
      </c>
      <c r="O65" s="29">
        <f>AVERAGE(O59:O64)</f>
        <v>300.05836008506191</v>
      </c>
      <c r="V65" s="9"/>
      <c r="W65" s="9"/>
      <c r="X65" s="9"/>
      <c r="Y65" s="9"/>
      <c r="AA65" s="9"/>
      <c r="AE65" s="9"/>
      <c r="AF65" s="15"/>
    </row>
    <row r="66" spans="1:32" ht="19" x14ac:dyDescent="0.25">
      <c r="AA66" s="9"/>
      <c r="AD66" s="211" t="s">
        <v>60</v>
      </c>
      <c r="AE66" s="211"/>
      <c r="AF66" s="31">
        <f>IF(AF64=0,0,$AI$10/AF64)</f>
        <v>2.3139076533112228</v>
      </c>
    </row>
    <row r="67" spans="1:32" s="8" customFormat="1" ht="24" x14ac:dyDescent="0.3">
      <c r="A67" s="12">
        <f>+'ACTIVITY DATA'!F22</f>
        <v>0</v>
      </c>
      <c r="B67" s="13" t="s">
        <v>24</v>
      </c>
      <c r="V67" s="7">
        <f>+A67</f>
        <v>0</v>
      </c>
      <c r="W67" s="7" t="str">
        <f>+B67</f>
        <v>µg</v>
      </c>
      <c r="AA67" s="10"/>
      <c r="AD67" s="10"/>
      <c r="AF67" s="11"/>
    </row>
    <row r="69" spans="1:32" s="17" customFormat="1" ht="17" x14ac:dyDescent="0.2">
      <c r="A69" s="16" t="s">
        <v>61</v>
      </c>
      <c r="B69" s="16" t="s">
        <v>25</v>
      </c>
      <c r="C69" s="16" t="s">
        <v>62</v>
      </c>
      <c r="D69" s="16" t="s">
        <v>0</v>
      </c>
      <c r="E69" s="16" t="s">
        <v>1</v>
      </c>
      <c r="F69" s="16" t="s">
        <v>2</v>
      </c>
      <c r="G69" s="16" t="s">
        <v>3</v>
      </c>
      <c r="H69" s="16" t="s">
        <v>4</v>
      </c>
      <c r="I69" s="16" t="s">
        <v>5</v>
      </c>
      <c r="J69" s="16" t="s">
        <v>6</v>
      </c>
      <c r="K69" s="16" t="s">
        <v>7</v>
      </c>
      <c r="L69" s="16" t="s">
        <v>8</v>
      </c>
      <c r="M69" s="16" t="s">
        <v>26</v>
      </c>
      <c r="N69" s="16" t="s">
        <v>27</v>
      </c>
      <c r="O69" s="16" t="s">
        <v>28</v>
      </c>
      <c r="V69" s="18" t="s">
        <v>10</v>
      </c>
      <c r="W69" s="19" t="s">
        <v>0</v>
      </c>
      <c r="X69" s="20" t="s">
        <v>1</v>
      </c>
      <c r="Y69" s="20" t="s">
        <v>2</v>
      </c>
      <c r="Z69" s="16" t="s">
        <v>3</v>
      </c>
      <c r="AA69" s="16" t="s">
        <v>4</v>
      </c>
      <c r="AB69" s="16" t="s">
        <v>5</v>
      </c>
      <c r="AC69" s="20" t="s">
        <v>6</v>
      </c>
      <c r="AD69" s="20" t="s">
        <v>7</v>
      </c>
      <c r="AE69" s="20" t="s">
        <v>11</v>
      </c>
      <c r="AF69" s="20" t="s">
        <v>9</v>
      </c>
    </row>
    <row r="70" spans="1:32" s="25" customFormat="1" ht="15" x14ac:dyDescent="0.2">
      <c r="A70" s="21">
        <f>+'ACTIVITY DATA'!E122</f>
        <v>2</v>
      </c>
      <c r="B70" s="22">
        <f>+'ACTIVITY DATA'!F122</f>
        <v>0</v>
      </c>
      <c r="C70" s="22">
        <f>+B70*'ACTIVITY DATA'!$H$77</f>
        <v>0</v>
      </c>
      <c r="D70" s="21">
        <f>+'ACTIVITY DATA'!G122</f>
        <v>0</v>
      </c>
      <c r="E70" s="21">
        <f>+'ACTIVITY DATA'!H122</f>
        <v>0</v>
      </c>
      <c r="F70" s="21">
        <f>+'ACTIVITY DATA'!I122</f>
        <v>0</v>
      </c>
      <c r="G70" s="23">
        <f>D70/255</f>
        <v>0</v>
      </c>
      <c r="H70" s="23">
        <f t="shared" ref="H70:H75" si="103">E70/255</f>
        <v>0</v>
      </c>
      <c r="I70" s="23">
        <f t="shared" ref="I70:I75" si="104">F70/255</f>
        <v>0</v>
      </c>
      <c r="J70" s="23">
        <f>IF(GESTEP(G70,0.04045),POWER(((G70+0.055)/1.055),2.4),(G70/12.92))</f>
        <v>0</v>
      </c>
      <c r="K70" s="23">
        <f t="shared" ref="K70:K75" si="105">IF(GESTEP(H70,0.04045),POWER(((H70+0.055)/1.055),2.4),(H70/12.92))</f>
        <v>0</v>
      </c>
      <c r="L70" s="23">
        <f t="shared" ref="L70:L75" si="106">IF(GESTEP(I70,0.04045),POWER(((I70+0.055)/1.055),2.4),(I70/12.92))</f>
        <v>0</v>
      </c>
      <c r="M70" s="23">
        <f>0.2126*J70+0.7152*K70+0.0722*L70</f>
        <v>0</v>
      </c>
      <c r="N70" s="23">
        <f t="shared" ref="N70:N75" si="107">M70*$AF$77</f>
        <v>0</v>
      </c>
      <c r="O70" s="23" t="str">
        <f t="shared" ref="O70:O75" si="108">IF(N70&gt;0,(C70/(10*N70)),"")</f>
        <v/>
      </c>
      <c r="V70" s="26" t="s">
        <v>12</v>
      </c>
      <c r="W70" s="27">
        <f>+'ACTIVITY DATA'!G60</f>
        <v>0</v>
      </c>
      <c r="X70" s="27">
        <f>+'ACTIVITY DATA'!H60</f>
        <v>0</v>
      </c>
      <c r="Y70" s="27">
        <f>+'ACTIVITY DATA'!I60</f>
        <v>0</v>
      </c>
      <c r="Z70" s="23">
        <f>W70/255</f>
        <v>0</v>
      </c>
      <c r="AA70" s="23">
        <f t="shared" ref="AA70:AA74" si="109">X70/255</f>
        <v>0</v>
      </c>
      <c r="AB70" s="23">
        <f t="shared" ref="AB70:AB74" si="110">Y70/255</f>
        <v>0</v>
      </c>
      <c r="AC70" s="23">
        <f>IF(GESTEP(Z70,0.04045),POWER(((Z70+0.055)/1.055),2.4),(Z70/12.92))</f>
        <v>0</v>
      </c>
      <c r="AD70" s="23">
        <f t="shared" ref="AD70:AD74" si="111">IF(GESTEP(AA70,0.04045),POWER(((AA70+0.055)/1.055),2.4),(AA70/12.92))</f>
        <v>0</v>
      </c>
      <c r="AE70" s="23">
        <f t="shared" ref="AE70:AE74" si="112">IF(GESTEP(AB70,0.04045),POWER(((AB70+0.055)/1.055),2.4),(AB70/12.92))</f>
        <v>0</v>
      </c>
      <c r="AF70" s="23">
        <f>0.2126*AC70+0.7152*AD70+0.0722*AE70</f>
        <v>0</v>
      </c>
    </row>
    <row r="71" spans="1:32" s="25" customFormat="1" ht="15" x14ac:dyDescent="0.2">
      <c r="A71" s="21">
        <f>+'ACTIVITY DATA'!E123</f>
        <v>3</v>
      </c>
      <c r="B71" s="22">
        <f>+'ACTIVITY DATA'!F123</f>
        <v>0</v>
      </c>
      <c r="C71" s="22">
        <f>+B71*'ACTIVITY DATA'!$H$77</f>
        <v>0</v>
      </c>
      <c r="D71" s="21">
        <f>+'ACTIVITY DATA'!G123</f>
        <v>0</v>
      </c>
      <c r="E71" s="21">
        <f>+'ACTIVITY DATA'!H123</f>
        <v>0</v>
      </c>
      <c r="F71" s="21">
        <f>+'ACTIVITY DATA'!I123</f>
        <v>0</v>
      </c>
      <c r="G71" s="23">
        <f t="shared" ref="G71:G75" si="113">D71/255</f>
        <v>0</v>
      </c>
      <c r="H71" s="23">
        <f t="shared" si="103"/>
        <v>0</v>
      </c>
      <c r="I71" s="23">
        <f t="shared" si="104"/>
        <v>0</v>
      </c>
      <c r="J71" s="23">
        <f t="shared" ref="J71:J75" si="114">IF(GESTEP(G71,0.04045),POWER(((G71+0.055)/1.055),2.4),(G71/12.92))</f>
        <v>0</v>
      </c>
      <c r="K71" s="23">
        <f t="shared" si="105"/>
        <v>0</v>
      </c>
      <c r="L71" s="23">
        <f t="shared" si="106"/>
        <v>0</v>
      </c>
      <c r="M71" s="23">
        <f t="shared" ref="M71:M75" si="115">0.2126*J71+0.7152*K71+0.0722*L71</f>
        <v>0</v>
      </c>
      <c r="N71" s="23">
        <f t="shared" si="107"/>
        <v>0</v>
      </c>
      <c r="O71" s="23" t="str">
        <f t="shared" si="108"/>
        <v/>
      </c>
      <c r="V71" s="26" t="s">
        <v>13</v>
      </c>
      <c r="W71" s="27">
        <f>+'ACTIVITY DATA'!G61</f>
        <v>0</v>
      </c>
      <c r="X71" s="27">
        <f>+'ACTIVITY DATA'!H61</f>
        <v>0</v>
      </c>
      <c r="Y71" s="27">
        <f>+'ACTIVITY DATA'!I61</f>
        <v>0</v>
      </c>
      <c r="Z71" s="23">
        <f t="shared" ref="Z71:Z73" si="116">W71/255</f>
        <v>0</v>
      </c>
      <c r="AA71" s="23">
        <f t="shared" si="109"/>
        <v>0</v>
      </c>
      <c r="AB71" s="23">
        <f t="shared" si="110"/>
        <v>0</v>
      </c>
      <c r="AC71" s="23">
        <f t="shared" ref="AC71:AC74" si="117">IF(GESTEP(Z71,0.04045),POWER(((Z71+0.055)/1.055),2.4),(Z71/12.92))</f>
        <v>0</v>
      </c>
      <c r="AD71" s="23">
        <f t="shared" si="111"/>
        <v>0</v>
      </c>
      <c r="AE71" s="23">
        <f t="shared" si="112"/>
        <v>0</v>
      </c>
      <c r="AF71" s="23">
        <f t="shared" ref="AF71:AF74" si="118">0.2126*AC71+0.7152*AD71+0.0722*AE71</f>
        <v>0</v>
      </c>
    </row>
    <row r="72" spans="1:32" s="25" customFormat="1" ht="15" x14ac:dyDescent="0.2">
      <c r="A72" s="21">
        <f>+'ACTIVITY DATA'!E124</f>
        <v>4</v>
      </c>
      <c r="B72" s="22">
        <f>+'ACTIVITY DATA'!F124</f>
        <v>0</v>
      </c>
      <c r="C72" s="22">
        <f>+B72*'ACTIVITY DATA'!$H$77</f>
        <v>0</v>
      </c>
      <c r="D72" s="21">
        <f>+'ACTIVITY DATA'!G124</f>
        <v>0</v>
      </c>
      <c r="E72" s="21">
        <f>+'ACTIVITY DATA'!H124</f>
        <v>0</v>
      </c>
      <c r="F72" s="21">
        <f>+'ACTIVITY DATA'!I124</f>
        <v>0</v>
      </c>
      <c r="G72" s="23">
        <f t="shared" si="113"/>
        <v>0</v>
      </c>
      <c r="H72" s="23">
        <f t="shared" si="103"/>
        <v>0</v>
      </c>
      <c r="I72" s="23">
        <f t="shared" si="104"/>
        <v>0</v>
      </c>
      <c r="J72" s="23">
        <f t="shared" si="114"/>
        <v>0</v>
      </c>
      <c r="K72" s="23">
        <f t="shared" si="105"/>
        <v>0</v>
      </c>
      <c r="L72" s="23">
        <f t="shared" si="106"/>
        <v>0</v>
      </c>
      <c r="M72" s="23">
        <f t="shared" si="115"/>
        <v>0</v>
      </c>
      <c r="N72" s="23">
        <f t="shared" si="107"/>
        <v>0</v>
      </c>
      <c r="O72" s="23" t="str">
        <f t="shared" si="108"/>
        <v/>
      </c>
      <c r="V72" s="26" t="s">
        <v>14</v>
      </c>
      <c r="W72" s="27">
        <f>+'ACTIVITY DATA'!G62</f>
        <v>0</v>
      </c>
      <c r="X72" s="27">
        <f>+'ACTIVITY DATA'!H62</f>
        <v>0</v>
      </c>
      <c r="Y72" s="27">
        <f>+'ACTIVITY DATA'!I62</f>
        <v>0</v>
      </c>
      <c r="Z72" s="23">
        <f t="shared" si="116"/>
        <v>0</v>
      </c>
      <c r="AA72" s="23">
        <f t="shared" si="109"/>
        <v>0</v>
      </c>
      <c r="AB72" s="23">
        <f t="shared" si="110"/>
        <v>0</v>
      </c>
      <c r="AC72" s="23">
        <f t="shared" si="117"/>
        <v>0</v>
      </c>
      <c r="AD72" s="23">
        <f t="shared" si="111"/>
        <v>0</v>
      </c>
      <c r="AE72" s="23">
        <f t="shared" si="112"/>
        <v>0</v>
      </c>
      <c r="AF72" s="23">
        <f t="shared" si="118"/>
        <v>0</v>
      </c>
    </row>
    <row r="73" spans="1:32" s="25" customFormat="1" ht="15" x14ac:dyDescent="0.2">
      <c r="A73" s="21">
        <f>+'ACTIVITY DATA'!E125</f>
        <v>5</v>
      </c>
      <c r="B73" s="22">
        <f>+'ACTIVITY DATA'!F125</f>
        <v>0</v>
      </c>
      <c r="C73" s="22">
        <f>+B73*'ACTIVITY DATA'!$H$77</f>
        <v>0</v>
      </c>
      <c r="D73" s="21">
        <f>+'ACTIVITY DATA'!G125</f>
        <v>0</v>
      </c>
      <c r="E73" s="21">
        <f>+'ACTIVITY DATA'!H125</f>
        <v>0</v>
      </c>
      <c r="F73" s="21">
        <f>+'ACTIVITY DATA'!I125</f>
        <v>0</v>
      </c>
      <c r="G73" s="23">
        <f t="shared" si="113"/>
        <v>0</v>
      </c>
      <c r="H73" s="23">
        <f t="shared" si="103"/>
        <v>0</v>
      </c>
      <c r="I73" s="23">
        <f t="shared" si="104"/>
        <v>0</v>
      </c>
      <c r="J73" s="23">
        <f t="shared" si="114"/>
        <v>0</v>
      </c>
      <c r="K73" s="23">
        <f t="shared" si="105"/>
        <v>0</v>
      </c>
      <c r="L73" s="23">
        <f t="shared" si="106"/>
        <v>0</v>
      </c>
      <c r="M73" s="23">
        <f t="shared" si="115"/>
        <v>0</v>
      </c>
      <c r="N73" s="23">
        <f t="shared" si="107"/>
        <v>0</v>
      </c>
      <c r="O73" s="23" t="str">
        <f t="shared" si="108"/>
        <v/>
      </c>
      <c r="V73" s="26" t="s">
        <v>15</v>
      </c>
      <c r="W73" s="27">
        <f>+'ACTIVITY DATA'!G63</f>
        <v>0</v>
      </c>
      <c r="X73" s="27">
        <f>+'ACTIVITY DATA'!H63</f>
        <v>0</v>
      </c>
      <c r="Y73" s="27">
        <f>+'ACTIVITY DATA'!I63</f>
        <v>0</v>
      </c>
      <c r="Z73" s="23">
        <f t="shared" si="116"/>
        <v>0</v>
      </c>
      <c r="AA73" s="23">
        <f t="shared" si="109"/>
        <v>0</v>
      </c>
      <c r="AB73" s="23">
        <f t="shared" si="110"/>
        <v>0</v>
      </c>
      <c r="AC73" s="23">
        <f t="shared" si="117"/>
        <v>0</v>
      </c>
      <c r="AD73" s="23">
        <f t="shared" si="111"/>
        <v>0</v>
      </c>
      <c r="AE73" s="23">
        <f t="shared" si="112"/>
        <v>0</v>
      </c>
      <c r="AF73" s="23">
        <f t="shared" si="118"/>
        <v>0</v>
      </c>
    </row>
    <row r="74" spans="1:32" s="25" customFormat="1" thickBot="1" x14ac:dyDescent="0.25">
      <c r="A74" s="21">
        <f>+'ACTIVITY DATA'!E126</f>
        <v>6</v>
      </c>
      <c r="B74" s="22">
        <f>+'ACTIVITY DATA'!F126</f>
        <v>0</v>
      </c>
      <c r="C74" s="22">
        <f>+B74*'ACTIVITY DATA'!$H$77</f>
        <v>0</v>
      </c>
      <c r="D74" s="21">
        <f>+'ACTIVITY DATA'!G126</f>
        <v>0</v>
      </c>
      <c r="E74" s="21">
        <f>+'ACTIVITY DATA'!H126</f>
        <v>0</v>
      </c>
      <c r="F74" s="21">
        <f>+'ACTIVITY DATA'!I126</f>
        <v>0</v>
      </c>
      <c r="G74" s="23">
        <f t="shared" si="113"/>
        <v>0</v>
      </c>
      <c r="H74" s="23">
        <f t="shared" si="103"/>
        <v>0</v>
      </c>
      <c r="I74" s="23">
        <f t="shared" si="104"/>
        <v>0</v>
      </c>
      <c r="J74" s="23">
        <f t="shared" si="114"/>
        <v>0</v>
      </c>
      <c r="K74" s="23">
        <f t="shared" si="105"/>
        <v>0</v>
      </c>
      <c r="L74" s="23">
        <f t="shared" si="106"/>
        <v>0</v>
      </c>
      <c r="M74" s="23">
        <f t="shared" si="115"/>
        <v>0</v>
      </c>
      <c r="N74" s="23">
        <f t="shared" si="107"/>
        <v>0</v>
      </c>
      <c r="O74" s="23" t="str">
        <f t="shared" si="108"/>
        <v/>
      </c>
      <c r="V74" s="26" t="s">
        <v>16</v>
      </c>
      <c r="W74" s="27">
        <f>+'ACTIVITY DATA'!G64</f>
        <v>0</v>
      </c>
      <c r="X74" s="27">
        <f>+'ACTIVITY DATA'!H64</f>
        <v>0</v>
      </c>
      <c r="Y74" s="27">
        <f>+'ACTIVITY DATA'!I64</f>
        <v>0</v>
      </c>
      <c r="Z74" s="23">
        <f>W74/255</f>
        <v>0</v>
      </c>
      <c r="AA74" s="23">
        <f t="shared" si="109"/>
        <v>0</v>
      </c>
      <c r="AB74" s="23">
        <f t="shared" si="110"/>
        <v>0</v>
      </c>
      <c r="AC74" s="23">
        <f t="shared" si="117"/>
        <v>0</v>
      </c>
      <c r="AD74" s="23">
        <f t="shared" si="111"/>
        <v>0</v>
      </c>
      <c r="AE74" s="23">
        <f t="shared" si="112"/>
        <v>0</v>
      </c>
      <c r="AF74" s="23">
        <f t="shared" si="118"/>
        <v>0</v>
      </c>
    </row>
    <row r="75" spans="1:32" s="25" customFormat="1" thickBot="1" x14ac:dyDescent="0.25">
      <c r="A75" s="21">
        <f>+'ACTIVITY DATA'!E127</f>
        <v>7</v>
      </c>
      <c r="B75" s="22">
        <f>+'ACTIVITY DATA'!F127</f>
        <v>0</v>
      </c>
      <c r="C75" s="22">
        <f>+B75*'ACTIVITY DATA'!$H$77</f>
        <v>0</v>
      </c>
      <c r="D75" s="21">
        <f>+'ACTIVITY DATA'!G127</f>
        <v>0</v>
      </c>
      <c r="E75" s="21">
        <f>+'ACTIVITY DATA'!H127</f>
        <v>0</v>
      </c>
      <c r="F75" s="21">
        <f>+'ACTIVITY DATA'!I127</f>
        <v>0</v>
      </c>
      <c r="G75" s="23">
        <f t="shared" si="113"/>
        <v>0</v>
      </c>
      <c r="H75" s="23">
        <f t="shared" si="103"/>
        <v>0</v>
      </c>
      <c r="I75" s="23">
        <f t="shared" si="104"/>
        <v>0</v>
      </c>
      <c r="J75" s="23">
        <f t="shared" si="114"/>
        <v>0</v>
      </c>
      <c r="K75" s="23">
        <f t="shared" si="105"/>
        <v>0</v>
      </c>
      <c r="L75" s="23">
        <f t="shared" si="106"/>
        <v>0</v>
      </c>
      <c r="M75" s="23">
        <f t="shared" si="115"/>
        <v>0</v>
      </c>
      <c r="N75" s="23">
        <f t="shared" si="107"/>
        <v>0</v>
      </c>
      <c r="O75" s="23" t="str">
        <f t="shared" si="108"/>
        <v/>
      </c>
      <c r="V75" s="26"/>
      <c r="W75" s="26"/>
      <c r="X75" s="26"/>
      <c r="Y75" s="26"/>
      <c r="Z75" s="26"/>
      <c r="AA75" s="26"/>
      <c r="AD75" s="209" t="s">
        <v>59</v>
      </c>
      <c r="AE75" s="210"/>
      <c r="AF75" s="139">
        <f>AVERAGE(AF70:AF74)</f>
        <v>0</v>
      </c>
    </row>
    <row r="76" spans="1:32" ht="24" x14ac:dyDescent="0.3">
      <c r="N76" s="6" t="s">
        <v>17</v>
      </c>
      <c r="O76" s="29" t="e">
        <f>AVERAGE(O70:O75)</f>
        <v>#DIV/0!</v>
      </c>
      <c r="V76" s="9"/>
      <c r="W76" s="9"/>
      <c r="X76" s="9"/>
      <c r="Y76" s="9"/>
      <c r="AA76" s="9"/>
      <c r="AE76" s="9"/>
      <c r="AF76" s="15"/>
    </row>
    <row r="77" spans="1:32" ht="19" x14ac:dyDescent="0.25">
      <c r="AA77" s="9"/>
      <c r="AD77" s="211" t="s">
        <v>60</v>
      </c>
      <c r="AE77" s="211"/>
      <c r="AF77" s="31">
        <f>IF(AF75=0,0,$AI$10/AF75)</f>
        <v>0</v>
      </c>
    </row>
  </sheetData>
  <sheetProtection password="CCFF" sheet="1" objects="1" scenarios="1" selectLockedCells="1" selectUnlockedCells="1"/>
  <mergeCells count="14">
    <mergeCell ref="AD77:AE77"/>
    <mergeCell ref="AD53:AE53"/>
    <mergeCell ref="AD64:AE64"/>
    <mergeCell ref="AD75:AE75"/>
    <mergeCell ref="AD22:AE22"/>
    <mergeCell ref="AD33:AE33"/>
    <mergeCell ref="AD44:AE44"/>
    <mergeCell ref="AD55:AE55"/>
    <mergeCell ref="AD66:AE66"/>
    <mergeCell ref="AD9:AE9"/>
    <mergeCell ref="AD11:AE11"/>
    <mergeCell ref="AD20:AE20"/>
    <mergeCell ref="AD31:AE31"/>
    <mergeCell ref="AD42:AE42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C1:L61"/>
  <sheetViews>
    <sheetView tabSelected="1" zoomScaleNormal="100" workbookViewId="0">
      <selection activeCell="E10" sqref="E10"/>
    </sheetView>
  </sheetViews>
  <sheetFormatPr baseColWidth="10" defaultColWidth="10.83203125" defaultRowHeight="15" x14ac:dyDescent="0.2"/>
  <cols>
    <col min="1" max="2" width="7" style="36" customWidth="1"/>
    <col min="3" max="8" width="10.83203125" style="36" customWidth="1"/>
    <col min="9" max="9" width="11.5" style="36" customWidth="1"/>
    <col min="10" max="12" width="10.83203125" style="36" customWidth="1"/>
    <col min="13" max="14" width="4.1640625" style="36" customWidth="1"/>
    <col min="15" max="16384" width="10.83203125" style="36"/>
  </cols>
  <sheetData>
    <row r="1" spans="3:12" ht="16" thickBot="1" x14ac:dyDescent="0.25"/>
    <row r="2" spans="3:12" x14ac:dyDescent="0.2">
      <c r="C2" s="37"/>
      <c r="D2" s="38"/>
      <c r="E2" s="38"/>
      <c r="F2" s="38"/>
      <c r="G2" s="38"/>
      <c r="H2" s="38"/>
      <c r="I2" s="38"/>
      <c r="J2" s="38"/>
      <c r="K2" s="38"/>
      <c r="L2" s="39"/>
    </row>
    <row r="3" spans="3:12" ht="17" x14ac:dyDescent="0.2">
      <c r="C3" s="40"/>
      <c r="D3" s="215" t="s">
        <v>58</v>
      </c>
      <c r="E3" s="215"/>
      <c r="F3" s="215"/>
      <c r="G3" s="215"/>
      <c r="H3" s="215"/>
      <c r="I3" s="215"/>
      <c r="J3" s="215"/>
      <c r="K3" s="215"/>
      <c r="L3" s="41"/>
    </row>
    <row r="4" spans="3:12" x14ac:dyDescent="0.2">
      <c r="C4" s="40"/>
      <c r="D4" s="42"/>
      <c r="E4" s="42"/>
      <c r="F4" s="42"/>
      <c r="G4" s="42"/>
      <c r="H4" s="42"/>
      <c r="I4" s="42"/>
      <c r="J4" s="42"/>
      <c r="K4" s="42"/>
      <c r="L4" s="41"/>
    </row>
    <row r="5" spans="3:12" x14ac:dyDescent="0.2">
      <c r="C5" s="40"/>
      <c r="D5" s="42"/>
      <c r="E5" s="42"/>
      <c r="F5" s="42"/>
      <c r="G5" s="42"/>
      <c r="H5" s="42"/>
      <c r="I5" s="42"/>
      <c r="J5" s="42"/>
      <c r="K5" s="42"/>
      <c r="L5" s="41"/>
    </row>
    <row r="6" spans="3:12" x14ac:dyDescent="0.2">
      <c r="C6" s="40"/>
      <c r="D6" s="42"/>
      <c r="E6" s="42"/>
      <c r="F6" s="42"/>
      <c r="G6" s="42"/>
      <c r="H6" s="42"/>
      <c r="I6" s="42"/>
      <c r="J6" s="42"/>
      <c r="K6" s="42"/>
      <c r="L6" s="41"/>
    </row>
    <row r="7" spans="3:12" x14ac:dyDescent="0.2">
      <c r="C7" s="40"/>
      <c r="L7" s="41"/>
    </row>
    <row r="8" spans="3:12" s="46" customFormat="1" ht="15" customHeight="1" thickBot="1" x14ac:dyDescent="0.25">
      <c r="C8" s="43"/>
      <c r="D8" s="36"/>
      <c r="E8" s="44"/>
      <c r="F8" s="224" t="s">
        <v>50</v>
      </c>
      <c r="G8" s="224"/>
      <c r="H8" s="224"/>
      <c r="I8" s="224"/>
      <c r="J8" s="224"/>
      <c r="K8" s="224"/>
      <c r="L8" s="45"/>
    </row>
    <row r="9" spans="3:12" ht="17" thickBot="1" x14ac:dyDescent="0.25">
      <c r="C9" s="40"/>
      <c r="D9" s="47" t="s">
        <v>51</v>
      </c>
      <c r="E9" s="32">
        <v>0.5</v>
      </c>
      <c r="F9" s="32">
        <f>+CALCULATION!A12</f>
        <v>1</v>
      </c>
      <c r="G9" s="32">
        <f>+CALCULATION!A23</f>
        <v>2</v>
      </c>
      <c r="H9" s="32">
        <f>+CALCULATION!A34</f>
        <v>4</v>
      </c>
      <c r="I9" s="32">
        <f>+CALCULATION!A45</f>
        <v>8</v>
      </c>
      <c r="J9" s="32">
        <f>+CALCULATION!A56</f>
        <v>16</v>
      </c>
      <c r="K9" s="33">
        <f>+CALCULATION!A67</f>
        <v>0</v>
      </c>
      <c r="L9" s="41"/>
    </row>
    <row r="10" spans="3:12" ht="15" customHeight="1" x14ac:dyDescent="0.2">
      <c r="C10" s="220" t="s">
        <v>49</v>
      </c>
      <c r="D10" s="142">
        <f>+CALCULATION!A4</f>
        <v>2</v>
      </c>
      <c r="E10" s="145">
        <v>0</v>
      </c>
      <c r="F10" s="140">
        <f>+CALCULATION!O15</f>
        <v>44.956821672469651</v>
      </c>
      <c r="G10" s="140">
        <f>+CALCULATION!O26</f>
        <v>66.271898769988937</v>
      </c>
      <c r="H10" s="140">
        <f>+CALCULATION!O37</f>
        <v>153.35359278524683</v>
      </c>
      <c r="I10" s="140">
        <f>+CALCULATION!O48</f>
        <v>210.96406945493763</v>
      </c>
      <c r="J10" s="140">
        <f>+CALCULATION!O59</f>
        <v>182.09241673933201</v>
      </c>
      <c r="K10" s="141" t="str">
        <f>+CALCULATION!O70</f>
        <v/>
      </c>
      <c r="L10" s="41"/>
    </row>
    <row r="11" spans="3:12" x14ac:dyDescent="0.2">
      <c r="C11" s="220"/>
      <c r="D11" s="143">
        <f>+CALCULATION!A5</f>
        <v>3</v>
      </c>
      <c r="E11" s="146">
        <v>0</v>
      </c>
      <c r="F11" s="34">
        <f>+CALCULATION!O16</f>
        <v>46.990242943858512</v>
      </c>
      <c r="G11" s="34">
        <f>+CALCULATION!O27</f>
        <v>16.080500563408517</v>
      </c>
      <c r="H11" s="34">
        <f>+CALCULATION!O38</f>
        <v>84.094438491520151</v>
      </c>
      <c r="I11" s="34">
        <f>+CALCULATION!O49</f>
        <v>134.92012580244545</v>
      </c>
      <c r="J11" s="34">
        <f>+CALCULATION!O60</f>
        <v>589.45770961793914</v>
      </c>
      <c r="K11" s="35" t="str">
        <f>+CALCULATION!O71</f>
        <v/>
      </c>
      <c r="L11" s="41"/>
    </row>
    <row r="12" spans="3:12" x14ac:dyDescent="0.2">
      <c r="C12" s="220"/>
      <c r="D12" s="143">
        <f>+CALCULATION!A6</f>
        <v>4</v>
      </c>
      <c r="E12" s="146">
        <f>+CALCULATION!O6</f>
        <v>22.736996626366313</v>
      </c>
      <c r="F12" s="34">
        <f>+CALCULATION!O17</f>
        <v>17.511219307165984</v>
      </c>
      <c r="G12" s="34">
        <f>+CALCULATION!O28</f>
        <v>80.762128892540304</v>
      </c>
      <c r="H12" s="34">
        <f>+CALCULATION!O39</f>
        <v>137.51939227501057</v>
      </c>
      <c r="I12" s="34">
        <f>+CALCULATION!O50</f>
        <v>221.2726252064856</v>
      </c>
      <c r="J12" s="34">
        <f>+CALCULATION!O61</f>
        <v>194.82301555764093</v>
      </c>
      <c r="K12" s="35" t="str">
        <f>+CALCULATION!O72</f>
        <v/>
      </c>
      <c r="L12" s="41"/>
    </row>
    <row r="13" spans="3:12" x14ac:dyDescent="0.2">
      <c r="C13" s="220"/>
      <c r="D13" s="143">
        <f>+CALCULATION!A7</f>
        <v>5</v>
      </c>
      <c r="E13" s="146">
        <f>+CALCULATION!O7</f>
        <v>6.0257380493085204</v>
      </c>
      <c r="F13" s="34">
        <f>+CALCULATION!O18</f>
        <v>23.873580669576516</v>
      </c>
      <c r="G13" s="34">
        <f>+CALCULATION!O29</f>
        <v>55.322089133248987</v>
      </c>
      <c r="H13" s="34">
        <f>+CALCULATION!O40</f>
        <v>64.977319545930612</v>
      </c>
      <c r="I13" s="34">
        <f>+CALCULATION!O51</f>
        <v>303.89610527999906</v>
      </c>
      <c r="J13" s="34">
        <f>+CALCULATION!O62</f>
        <v>233.86029842533557</v>
      </c>
      <c r="K13" s="35" t="str">
        <f>+CALCULATION!O73</f>
        <v/>
      </c>
      <c r="L13" s="41"/>
    </row>
    <row r="14" spans="3:12" x14ac:dyDescent="0.2">
      <c r="C14" s="220"/>
      <c r="D14" s="143">
        <f>+CALCULATION!A8</f>
        <v>6</v>
      </c>
      <c r="E14" s="146" t="str">
        <f>+CALCULATION!O8</f>
        <v/>
      </c>
      <c r="F14" s="34" t="str">
        <f>+CALCULATION!O19</f>
        <v/>
      </c>
      <c r="G14" s="34" t="str">
        <f>+CALCULATION!O30</f>
        <v/>
      </c>
      <c r="H14" s="34" t="str">
        <f>+CALCULATION!O41</f>
        <v/>
      </c>
      <c r="I14" s="34" t="str">
        <f>+CALCULATION!O52</f>
        <v/>
      </c>
      <c r="J14" s="34" t="str">
        <f>+CALCULATION!O63</f>
        <v/>
      </c>
      <c r="K14" s="35" t="str">
        <f>+CALCULATION!O74</f>
        <v/>
      </c>
      <c r="L14" s="41"/>
    </row>
    <row r="15" spans="3:12" ht="16" thickBot="1" x14ac:dyDescent="0.25">
      <c r="C15" s="220"/>
      <c r="D15" s="144">
        <f>+CALCULATION!A9</f>
        <v>7</v>
      </c>
      <c r="E15" s="147" t="str">
        <f>+CALCULATION!O9</f>
        <v/>
      </c>
      <c r="F15" s="148" t="str">
        <f>+CALCULATION!O20</f>
        <v/>
      </c>
      <c r="G15" s="148" t="str">
        <f>+CALCULATION!O31</f>
        <v/>
      </c>
      <c r="H15" s="148" t="str">
        <f>+CALCULATION!O42</f>
        <v/>
      </c>
      <c r="I15" s="148" t="str">
        <f>+CALCULATION!O53</f>
        <v/>
      </c>
      <c r="J15" s="148" t="str">
        <f>+CALCULATION!O64</f>
        <v/>
      </c>
      <c r="K15" s="149" t="str">
        <f>+CALCULATION!O75</f>
        <v/>
      </c>
      <c r="L15" s="41"/>
    </row>
    <row r="16" spans="3:12" ht="16" thickBot="1" x14ac:dyDescent="0.25">
      <c r="C16" s="220"/>
      <c r="D16" s="64" t="s">
        <v>52</v>
      </c>
      <c r="E16" s="65">
        <f>IF(E10="","",AVERAGE(E10:E15))</f>
        <v>7.1906836689187088</v>
      </c>
      <c r="F16" s="65">
        <f>IF(F10="","",AVERAGE(F10:F15))</f>
        <v>33.332966148267666</v>
      </c>
      <c r="G16" s="65">
        <f t="shared" ref="G16:K16" si="0">IF(G10="","",AVERAGE(G10:G15))</f>
        <v>54.609154339796689</v>
      </c>
      <c r="H16" s="65">
        <f t="shared" si="0"/>
        <v>109.98618577442704</v>
      </c>
      <c r="I16" s="65">
        <f t="shared" si="0"/>
        <v>217.76323143596693</v>
      </c>
      <c r="J16" s="65">
        <f t="shared" si="0"/>
        <v>300.05836008506191</v>
      </c>
      <c r="K16" s="63" t="str">
        <f t="shared" si="0"/>
        <v/>
      </c>
      <c r="L16" s="41"/>
    </row>
    <row r="17" spans="3:12" x14ac:dyDescent="0.2">
      <c r="C17" s="40"/>
      <c r="E17" s="48"/>
      <c r="L17" s="41"/>
    </row>
    <row r="18" spans="3:12" x14ac:dyDescent="0.2">
      <c r="C18" s="40"/>
      <c r="E18" s="48"/>
      <c r="L18" s="41"/>
    </row>
    <row r="19" spans="3:12" x14ac:dyDescent="0.2">
      <c r="C19" s="40"/>
      <c r="E19" s="48"/>
      <c r="L19" s="41"/>
    </row>
    <row r="20" spans="3:12" x14ac:dyDescent="0.2">
      <c r="C20" s="40"/>
      <c r="E20" s="48"/>
      <c r="L20" s="41"/>
    </row>
    <row r="21" spans="3:12" x14ac:dyDescent="0.2">
      <c r="C21" s="40"/>
      <c r="E21" s="48"/>
      <c r="L21" s="41"/>
    </row>
    <row r="22" spans="3:12" x14ac:dyDescent="0.2">
      <c r="C22" s="40"/>
      <c r="E22" s="48"/>
      <c r="L22" s="41"/>
    </row>
    <row r="23" spans="3:12" x14ac:dyDescent="0.2">
      <c r="C23" s="40"/>
      <c r="E23" s="48"/>
      <c r="L23" s="41"/>
    </row>
    <row r="24" spans="3:12" x14ac:dyDescent="0.2">
      <c r="C24" s="40"/>
      <c r="E24" s="48"/>
      <c r="L24" s="41"/>
    </row>
    <row r="25" spans="3:12" x14ac:dyDescent="0.2">
      <c r="C25" s="40"/>
      <c r="E25" s="48"/>
      <c r="L25" s="41"/>
    </row>
    <row r="26" spans="3:12" x14ac:dyDescent="0.2">
      <c r="C26" s="40"/>
      <c r="E26" s="48"/>
      <c r="L26" s="41"/>
    </row>
    <row r="27" spans="3:12" x14ac:dyDescent="0.2">
      <c r="C27" s="40"/>
      <c r="E27" s="48"/>
      <c r="L27" s="41"/>
    </row>
    <row r="28" spans="3:12" x14ac:dyDescent="0.2">
      <c r="C28" s="40"/>
      <c r="E28" s="48"/>
      <c r="L28" s="41"/>
    </row>
    <row r="29" spans="3:12" x14ac:dyDescent="0.2">
      <c r="C29" s="40"/>
      <c r="E29" s="48"/>
      <c r="L29" s="41"/>
    </row>
    <row r="30" spans="3:12" x14ac:dyDescent="0.2">
      <c r="C30" s="40"/>
      <c r="E30" s="48"/>
      <c r="L30" s="41"/>
    </row>
    <row r="31" spans="3:12" x14ac:dyDescent="0.2">
      <c r="C31" s="40"/>
      <c r="E31" s="48"/>
      <c r="L31" s="41"/>
    </row>
    <row r="32" spans="3:12" x14ac:dyDescent="0.2">
      <c r="C32" s="40"/>
      <c r="E32" s="48"/>
      <c r="L32" s="41"/>
    </row>
    <row r="33" spans="3:12" ht="16" thickBot="1" x14ac:dyDescent="0.25">
      <c r="C33" s="49"/>
      <c r="D33" s="50"/>
      <c r="E33" s="51"/>
      <c r="F33" s="50"/>
      <c r="G33" s="50"/>
      <c r="H33" s="50"/>
      <c r="I33" s="50"/>
      <c r="J33" s="50"/>
      <c r="K33" s="50"/>
      <c r="L33" s="52"/>
    </row>
    <row r="34" spans="3:12" ht="16" thickBot="1" x14ac:dyDescent="0.25">
      <c r="E34" s="48"/>
    </row>
    <row r="35" spans="3:12" x14ac:dyDescent="0.2">
      <c r="C35" s="37"/>
      <c r="D35" s="38"/>
      <c r="E35" s="53"/>
      <c r="F35" s="38"/>
      <c r="G35" s="38"/>
      <c r="H35" s="38"/>
      <c r="I35" s="38"/>
      <c r="J35" s="38"/>
      <c r="K35" s="38"/>
      <c r="L35" s="39"/>
    </row>
    <row r="36" spans="3:12" x14ac:dyDescent="0.2">
      <c r="C36" s="40"/>
      <c r="E36" s="48"/>
      <c r="L36" s="41"/>
    </row>
    <row r="37" spans="3:12" ht="19" x14ac:dyDescent="0.25">
      <c r="C37" s="40"/>
      <c r="D37" s="221" t="s">
        <v>55</v>
      </c>
      <c r="E37" s="221"/>
      <c r="F37" s="221"/>
      <c r="G37" s="221"/>
      <c r="H37" s="221"/>
      <c r="I37" s="221"/>
      <c r="J37" s="221"/>
      <c r="K37" s="221"/>
      <c r="L37" s="41"/>
    </row>
    <row r="38" spans="3:12" x14ac:dyDescent="0.2">
      <c r="C38" s="40"/>
      <c r="E38" s="48"/>
      <c r="L38" s="41"/>
    </row>
    <row r="39" spans="3:12" x14ac:dyDescent="0.2">
      <c r="C39" s="40"/>
      <c r="E39" s="48"/>
      <c r="L39" s="41"/>
    </row>
    <row r="40" spans="3:12" x14ac:dyDescent="0.2">
      <c r="C40" s="40"/>
      <c r="E40" s="48"/>
      <c r="L40" s="41"/>
    </row>
    <row r="41" spans="3:12" x14ac:dyDescent="0.2">
      <c r="C41" s="40"/>
      <c r="E41" s="48"/>
      <c r="L41" s="41"/>
    </row>
    <row r="42" spans="3:12" x14ac:dyDescent="0.2">
      <c r="C42" s="40"/>
      <c r="E42" s="48"/>
      <c r="L42" s="41"/>
    </row>
    <row r="43" spans="3:12" x14ac:dyDescent="0.2">
      <c r="C43" s="40"/>
      <c r="E43" s="54"/>
      <c r="F43" s="222" t="s">
        <v>57</v>
      </c>
      <c r="G43" s="222"/>
      <c r="H43" s="223">
        <v>50</v>
      </c>
      <c r="L43" s="41"/>
    </row>
    <row r="44" spans="3:12" x14ac:dyDescent="0.2">
      <c r="C44" s="40"/>
      <c r="E44" s="48"/>
      <c r="F44" s="222"/>
      <c r="G44" s="222"/>
      <c r="H44" s="223"/>
      <c r="L44" s="41"/>
    </row>
    <row r="45" spans="3:12" x14ac:dyDescent="0.2">
      <c r="C45" s="40"/>
      <c r="E45" s="48"/>
      <c r="L45" s="41"/>
    </row>
    <row r="46" spans="3:12" ht="16" x14ac:dyDescent="0.2">
      <c r="C46" s="40"/>
      <c r="E46" s="48"/>
      <c r="F46" s="55" t="s">
        <v>51</v>
      </c>
      <c r="G46" s="56" t="s">
        <v>29</v>
      </c>
      <c r="H46" s="56" t="s">
        <v>30</v>
      </c>
      <c r="I46" s="56" t="s">
        <v>56</v>
      </c>
      <c r="L46" s="41"/>
    </row>
    <row r="47" spans="3:12" x14ac:dyDescent="0.2">
      <c r="C47" s="40"/>
      <c r="E47" s="48"/>
      <c r="F47" s="57">
        <f>+D10</f>
        <v>2</v>
      </c>
      <c r="G47" s="58"/>
      <c r="H47" s="58"/>
      <c r="I47" s="34" t="str">
        <f>IF(H47=0,"",($H$43-H47)/G47)</f>
        <v/>
      </c>
      <c r="L47" s="41"/>
    </row>
    <row r="48" spans="3:12" x14ac:dyDescent="0.2">
      <c r="C48" s="40"/>
      <c r="E48" s="48"/>
      <c r="F48" s="57">
        <f t="shared" ref="F48:F52" si="1">+D11</f>
        <v>3</v>
      </c>
      <c r="G48" s="58"/>
      <c r="H48" s="58"/>
      <c r="I48" s="34" t="str">
        <f t="shared" ref="I48:I52" si="2">IF(H48=0,"",($H$43-H48)/G48)</f>
        <v/>
      </c>
      <c r="L48" s="41"/>
    </row>
    <row r="49" spans="3:12" x14ac:dyDescent="0.2">
      <c r="C49" s="40"/>
      <c r="E49" s="48"/>
      <c r="F49" s="57">
        <f t="shared" si="1"/>
        <v>4</v>
      </c>
      <c r="G49" s="58"/>
      <c r="H49" s="58"/>
      <c r="I49" s="34" t="str">
        <f t="shared" si="2"/>
        <v/>
      </c>
      <c r="L49" s="41"/>
    </row>
    <row r="50" spans="3:12" x14ac:dyDescent="0.2">
      <c r="C50" s="40"/>
      <c r="E50" s="48"/>
      <c r="F50" s="57">
        <f t="shared" si="1"/>
        <v>5</v>
      </c>
      <c r="G50" s="58"/>
      <c r="H50" s="58"/>
      <c r="I50" s="34" t="str">
        <f t="shared" si="2"/>
        <v/>
      </c>
      <c r="L50" s="41"/>
    </row>
    <row r="51" spans="3:12" x14ac:dyDescent="0.2">
      <c r="C51" s="40"/>
      <c r="E51" s="48"/>
      <c r="F51" s="57">
        <f t="shared" si="1"/>
        <v>6</v>
      </c>
      <c r="G51" s="58"/>
      <c r="H51" s="58"/>
      <c r="I51" s="34" t="str">
        <f t="shared" si="2"/>
        <v/>
      </c>
      <c r="L51" s="41"/>
    </row>
    <row r="52" spans="3:12" ht="16" thickBot="1" x14ac:dyDescent="0.25">
      <c r="C52" s="40"/>
      <c r="E52" s="48"/>
      <c r="F52" s="57">
        <f t="shared" si="1"/>
        <v>7</v>
      </c>
      <c r="G52" s="59"/>
      <c r="H52" s="59"/>
      <c r="I52" s="34" t="str">
        <f t="shared" si="2"/>
        <v/>
      </c>
      <c r="L52" s="41"/>
    </row>
    <row r="53" spans="3:12" ht="19" x14ac:dyDescent="0.25">
      <c r="C53" s="40"/>
      <c r="E53" s="48"/>
      <c r="G53" s="216" t="s">
        <v>53</v>
      </c>
      <c r="H53" s="217"/>
      <c r="I53" s="60" t="e">
        <f>IF(I47=0,"",AVERAGE(I47:I52))</f>
        <v>#DIV/0!</v>
      </c>
      <c r="L53" s="41"/>
    </row>
    <row r="54" spans="3:12" ht="20" thickBot="1" x14ac:dyDescent="0.3">
      <c r="C54" s="40"/>
      <c r="E54" s="48"/>
      <c r="G54" s="218" t="s">
        <v>54</v>
      </c>
      <c r="H54" s="219"/>
      <c r="I54" s="61" t="e">
        <f>STDEV(I47:I52)</f>
        <v>#DIV/0!</v>
      </c>
      <c r="L54" s="41"/>
    </row>
    <row r="55" spans="3:12" x14ac:dyDescent="0.2">
      <c r="C55" s="40"/>
      <c r="E55" s="48"/>
      <c r="L55" s="41"/>
    </row>
    <row r="56" spans="3:12" x14ac:dyDescent="0.2">
      <c r="C56" s="40"/>
      <c r="E56" s="48"/>
      <c r="F56" s="212" t="e">
        <f>+I53</f>
        <v>#DIV/0!</v>
      </c>
      <c r="G56" s="213"/>
      <c r="H56" s="214" t="e">
        <f>+I54</f>
        <v>#DIV/0!</v>
      </c>
      <c r="I56" s="213"/>
      <c r="L56" s="41"/>
    </row>
    <row r="57" spans="3:12" x14ac:dyDescent="0.2">
      <c r="C57" s="40"/>
      <c r="E57" s="48"/>
      <c r="F57" s="213"/>
      <c r="G57" s="213"/>
      <c r="H57" s="213"/>
      <c r="I57" s="213"/>
      <c r="L57" s="41"/>
    </row>
    <row r="58" spans="3:12" x14ac:dyDescent="0.2">
      <c r="C58" s="40"/>
      <c r="E58" s="48"/>
      <c r="L58" s="41"/>
    </row>
    <row r="59" spans="3:12" ht="16" thickBot="1" x14ac:dyDescent="0.25">
      <c r="C59" s="49"/>
      <c r="D59" s="50"/>
      <c r="E59" s="51"/>
      <c r="F59" s="50"/>
      <c r="G59" s="50"/>
      <c r="H59" s="50"/>
      <c r="I59" s="50"/>
      <c r="J59" s="50"/>
      <c r="K59" s="50"/>
      <c r="L59" s="52"/>
    </row>
    <row r="60" spans="3:12" x14ac:dyDescent="0.2">
      <c r="E60" s="48"/>
    </row>
    <row r="61" spans="3:12" x14ac:dyDescent="0.2">
      <c r="E61" s="48"/>
    </row>
  </sheetData>
  <sheetProtection selectLockedCells="1"/>
  <mergeCells count="10">
    <mergeCell ref="C10:C16"/>
    <mergeCell ref="D37:K37"/>
    <mergeCell ref="F43:G44"/>
    <mergeCell ref="H43:H44"/>
    <mergeCell ref="F8:K8"/>
    <mergeCell ref="F56:G57"/>
    <mergeCell ref="H56:I57"/>
    <mergeCell ref="D3:K3"/>
    <mergeCell ref="G53:H53"/>
    <mergeCell ref="G54:H5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EF9-6DBB-ED45-9945-F3943D2E7F06}">
  <dimension ref="A1:L26"/>
  <sheetViews>
    <sheetView topLeftCell="A5" workbookViewId="0">
      <selection activeCell="M15" sqref="M15"/>
    </sheetView>
  </sheetViews>
  <sheetFormatPr baseColWidth="10" defaultRowHeight="15" x14ac:dyDescent="0.2"/>
  <cols>
    <col min="3" max="3" width="10.83203125" style="189"/>
  </cols>
  <sheetData>
    <row r="1" spans="1:12" ht="16" customHeight="1" x14ac:dyDescent="0.2">
      <c r="A1" t="s">
        <v>89</v>
      </c>
      <c r="E1" t="s">
        <v>93</v>
      </c>
      <c r="I1" t="s">
        <v>94</v>
      </c>
    </row>
    <row r="2" spans="1:12" ht="16" customHeight="1" x14ac:dyDescent="0.2">
      <c r="A2" t="s">
        <v>91</v>
      </c>
      <c r="B2" t="s">
        <v>92</v>
      </c>
      <c r="D2" t="s">
        <v>90</v>
      </c>
      <c r="E2" t="s">
        <v>91</v>
      </c>
      <c r="F2" t="s">
        <v>92</v>
      </c>
      <c r="H2" t="s">
        <v>90</v>
      </c>
      <c r="I2" t="s">
        <v>91</v>
      </c>
      <c r="J2" t="s">
        <v>92</v>
      </c>
      <c r="L2" t="s">
        <v>90</v>
      </c>
    </row>
    <row r="3" spans="1:12" x14ac:dyDescent="0.2">
      <c r="A3" s="190">
        <f>'Mouse Luminance'!C4</f>
        <v>0</v>
      </c>
      <c r="B3" s="188">
        <v>0</v>
      </c>
      <c r="C3" s="189">
        <f>_xlfn.T.TEST(B3:B6,A3:A6,1,1)</f>
        <v>0.13235542174768894</v>
      </c>
      <c r="D3" s="189">
        <f>_xlfn.T.TEST(A3:A26,B3:B26,1,1)</f>
        <v>0.47470311181063929</v>
      </c>
      <c r="E3" s="190">
        <f>'Mouse Luminance'!N4</f>
        <v>1.4423379904495511E-3</v>
      </c>
      <c r="F3" s="188">
        <v>0</v>
      </c>
      <c r="G3" s="189">
        <f>_xlfn.T.TEST(F3:F6,E3:E6,1,1)</f>
        <v>0.25839185789695557</v>
      </c>
      <c r="H3" s="189">
        <f>_xlfn.T.TEST(E3:E26,F3:F26,1,1)</f>
        <v>0.44465462971731434</v>
      </c>
      <c r="I3" s="190">
        <f>HaU!B4</f>
        <v>0</v>
      </c>
      <c r="J3" s="188">
        <v>0</v>
      </c>
      <c r="K3" s="189">
        <f>_xlfn.T.TEST(J3:J6,I3:I6,1,1)</f>
        <v>0.18736735348975894</v>
      </c>
      <c r="L3" s="186">
        <f>_xlfn.T.TEST(I3:I26,J3:J26,1,1)</f>
        <v>9.6161722412195172E-2</v>
      </c>
    </row>
    <row r="4" spans="1:12" x14ac:dyDescent="0.2">
      <c r="A4" s="190">
        <f>'Mouse Luminance'!C5</f>
        <v>0</v>
      </c>
      <c r="B4" s="188">
        <v>0</v>
      </c>
      <c r="D4" s="188"/>
      <c r="E4" s="190">
        <f>'Mouse Luminance'!N5</f>
        <v>1.4423379904495511E-3</v>
      </c>
      <c r="F4" s="188">
        <v>0</v>
      </c>
      <c r="G4" s="189"/>
      <c r="H4" s="188"/>
      <c r="I4" s="190">
        <f>HaU!B5</f>
        <v>0</v>
      </c>
      <c r="J4" s="188">
        <v>0</v>
      </c>
      <c r="K4" s="189"/>
    </row>
    <row r="5" spans="1:12" x14ac:dyDescent="0.2">
      <c r="A5" s="190">
        <f>'Mouse Luminance'!C6</f>
        <v>65.130175352106676</v>
      </c>
      <c r="B5" s="188">
        <v>63.08</v>
      </c>
      <c r="D5" s="188"/>
      <c r="E5" s="190">
        <f>'Mouse Luminance'!N6</f>
        <v>0.28645247143992686</v>
      </c>
      <c r="F5" s="188">
        <v>0.32</v>
      </c>
      <c r="G5" s="189"/>
      <c r="H5" s="188"/>
      <c r="I5" s="190">
        <f>HaU!B6</f>
        <v>22.736817394073487</v>
      </c>
      <c r="J5" s="188">
        <v>19.559999999999999</v>
      </c>
      <c r="K5" s="189"/>
    </row>
    <row r="6" spans="1:12" x14ac:dyDescent="0.2">
      <c r="A6" s="190">
        <f>'Mouse Luminance'!C7</f>
        <v>23.757108007717868</v>
      </c>
      <c r="B6" s="188">
        <v>23.16</v>
      </c>
      <c r="D6" s="188"/>
      <c r="E6" s="190">
        <f>'Mouse Luminance'!N7</f>
        <v>0.39426365846746969</v>
      </c>
      <c r="F6" s="188">
        <v>0.39</v>
      </c>
      <c r="G6" s="189"/>
      <c r="H6" s="188"/>
      <c r="I6" s="190">
        <f>HaU!B7</f>
        <v>6.0256905493302124</v>
      </c>
      <c r="J6" s="188">
        <v>5.93</v>
      </c>
      <c r="K6" s="189"/>
    </row>
    <row r="7" spans="1:12" x14ac:dyDescent="0.2">
      <c r="A7" s="185">
        <f>'Mouse Luminance'!C14</f>
        <v>97.648694947411045</v>
      </c>
      <c r="B7">
        <v>98.8</v>
      </c>
      <c r="C7" s="189">
        <f>_xlfn.T.TEST(B7:B10,A7:A10,1,1)</f>
        <v>0.37151188229461035</v>
      </c>
      <c r="E7" s="185">
        <f>'Mouse Luminance'!N14</f>
        <v>0.20454139446638347</v>
      </c>
      <c r="F7">
        <v>0.24</v>
      </c>
      <c r="G7" s="189">
        <f>_xlfn.T.TEST(F7:F10,E7:E10,1,1)</f>
        <v>0.36102011441917148</v>
      </c>
      <c r="I7" s="185">
        <f>HaU!B14</f>
        <v>47.740309584845271</v>
      </c>
      <c r="J7">
        <v>42.01</v>
      </c>
      <c r="K7" s="189">
        <f>_xlfn.T.TEST(J7:J10,I7:I10,1,1)</f>
        <v>0.3271056260173813</v>
      </c>
    </row>
    <row r="8" spans="1:12" x14ac:dyDescent="0.2">
      <c r="A8" s="185">
        <f>'Mouse Luminance'!C15</f>
        <v>134.83394426126839</v>
      </c>
      <c r="B8">
        <v>132.68</v>
      </c>
      <c r="E8" s="185">
        <f>'Mouse Luminance'!N15</f>
        <v>0.27021031132508666</v>
      </c>
      <c r="F8">
        <v>0.27</v>
      </c>
      <c r="G8" s="189"/>
      <c r="I8" s="185">
        <f>HaU!B15</f>
        <v>49.899629514527057</v>
      </c>
      <c r="J8">
        <v>49.98</v>
      </c>
      <c r="K8" s="189"/>
    </row>
    <row r="9" spans="1:12" x14ac:dyDescent="0.2">
      <c r="A9" s="185">
        <f>'Mouse Luminance'!C16</f>
        <v>64.723056236069908</v>
      </c>
      <c r="B9">
        <v>68.8</v>
      </c>
      <c r="E9" s="185">
        <f>'Mouse Luminance'!N16</f>
        <v>0.34805910466019352</v>
      </c>
      <c r="F9">
        <v>0.38</v>
      </c>
      <c r="G9" s="189"/>
      <c r="I9" s="185">
        <f>HaU!B16</f>
        <v>18.595421113680779</v>
      </c>
      <c r="J9">
        <v>18.09</v>
      </c>
      <c r="K9" s="189"/>
    </row>
    <row r="10" spans="1:12" x14ac:dyDescent="0.2">
      <c r="A10" s="185">
        <f>'Mouse Luminance'!C17</f>
        <v>87.932177789239049</v>
      </c>
      <c r="B10">
        <v>86.84</v>
      </c>
      <c r="E10" s="185">
        <f>'Mouse Luminance'!N17</f>
        <v>0.34684915208826306</v>
      </c>
      <c r="F10">
        <v>0.22</v>
      </c>
      <c r="G10" s="189"/>
      <c r="I10" s="185">
        <f>HaU!B17</f>
        <v>25.351706140790235</v>
      </c>
      <c r="J10">
        <v>40.340000000000003</v>
      </c>
      <c r="K10" s="189"/>
    </row>
    <row r="11" spans="1:12" x14ac:dyDescent="0.2">
      <c r="A11" s="190">
        <f>'Mouse Luminance'!C24</f>
        <v>134.60797108368962</v>
      </c>
      <c r="B11" s="188">
        <v>138.88</v>
      </c>
      <c r="C11" s="189">
        <f>_xlfn.T.TEST(B11:B14,A11:A14,1,1)</f>
        <v>0.38567646775961428</v>
      </c>
      <c r="D11" s="188"/>
      <c r="E11" s="190">
        <f>'Mouse Luminance'!N24</f>
        <v>0.21469194347652665</v>
      </c>
      <c r="F11" s="188">
        <v>0.19</v>
      </c>
      <c r="G11" s="189">
        <f>_xlfn.T.TEST(F11:F14,E11:E14,1,1)</f>
        <v>0.29384349380855423</v>
      </c>
      <c r="H11" s="188"/>
      <c r="I11" s="190">
        <f>HaU!B24</f>
        <v>62.69819393497967</v>
      </c>
      <c r="J11" s="188">
        <v>74.790000000000006</v>
      </c>
      <c r="K11" s="189">
        <f>_xlfn.T.TEST(J11:J14,I11:I14,1,1)</f>
        <v>0.37245161149906847</v>
      </c>
    </row>
    <row r="12" spans="1:12" x14ac:dyDescent="0.2">
      <c r="A12" s="190">
        <f>'Mouse Luminance'!C25</f>
        <v>42.794441674005363</v>
      </c>
      <c r="B12" s="188">
        <v>39.36</v>
      </c>
      <c r="D12" s="188"/>
      <c r="E12" s="190">
        <f>'Mouse Luminance'!N25</f>
        <v>0.2812951109767739</v>
      </c>
      <c r="F12" s="188">
        <v>0.27</v>
      </c>
      <c r="G12" s="189"/>
      <c r="H12" s="188"/>
      <c r="I12" s="188">
        <v>15.21</v>
      </c>
      <c r="J12" s="188">
        <v>14.43</v>
      </c>
      <c r="K12" s="189"/>
    </row>
    <row r="13" spans="1:12" x14ac:dyDescent="0.2">
      <c r="A13" s="190">
        <f>'Mouse Luminance'!C26</f>
        <v>165.57794306099322</v>
      </c>
      <c r="B13" s="188">
        <v>169.4</v>
      </c>
      <c r="D13" s="188"/>
      <c r="E13" s="190">
        <f>'Mouse Luminance'!N26</f>
        <v>0.21670508773853367</v>
      </c>
      <c r="F13" s="188">
        <v>0.21</v>
      </c>
      <c r="G13" s="189"/>
      <c r="H13" s="188"/>
      <c r="I13" s="188">
        <v>76.41</v>
      </c>
      <c r="J13" s="188">
        <v>79</v>
      </c>
      <c r="K13" s="189"/>
    </row>
    <row r="14" spans="1:12" x14ac:dyDescent="0.2">
      <c r="A14" s="190">
        <f>'Mouse Luminance'!C27</f>
        <v>109.90980157761764</v>
      </c>
      <c r="B14" s="188">
        <v>101.32</v>
      </c>
      <c r="D14" s="188"/>
      <c r="E14" s="190">
        <f>'Mouse Luminance'!N27</f>
        <v>0.20999658622347467</v>
      </c>
      <c r="F14" s="188">
        <v>0.23</v>
      </c>
      <c r="G14" s="189"/>
      <c r="H14" s="188"/>
      <c r="I14" s="188">
        <v>52.34</v>
      </c>
      <c r="J14" s="188">
        <v>44.38</v>
      </c>
      <c r="K14" s="189"/>
    </row>
    <row r="15" spans="1:12" x14ac:dyDescent="0.2">
      <c r="A15" s="185">
        <f>'Mouse Luminance'!T4</f>
        <v>113.81821183094978</v>
      </c>
      <c r="B15">
        <v>111.84</v>
      </c>
      <c r="C15" s="189">
        <f>_xlfn.T.TEST(B15:B18,A15:A18,1,1)</f>
        <v>0.29019350186561693</v>
      </c>
      <c r="E15" s="185">
        <f>'Mouse Luminance'!AE4</f>
        <v>7.0773317595009183E-2</v>
      </c>
      <c r="F15">
        <v>7.0000000000000007E-2</v>
      </c>
      <c r="G15" s="189">
        <f>_xlfn.T.TEST(F15:F18,E15:E18,1,1)</f>
        <v>0.37706890835729401</v>
      </c>
      <c r="I15" s="185">
        <f>HaU!I4</f>
        <v>160.82079475524836</v>
      </c>
      <c r="J15">
        <v>154.66999999999999</v>
      </c>
      <c r="K15" s="189">
        <f>_xlfn.T.TEST(J15:J18,I15:I18,1,1)</f>
        <v>0.4559618812840085</v>
      </c>
    </row>
    <row r="16" spans="1:12" x14ac:dyDescent="0.2">
      <c r="A16" s="185">
        <f>'Mouse Luminance'!T5</f>
        <v>91.006423982869393</v>
      </c>
      <c r="B16">
        <v>90.8</v>
      </c>
      <c r="E16" s="185">
        <f>'Mouse Luminance'!AE5</f>
        <v>0.1031944939157302</v>
      </c>
      <c r="F16">
        <v>0.1</v>
      </c>
      <c r="G16" s="189"/>
      <c r="I16" s="185">
        <f>HaU!I5</f>
        <v>88.189224569661903</v>
      </c>
      <c r="J16">
        <v>90.69</v>
      </c>
      <c r="K16" s="189"/>
    </row>
    <row r="17" spans="1:11" x14ac:dyDescent="0.2">
      <c r="A17" s="185">
        <f>'Mouse Luminance'!T6</f>
        <v>131.31107025113602</v>
      </c>
      <c r="B17">
        <v>139.04</v>
      </c>
      <c r="E17" s="185">
        <f>'Mouse Luminance'!AE6</f>
        <v>9.1051928302586668E-2</v>
      </c>
      <c r="F17">
        <v>0.09</v>
      </c>
      <c r="G17" s="189"/>
      <c r="I17" s="185">
        <f>HaU!I6</f>
        <v>144.21558411674587</v>
      </c>
      <c r="J17">
        <v>154.71</v>
      </c>
      <c r="K17" s="189"/>
    </row>
    <row r="18" spans="1:11" x14ac:dyDescent="0.2">
      <c r="A18" s="185">
        <f>'Mouse Luminance'!T7</f>
        <v>72.779920124352913</v>
      </c>
      <c r="B18">
        <v>72.599999999999994</v>
      </c>
      <c r="E18" s="185">
        <f>'Mouse Luminance'!AE7</f>
        <v>0.10680744690613003</v>
      </c>
      <c r="F18">
        <v>0.11</v>
      </c>
      <c r="G18" s="189"/>
      <c r="I18" s="185">
        <f>HaU!I7</f>
        <v>68.14124130157056</v>
      </c>
      <c r="J18">
        <v>63.15</v>
      </c>
      <c r="K18" s="189"/>
    </row>
    <row r="19" spans="1:11" x14ac:dyDescent="0.2">
      <c r="A19" s="190">
        <f>'Mouse Luminance'!T14</f>
        <v>177.14186611168921</v>
      </c>
      <c r="B19" s="188">
        <v>174.92</v>
      </c>
      <c r="C19" s="189">
        <f>_xlfn.T.TEST(B19:B22,A19:A22,1,1)</f>
        <v>0.28449010058842888</v>
      </c>
      <c r="D19" s="188"/>
      <c r="E19" s="190">
        <f>'Mouse Luminance'!AE14</f>
        <v>8.6496985825982892E-2</v>
      </c>
      <c r="F19" s="188">
        <v>0.1</v>
      </c>
      <c r="G19" s="189">
        <f>_xlfn.T.TEST(F19:F22,E19:E22,1,1)</f>
        <v>7.3135772105260677E-2</v>
      </c>
      <c r="H19" s="188"/>
      <c r="I19" s="190">
        <f>HaU!I14</f>
        <v>204.79542081162029</v>
      </c>
      <c r="J19" s="188">
        <v>180.76</v>
      </c>
      <c r="K19" s="189">
        <f>_xlfn.T.TEST(J19:J22,I19:I22,1,1)</f>
        <v>0.32617307356734981</v>
      </c>
    </row>
    <row r="20" spans="1:11" x14ac:dyDescent="0.2">
      <c r="A20" s="190">
        <f>'Mouse Luminance'!T15</f>
        <v>116.39495895479246</v>
      </c>
      <c r="B20" s="188">
        <v>115.96</v>
      </c>
      <c r="D20" s="188"/>
      <c r="E20" s="190">
        <f>'Mouse Luminance'!AE15</f>
        <v>8.8868057364644995E-2</v>
      </c>
      <c r="F20" s="188">
        <v>0.09</v>
      </c>
      <c r="G20" s="189"/>
      <c r="H20" s="188"/>
      <c r="I20" s="190">
        <f>HaU!I15</f>
        <v>130.97502342962059</v>
      </c>
      <c r="J20" s="188">
        <v>134.09</v>
      </c>
      <c r="K20" s="189"/>
    </row>
    <row r="21" spans="1:11" x14ac:dyDescent="0.2">
      <c r="A21" s="190">
        <f>'Mouse Luminance'!T16</f>
        <v>148.98832234940457</v>
      </c>
      <c r="B21" s="188">
        <v>156.47999999999999</v>
      </c>
      <c r="D21" s="188"/>
      <c r="E21" s="190">
        <f>'Mouse Luminance'!AE16</f>
        <v>6.9360592465315493E-2</v>
      </c>
      <c r="F21" s="188">
        <v>7.0000000000000007E-2</v>
      </c>
      <c r="G21" s="189"/>
      <c r="H21" s="188"/>
      <c r="I21" s="190">
        <f>HaU!I16</f>
        <v>214.80255149767899</v>
      </c>
      <c r="J21" s="188">
        <v>239.51</v>
      </c>
      <c r="K21" s="189"/>
    </row>
    <row r="22" spans="1:11" x14ac:dyDescent="0.2">
      <c r="A22" s="190">
        <f>'Mouse Luminance'!T17</f>
        <v>178.69117817088681</v>
      </c>
      <c r="B22" s="188">
        <v>179.28</v>
      </c>
      <c r="D22" s="188"/>
      <c r="E22" s="190">
        <f>'Mouse Luminance'!AE17</f>
        <v>6.0571207392132287E-2</v>
      </c>
      <c r="F22" s="188">
        <v>7.0000000000000007E-2</v>
      </c>
      <c r="G22" s="189"/>
      <c r="H22" s="188"/>
      <c r="I22" s="190">
        <f>HaU!I17</f>
        <v>295.01009780778674</v>
      </c>
      <c r="J22" s="188">
        <v>266.37</v>
      </c>
      <c r="K22" s="189"/>
    </row>
    <row r="23" spans="1:11" x14ac:dyDescent="0.2">
      <c r="A23" s="185">
        <f>'Mouse Luminance'!T24</f>
        <v>245.91209829867682</v>
      </c>
      <c r="B23">
        <v>248.32</v>
      </c>
      <c r="C23" s="189">
        <f>_xlfn.T.TEST(B23:B26,A23:A26,1,1)</f>
        <v>0.31192422854990109</v>
      </c>
      <c r="E23" s="185">
        <f>'Mouse Luminance'!AE24</f>
        <v>0.10095887538608951</v>
      </c>
      <c r="F23">
        <v>0.1</v>
      </c>
      <c r="G23" s="189">
        <f>_xlfn.T.TEST(F23:F26,E23:E26,1,1)</f>
        <v>7.9197683019421358E-2</v>
      </c>
      <c r="I23" s="185">
        <f>HaU!I24</f>
        <v>243.57650316354403</v>
      </c>
      <c r="J23">
        <v>248.77</v>
      </c>
      <c r="K23" s="189">
        <f>_xlfn.T.TEST(J23:J26,I23:I26,1,1)</f>
        <v>0.11245838632481789</v>
      </c>
    </row>
    <row r="24" spans="1:11" x14ac:dyDescent="0.2">
      <c r="A24" s="185">
        <f>'Mouse Luminance'!T25</f>
        <v>284.69990548204169</v>
      </c>
      <c r="B24">
        <v>286.83999999999997</v>
      </c>
      <c r="E24" s="185">
        <f>'Mouse Luminance'!AE25</f>
        <v>3.6106977825248868E-2</v>
      </c>
      <c r="F24">
        <v>0.04</v>
      </c>
      <c r="I24" s="185">
        <f>HaU!I25</f>
        <v>788.48998899862761</v>
      </c>
      <c r="J24">
        <v>644.71</v>
      </c>
    </row>
    <row r="25" spans="1:11" x14ac:dyDescent="0.2">
      <c r="A25" s="185">
        <f>'Mouse Luminance'!T26</f>
        <v>228.33175803402654</v>
      </c>
      <c r="B25">
        <v>221</v>
      </c>
      <c r="E25" s="185">
        <f>'Mouse Luminance'!AE26</f>
        <v>8.7615819580828203E-2</v>
      </c>
      <c r="F25">
        <v>0.09</v>
      </c>
      <c r="I25" s="185">
        <f>HaU!I26</f>
        <v>260.60562935599057</v>
      </c>
      <c r="J25">
        <v>233.08</v>
      </c>
    </row>
    <row r="26" spans="1:11" x14ac:dyDescent="0.2">
      <c r="A26" s="185">
        <f>'Mouse Luminance'!T27</f>
        <v>322.51890359168254</v>
      </c>
      <c r="B26">
        <v>320.32</v>
      </c>
      <c r="E26" s="185">
        <f>'Mouse Luminance'!AE27</f>
        <v>0.10309916400742813</v>
      </c>
      <c r="F26">
        <v>0.11</v>
      </c>
      <c r="I26" s="185">
        <f>HaU!I27</f>
        <v>312.8239755352871</v>
      </c>
      <c r="J26">
        <v>280.86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AI77"/>
  <sheetViews>
    <sheetView zoomScaleNormal="100" workbookViewId="0">
      <selection activeCell="I10" sqref="I10"/>
    </sheetView>
  </sheetViews>
  <sheetFormatPr baseColWidth="10" defaultColWidth="11.5" defaultRowHeight="16" x14ac:dyDescent="0.2"/>
  <cols>
    <col min="1" max="1" width="17.6640625" style="5" bestFit="1" customWidth="1"/>
    <col min="2" max="2" width="21" style="5" bestFit="1" customWidth="1"/>
    <col min="3" max="3" width="16.5" style="5" bestFit="1" customWidth="1"/>
    <col min="4" max="6" width="4.6640625" style="5" bestFit="1" customWidth="1"/>
    <col min="7" max="9" width="13.83203125" style="5" bestFit="1" customWidth="1"/>
    <col min="10" max="10" width="12.6640625" style="5" bestFit="1" customWidth="1"/>
    <col min="11" max="11" width="12.83203125" style="5" bestFit="1" customWidth="1"/>
    <col min="12" max="12" width="12.5" style="5" bestFit="1" customWidth="1"/>
    <col min="13" max="13" width="18.83203125" style="5" bestFit="1" customWidth="1"/>
    <col min="14" max="14" width="24.1640625" style="5" bestFit="1" customWidth="1"/>
    <col min="15" max="15" width="26.1640625" style="5" bestFit="1" customWidth="1"/>
    <col min="16" max="21" width="11.5" style="5"/>
    <col min="22" max="22" width="16.6640625" style="5" bestFit="1" customWidth="1"/>
    <col min="23" max="25" width="4.6640625" style="5" bestFit="1" customWidth="1"/>
    <col min="26" max="26" width="8.1640625" style="5" bestFit="1" customWidth="1"/>
    <col min="27" max="27" width="8.5" style="5" bestFit="1" customWidth="1"/>
    <col min="28" max="28" width="8.1640625" style="5" bestFit="1" customWidth="1"/>
    <col min="29" max="29" width="11.6640625" style="5" bestFit="1" customWidth="1"/>
    <col min="30" max="30" width="12" style="5" bestFit="1" customWidth="1"/>
    <col min="31" max="31" width="16" style="5" bestFit="1" customWidth="1"/>
    <col min="32" max="32" width="17.6640625" style="5" bestFit="1" customWidth="1"/>
    <col min="33" max="33" width="11.5" style="5"/>
    <col min="34" max="34" width="15.6640625" style="5" bestFit="1" customWidth="1"/>
    <col min="35" max="16384" width="11.5" style="5"/>
  </cols>
  <sheetData>
    <row r="1" spans="1:35" s="8" customFormat="1" ht="24" x14ac:dyDescent="0.3">
      <c r="A1" s="7" t="s">
        <v>23</v>
      </c>
      <c r="B1" s="14" t="s">
        <v>18</v>
      </c>
      <c r="V1" s="7" t="str">
        <f>+A1</f>
        <v xml:space="preserve">CONTROL </v>
      </c>
      <c r="W1" s="7"/>
    </row>
    <row r="3" spans="1:35" s="17" customFormat="1" ht="17" x14ac:dyDescent="0.2">
      <c r="A3" s="16" t="s">
        <v>61</v>
      </c>
      <c r="B3" s="16" t="s">
        <v>25</v>
      </c>
      <c r="C3" s="16" t="s">
        <v>62</v>
      </c>
      <c r="D3" s="16" t="s">
        <v>0</v>
      </c>
      <c r="E3" s="16" t="s">
        <v>1</v>
      </c>
      <c r="F3" s="16" t="s">
        <v>2</v>
      </c>
      <c r="G3" s="16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26</v>
      </c>
      <c r="N3" s="16" t="s">
        <v>27</v>
      </c>
      <c r="O3" s="28" t="s">
        <v>63</v>
      </c>
      <c r="V3" s="18" t="s">
        <v>10</v>
      </c>
      <c r="W3" s="19" t="s">
        <v>0</v>
      </c>
      <c r="X3" s="20" t="s">
        <v>1</v>
      </c>
      <c r="Y3" s="20" t="s">
        <v>2</v>
      </c>
      <c r="Z3" s="16" t="s">
        <v>3</v>
      </c>
      <c r="AA3" s="16" t="s">
        <v>4</v>
      </c>
      <c r="AB3" s="16" t="s">
        <v>5</v>
      </c>
      <c r="AC3" s="20" t="s">
        <v>6</v>
      </c>
      <c r="AD3" s="20" t="s">
        <v>7</v>
      </c>
      <c r="AE3" s="20" t="s">
        <v>11</v>
      </c>
      <c r="AF3" s="20" t="s">
        <v>9</v>
      </c>
    </row>
    <row r="4" spans="1:35" s="25" customFormat="1" ht="15" x14ac:dyDescent="0.2">
      <c r="A4" s="24">
        <v>1</v>
      </c>
      <c r="B4" s="21" t="e">
        <f>+#REF!</f>
        <v>#REF!</v>
      </c>
      <c r="C4" s="22" t="e">
        <f>+B4*#REF!</f>
        <v>#REF!</v>
      </c>
      <c r="D4" s="21" t="e">
        <f>+#REF!</f>
        <v>#REF!</v>
      </c>
      <c r="E4" s="21" t="e">
        <f>+#REF!</f>
        <v>#REF!</v>
      </c>
      <c r="F4" s="21" t="e">
        <f>+#REF!</f>
        <v>#REF!</v>
      </c>
      <c r="G4" s="23" t="e">
        <f>D4/255</f>
        <v>#REF!</v>
      </c>
      <c r="H4" s="23" t="e">
        <f>E4/255</f>
        <v>#REF!</v>
      </c>
      <c r="I4" s="23" t="e">
        <f>F4/255</f>
        <v>#REF!</v>
      </c>
      <c r="J4" s="23" t="e">
        <f t="shared" ref="J4:L9" si="0">IF(GESTEP(G4,0.04045),POWER(((G4+0.055)/1.055),2.4),(G4/12.92))</f>
        <v>#REF!</v>
      </c>
      <c r="K4" s="23" t="e">
        <f t="shared" si="0"/>
        <v>#REF!</v>
      </c>
      <c r="L4" s="23" t="e">
        <f t="shared" si="0"/>
        <v>#REF!</v>
      </c>
      <c r="M4" s="23" t="e">
        <f>0.2126*J4+0.7152*K4+0.0722*L4</f>
        <v>#REF!</v>
      </c>
      <c r="N4" s="23" t="e">
        <f t="shared" ref="N4:N9" si="1">M4*$AF$11</f>
        <v>#REF!</v>
      </c>
      <c r="O4" s="23" t="e">
        <f>IF(N4&gt;0,(C4/(10*N4)),"")</f>
        <v>#REF!</v>
      </c>
      <c r="V4" s="26" t="s">
        <v>12</v>
      </c>
      <c r="W4" s="27" t="e">
        <f>+#REF!</f>
        <v>#REF!</v>
      </c>
      <c r="X4" s="27" t="e">
        <f>+#REF!</f>
        <v>#REF!</v>
      </c>
      <c r="Y4" s="27" t="e">
        <f>+#REF!</f>
        <v>#REF!</v>
      </c>
      <c r="Z4" s="23" t="e">
        <f>W4/255</f>
        <v>#REF!</v>
      </c>
      <c r="AA4" s="23" t="e">
        <f t="shared" ref="AA4:AB8" si="2">X4/255</f>
        <v>#REF!</v>
      </c>
      <c r="AB4" s="23" t="e">
        <f t="shared" si="2"/>
        <v>#REF!</v>
      </c>
      <c r="AC4" s="23" t="e">
        <f>IF(GESTEP(Z4,0.04045),POWER(((Z4+0.055)/1.055),2.4),(Z4/12.92))</f>
        <v>#REF!</v>
      </c>
      <c r="AD4" s="23" t="e">
        <f t="shared" ref="AD4:AE8" si="3">IF(GESTEP(AA4,0.04045),POWER(((AA4+0.055)/1.055),2.4),(AA4/12.92))</f>
        <v>#REF!</v>
      </c>
      <c r="AE4" s="23" t="e">
        <f t="shared" si="3"/>
        <v>#REF!</v>
      </c>
      <c r="AF4" s="23" t="e">
        <f>0.2126*AC4+0.7152*AD4+0.0722*AE4</f>
        <v>#REF!</v>
      </c>
    </row>
    <row r="5" spans="1:35" s="25" customFormat="1" ht="15" x14ac:dyDescent="0.2">
      <c r="A5" s="24">
        <v>2</v>
      </c>
      <c r="B5" s="21" t="e">
        <f>+#REF!</f>
        <v>#REF!</v>
      </c>
      <c r="C5" s="22" t="e">
        <f>+B5*#REF!</f>
        <v>#REF!</v>
      </c>
      <c r="D5" s="21" t="e">
        <f>+#REF!</f>
        <v>#REF!</v>
      </c>
      <c r="E5" s="21" t="e">
        <f>+#REF!</f>
        <v>#REF!</v>
      </c>
      <c r="F5" s="21" t="e">
        <f>+#REF!</f>
        <v>#REF!</v>
      </c>
      <c r="G5" s="23" t="e">
        <f t="shared" ref="G5:I9" si="4">D5/255</f>
        <v>#REF!</v>
      </c>
      <c r="H5" s="23" t="e">
        <f>E5/255</f>
        <v>#REF!</v>
      </c>
      <c r="I5" s="23" t="e">
        <f>F5/255</f>
        <v>#REF!</v>
      </c>
      <c r="J5" s="23" t="e">
        <f t="shared" si="0"/>
        <v>#REF!</v>
      </c>
      <c r="K5" s="23" t="e">
        <f t="shared" si="0"/>
        <v>#REF!</v>
      </c>
      <c r="L5" s="23" t="e">
        <f t="shared" si="0"/>
        <v>#REF!</v>
      </c>
      <c r="M5" s="23" t="e">
        <f>0.2126*J5+0.7152*K5+0.0722*L5</f>
        <v>#REF!</v>
      </c>
      <c r="N5" s="23" t="e">
        <f t="shared" si="1"/>
        <v>#REF!</v>
      </c>
      <c r="O5" s="23" t="e">
        <f>IF(N5&gt;0,(C5/(10*N5)),"")</f>
        <v>#REF!</v>
      </c>
      <c r="V5" s="26" t="s">
        <v>13</v>
      </c>
      <c r="W5" s="27" t="e">
        <f>+#REF!</f>
        <v>#REF!</v>
      </c>
      <c r="X5" s="27" t="e">
        <f>+#REF!</f>
        <v>#REF!</v>
      </c>
      <c r="Y5" s="27" t="e">
        <f>+#REF!</f>
        <v>#REF!</v>
      </c>
      <c r="Z5" s="23" t="e">
        <f t="shared" ref="Z5:Z7" si="5">W5/255</f>
        <v>#REF!</v>
      </c>
      <c r="AA5" s="23" t="e">
        <f t="shared" si="2"/>
        <v>#REF!</v>
      </c>
      <c r="AB5" s="23" t="e">
        <f t="shared" si="2"/>
        <v>#REF!</v>
      </c>
      <c r="AC5" s="23" t="e">
        <f t="shared" ref="AC5:AC8" si="6">IF(GESTEP(Z5,0.04045),POWER(((Z5+0.055)/1.055),2.4),(Z5/12.92))</f>
        <v>#REF!</v>
      </c>
      <c r="AD5" s="23" t="e">
        <f t="shared" si="3"/>
        <v>#REF!</v>
      </c>
      <c r="AE5" s="23" t="e">
        <f t="shared" si="3"/>
        <v>#REF!</v>
      </c>
      <c r="AF5" s="23" t="e">
        <f t="shared" ref="AF5:AF8" si="7">0.2126*AC5+0.7152*AD5+0.0722*AE5</f>
        <v>#REF!</v>
      </c>
    </row>
    <row r="6" spans="1:35" s="25" customFormat="1" ht="15" x14ac:dyDescent="0.2">
      <c r="A6" s="24">
        <v>3</v>
      </c>
      <c r="B6" s="21" t="e">
        <f>+#REF!</f>
        <v>#REF!</v>
      </c>
      <c r="C6" s="22" t="e">
        <f>+B6*#REF!</f>
        <v>#REF!</v>
      </c>
      <c r="D6" s="21" t="e">
        <f>+#REF!</f>
        <v>#REF!</v>
      </c>
      <c r="E6" s="21" t="e">
        <f>+#REF!</f>
        <v>#REF!</v>
      </c>
      <c r="F6" s="21" t="e">
        <f>+#REF!</f>
        <v>#REF!</v>
      </c>
      <c r="G6" s="23" t="e">
        <f t="shared" si="4"/>
        <v>#REF!</v>
      </c>
      <c r="H6" s="23" t="e">
        <f t="shared" si="4"/>
        <v>#REF!</v>
      </c>
      <c r="I6" s="23" t="e">
        <f t="shared" si="4"/>
        <v>#REF!</v>
      </c>
      <c r="J6" s="23" t="e">
        <f t="shared" si="0"/>
        <v>#REF!</v>
      </c>
      <c r="K6" s="23" t="e">
        <f t="shared" si="0"/>
        <v>#REF!</v>
      </c>
      <c r="L6" s="23" t="e">
        <f t="shared" si="0"/>
        <v>#REF!</v>
      </c>
      <c r="M6" s="23" t="e">
        <f>0.2126*J6+0.7152*K6+0.0722*L6</f>
        <v>#REF!</v>
      </c>
      <c r="N6" s="23" t="e">
        <f t="shared" si="1"/>
        <v>#REF!</v>
      </c>
      <c r="O6" s="23" t="e">
        <f>IF(N6&gt;0,(C6/(10*N6)),"")</f>
        <v>#REF!</v>
      </c>
      <c r="V6" s="26" t="s">
        <v>14</v>
      </c>
      <c r="W6" s="27" t="e">
        <f>+#REF!</f>
        <v>#REF!</v>
      </c>
      <c r="X6" s="27" t="e">
        <f>+#REF!</f>
        <v>#REF!</v>
      </c>
      <c r="Y6" s="27" t="e">
        <f>+#REF!</f>
        <v>#REF!</v>
      </c>
      <c r="Z6" s="23" t="e">
        <f t="shared" si="5"/>
        <v>#REF!</v>
      </c>
      <c r="AA6" s="23" t="e">
        <f t="shared" si="2"/>
        <v>#REF!</v>
      </c>
      <c r="AB6" s="23" t="e">
        <f t="shared" si="2"/>
        <v>#REF!</v>
      </c>
      <c r="AC6" s="23" t="e">
        <f t="shared" si="6"/>
        <v>#REF!</v>
      </c>
      <c r="AD6" s="23" t="e">
        <f t="shared" si="3"/>
        <v>#REF!</v>
      </c>
      <c r="AE6" s="23" t="e">
        <f t="shared" si="3"/>
        <v>#REF!</v>
      </c>
      <c r="AF6" s="23" t="e">
        <f t="shared" si="7"/>
        <v>#REF!</v>
      </c>
    </row>
    <row r="7" spans="1:35" s="25" customFormat="1" ht="15" x14ac:dyDescent="0.2">
      <c r="A7" s="24">
        <v>4</v>
      </c>
      <c r="B7" s="21" t="e">
        <f>+#REF!</f>
        <v>#REF!</v>
      </c>
      <c r="C7" s="22" t="e">
        <f>+B7*#REF!</f>
        <v>#REF!</v>
      </c>
      <c r="D7" s="21" t="e">
        <f>+#REF!</f>
        <v>#REF!</v>
      </c>
      <c r="E7" s="21" t="e">
        <f>+#REF!</f>
        <v>#REF!</v>
      </c>
      <c r="F7" s="21" t="e">
        <f>+#REF!</f>
        <v>#REF!</v>
      </c>
      <c r="G7" s="23" t="e">
        <f t="shared" si="4"/>
        <v>#REF!</v>
      </c>
      <c r="H7" s="23" t="e">
        <f t="shared" si="4"/>
        <v>#REF!</v>
      </c>
      <c r="I7" s="23" t="e">
        <f t="shared" si="4"/>
        <v>#REF!</v>
      </c>
      <c r="J7" s="23" t="e">
        <f t="shared" si="0"/>
        <v>#REF!</v>
      </c>
      <c r="K7" s="23" t="e">
        <f t="shared" si="0"/>
        <v>#REF!</v>
      </c>
      <c r="L7" s="23" t="e">
        <f t="shared" si="0"/>
        <v>#REF!</v>
      </c>
      <c r="M7" s="23" t="e">
        <f t="shared" ref="M7:M9" si="8">0.2126*J7+0.7152*K7+0.0722*L7</f>
        <v>#REF!</v>
      </c>
      <c r="N7" s="23" t="e">
        <f t="shared" si="1"/>
        <v>#REF!</v>
      </c>
      <c r="O7" s="23" t="e">
        <f>IF(N7&gt;0,(C7/(10*N7)),"")</f>
        <v>#REF!</v>
      </c>
      <c r="V7" s="26" t="s">
        <v>15</v>
      </c>
      <c r="W7" s="27" t="e">
        <f>+#REF!</f>
        <v>#REF!</v>
      </c>
      <c r="X7" s="27" t="e">
        <f>+#REF!</f>
        <v>#REF!</v>
      </c>
      <c r="Y7" s="27" t="e">
        <f>+#REF!</f>
        <v>#REF!</v>
      </c>
      <c r="Z7" s="23" t="e">
        <f t="shared" si="5"/>
        <v>#REF!</v>
      </c>
      <c r="AA7" s="23" t="e">
        <f t="shared" si="2"/>
        <v>#REF!</v>
      </c>
      <c r="AB7" s="23" t="e">
        <f t="shared" si="2"/>
        <v>#REF!</v>
      </c>
      <c r="AC7" s="23" t="e">
        <f t="shared" si="6"/>
        <v>#REF!</v>
      </c>
      <c r="AD7" s="23" t="e">
        <f t="shared" si="3"/>
        <v>#REF!</v>
      </c>
      <c r="AE7" s="23" t="e">
        <f t="shared" si="3"/>
        <v>#REF!</v>
      </c>
      <c r="AF7" s="23" t="e">
        <f t="shared" si="7"/>
        <v>#REF!</v>
      </c>
    </row>
    <row r="8" spans="1:35" s="25" customFormat="1" thickBot="1" x14ac:dyDescent="0.25">
      <c r="A8" s="24">
        <v>5</v>
      </c>
      <c r="B8" s="21" t="e">
        <f>+#REF!</f>
        <v>#REF!</v>
      </c>
      <c r="C8" s="22" t="e">
        <f>+B8*#REF!</f>
        <v>#REF!</v>
      </c>
      <c r="D8" s="21" t="e">
        <f>+#REF!</f>
        <v>#REF!</v>
      </c>
      <c r="E8" s="21" t="e">
        <f>+#REF!</f>
        <v>#REF!</v>
      </c>
      <c r="F8" s="21" t="e">
        <f>+#REF!</f>
        <v>#REF!</v>
      </c>
      <c r="G8" s="23" t="e">
        <f t="shared" si="4"/>
        <v>#REF!</v>
      </c>
      <c r="H8" s="23" t="e">
        <f t="shared" si="4"/>
        <v>#REF!</v>
      </c>
      <c r="I8" s="23" t="e">
        <f t="shared" si="4"/>
        <v>#REF!</v>
      </c>
      <c r="J8" s="23" t="e">
        <f t="shared" si="0"/>
        <v>#REF!</v>
      </c>
      <c r="K8" s="23" t="e">
        <f t="shared" si="0"/>
        <v>#REF!</v>
      </c>
      <c r="L8" s="23" t="e">
        <f t="shared" si="0"/>
        <v>#REF!</v>
      </c>
      <c r="M8" s="23" t="e">
        <f t="shared" si="8"/>
        <v>#REF!</v>
      </c>
      <c r="N8" s="23" t="e">
        <f t="shared" si="1"/>
        <v>#REF!</v>
      </c>
      <c r="O8" s="23" t="e">
        <f>IF(N8&gt;0,(C8/(10*N8)),"")</f>
        <v>#REF!</v>
      </c>
      <c r="V8" s="26" t="s">
        <v>16</v>
      </c>
      <c r="W8" s="27" t="e">
        <f>+#REF!</f>
        <v>#REF!</v>
      </c>
      <c r="X8" s="27" t="e">
        <f>+#REF!</f>
        <v>#REF!</v>
      </c>
      <c r="Y8" s="27" t="e">
        <f>+#REF!</f>
        <v>#REF!</v>
      </c>
      <c r="Z8" s="23" t="e">
        <f>W8/255</f>
        <v>#REF!</v>
      </c>
      <c r="AA8" s="23" t="e">
        <f t="shared" si="2"/>
        <v>#REF!</v>
      </c>
      <c r="AB8" s="23" t="e">
        <f t="shared" si="2"/>
        <v>#REF!</v>
      </c>
      <c r="AC8" s="23" t="e">
        <f t="shared" si="6"/>
        <v>#REF!</v>
      </c>
      <c r="AD8" s="23" t="e">
        <f t="shared" si="3"/>
        <v>#REF!</v>
      </c>
      <c r="AE8" s="23" t="e">
        <f t="shared" si="3"/>
        <v>#REF!</v>
      </c>
      <c r="AF8" s="23" t="e">
        <f t="shared" si="7"/>
        <v>#REF!</v>
      </c>
    </row>
    <row r="9" spans="1:35" s="25" customFormat="1" thickBot="1" x14ac:dyDescent="0.25">
      <c r="A9" s="24">
        <v>6</v>
      </c>
      <c r="B9" s="21" t="e">
        <f>+#REF!</f>
        <v>#REF!</v>
      </c>
      <c r="C9" s="22" t="e">
        <f>+B9*#REF!</f>
        <v>#REF!</v>
      </c>
      <c r="D9" s="21" t="e">
        <f>+#REF!</f>
        <v>#REF!</v>
      </c>
      <c r="E9" s="21" t="e">
        <f>+#REF!</f>
        <v>#REF!</v>
      </c>
      <c r="F9" s="21" t="e">
        <f>+#REF!</f>
        <v>#REF!</v>
      </c>
      <c r="G9" s="23" t="e">
        <f t="shared" si="4"/>
        <v>#REF!</v>
      </c>
      <c r="H9" s="23" t="e">
        <f t="shared" si="4"/>
        <v>#REF!</v>
      </c>
      <c r="I9" s="23" t="e">
        <f t="shared" si="4"/>
        <v>#REF!</v>
      </c>
      <c r="J9" s="23" t="e">
        <f t="shared" si="0"/>
        <v>#REF!</v>
      </c>
      <c r="K9" s="23" t="e">
        <f t="shared" si="0"/>
        <v>#REF!</v>
      </c>
      <c r="L9" s="23" t="e">
        <f t="shared" si="0"/>
        <v>#REF!</v>
      </c>
      <c r="M9" s="23" t="e">
        <f t="shared" si="8"/>
        <v>#REF!</v>
      </c>
      <c r="N9" s="23" t="e">
        <f t="shared" si="1"/>
        <v>#REF!</v>
      </c>
      <c r="O9" s="23" t="e">
        <f t="shared" ref="O9" si="9">IF(N9&gt;0,(C9/(10*N9)),"")</f>
        <v>#REF!</v>
      </c>
      <c r="V9" s="26"/>
      <c r="W9" s="26"/>
      <c r="X9" s="26"/>
      <c r="Y9" s="26"/>
      <c r="Z9" s="26"/>
      <c r="AA9" s="26"/>
      <c r="AD9" s="209" t="s">
        <v>59</v>
      </c>
      <c r="AE9" s="210"/>
      <c r="AF9" s="139" t="e">
        <f>AVERAGE(AF4:AF8)</f>
        <v>#REF!</v>
      </c>
    </row>
    <row r="10" spans="1:35" ht="24" x14ac:dyDescent="0.3">
      <c r="N10" s="6" t="s">
        <v>17</v>
      </c>
      <c r="O10" s="29" t="e">
        <f>AVERAGE(O4:O9)</f>
        <v>#REF!</v>
      </c>
      <c r="V10" s="9"/>
      <c r="W10" s="9"/>
      <c r="X10" s="9"/>
      <c r="Y10" s="9"/>
      <c r="AA10" s="9"/>
      <c r="AE10" s="9"/>
      <c r="AH10" s="30" t="s">
        <v>22</v>
      </c>
      <c r="AI10" s="30">
        <v>0.38957692900000002</v>
      </c>
    </row>
    <row r="11" spans="1:35" ht="19" x14ac:dyDescent="0.25">
      <c r="AA11" s="9"/>
      <c r="AD11" s="211" t="s">
        <v>60</v>
      </c>
      <c r="AE11" s="211"/>
      <c r="AF11" s="31" t="e">
        <f>IF(AF9=0,0,$AI$10/AF9)</f>
        <v>#REF!</v>
      </c>
    </row>
    <row r="12" spans="1:35" s="8" customFormat="1" ht="24" x14ac:dyDescent="0.3">
      <c r="A12" s="151" t="e">
        <f>+#REF!</f>
        <v>#REF!</v>
      </c>
      <c r="B12" s="13" t="s">
        <v>64</v>
      </c>
      <c r="V12" s="7" t="e">
        <f>+A12</f>
        <v>#REF!</v>
      </c>
      <c r="W12" s="7" t="str">
        <f>+B12</f>
        <v>µl</v>
      </c>
    </row>
    <row r="14" spans="1:35" s="17" customFormat="1" ht="17" x14ac:dyDescent="0.2">
      <c r="A14" s="16" t="s">
        <v>61</v>
      </c>
      <c r="B14" s="16" t="s">
        <v>25</v>
      </c>
      <c r="C14" s="16" t="s">
        <v>62</v>
      </c>
      <c r="D14" s="16" t="s">
        <v>0</v>
      </c>
      <c r="E14" s="16" t="s">
        <v>1</v>
      </c>
      <c r="F14" s="16" t="s">
        <v>2</v>
      </c>
      <c r="G14" s="16" t="s">
        <v>3</v>
      </c>
      <c r="H14" s="16" t="s">
        <v>4</v>
      </c>
      <c r="I14" s="16" t="s">
        <v>5</v>
      </c>
      <c r="J14" s="16" t="s">
        <v>6</v>
      </c>
      <c r="K14" s="16" t="s">
        <v>7</v>
      </c>
      <c r="L14" s="16" t="s">
        <v>8</v>
      </c>
      <c r="M14" s="16" t="s">
        <v>26</v>
      </c>
      <c r="N14" s="16" t="s">
        <v>27</v>
      </c>
      <c r="O14" s="28" t="s">
        <v>63</v>
      </c>
      <c r="V14" s="18" t="s">
        <v>10</v>
      </c>
      <c r="W14" s="19" t="s">
        <v>0</v>
      </c>
      <c r="X14" s="20" t="s">
        <v>1</v>
      </c>
      <c r="Y14" s="20" t="s">
        <v>2</v>
      </c>
      <c r="Z14" s="16" t="s">
        <v>3</v>
      </c>
      <c r="AA14" s="16" t="s">
        <v>4</v>
      </c>
      <c r="AB14" s="16" t="s">
        <v>5</v>
      </c>
      <c r="AC14" s="20" t="s">
        <v>6</v>
      </c>
      <c r="AD14" s="20" t="s">
        <v>7</v>
      </c>
      <c r="AE14" s="20" t="s">
        <v>11</v>
      </c>
      <c r="AF14" s="20" t="s">
        <v>9</v>
      </c>
    </row>
    <row r="15" spans="1:35" s="25" customFormat="1" ht="15" x14ac:dyDescent="0.2">
      <c r="A15" s="24">
        <v>1</v>
      </c>
      <c r="B15" s="21" t="e">
        <f>+#REF!</f>
        <v>#REF!</v>
      </c>
      <c r="C15" s="22" t="e">
        <f>+'CALCULATION NEU'!B15*#REF!</f>
        <v>#REF!</v>
      </c>
      <c r="D15" s="21" t="e">
        <f>+#REF!</f>
        <v>#REF!</v>
      </c>
      <c r="E15" s="21" t="e">
        <f>+#REF!</f>
        <v>#REF!</v>
      </c>
      <c r="F15" s="21" t="e">
        <f>+#REF!</f>
        <v>#REF!</v>
      </c>
      <c r="G15" s="23" t="e">
        <f>D15/255</f>
        <v>#REF!</v>
      </c>
      <c r="H15" s="23" t="e">
        <f t="shared" ref="H15:I20" si="10">E15/255</f>
        <v>#REF!</v>
      </c>
      <c r="I15" s="23" t="e">
        <f t="shared" si="10"/>
        <v>#REF!</v>
      </c>
      <c r="J15" s="23" t="e">
        <f>IF(GESTEP(G15,0.04045),POWER(((G15+0.055)/1.055),2.4),(G15/12.92))</f>
        <v>#REF!</v>
      </c>
      <c r="K15" s="23" t="e">
        <f t="shared" ref="K15:L20" si="11">IF(GESTEP(H15,0.04045),POWER(((H15+0.055)/1.055),2.4),(H15/12.92))</f>
        <v>#REF!</v>
      </c>
      <c r="L15" s="23" t="e">
        <f t="shared" si="11"/>
        <v>#REF!</v>
      </c>
      <c r="M15" s="23" t="e">
        <f>0.2126*J15+0.7152*K15+0.0722*L15</f>
        <v>#REF!</v>
      </c>
      <c r="N15" s="23" t="e">
        <f t="shared" ref="N15:N20" si="12">M15*$AF$22</f>
        <v>#REF!</v>
      </c>
      <c r="O15" s="23" t="e">
        <f>IF(N15&gt;0,(C15/(10*N15)),"")</f>
        <v>#REF!</v>
      </c>
      <c r="V15" s="26" t="s">
        <v>12</v>
      </c>
      <c r="W15" s="27" t="e">
        <f>+#REF!</f>
        <v>#REF!</v>
      </c>
      <c r="X15" s="27" t="e">
        <f>+#REF!</f>
        <v>#REF!</v>
      </c>
      <c r="Y15" s="27" t="e">
        <f>+#REF!</f>
        <v>#REF!</v>
      </c>
      <c r="Z15" s="23" t="e">
        <f>W15/255</f>
        <v>#REF!</v>
      </c>
      <c r="AA15" s="23" t="e">
        <f t="shared" ref="AA15:AB19" si="13">X15/255</f>
        <v>#REF!</v>
      </c>
      <c r="AB15" s="23" t="e">
        <f t="shared" si="13"/>
        <v>#REF!</v>
      </c>
      <c r="AC15" s="23" t="e">
        <f>IF(GESTEP(Z15,0.04045),POWER(((Z15+0.055)/1.055),2.4),(Z15/12.92))</f>
        <v>#REF!</v>
      </c>
      <c r="AD15" s="23" t="e">
        <f t="shared" ref="AD15:AE19" si="14">IF(GESTEP(AA15,0.04045),POWER(((AA15+0.055)/1.055),2.4),(AA15/12.92))</f>
        <v>#REF!</v>
      </c>
      <c r="AE15" s="23" t="e">
        <f t="shared" si="14"/>
        <v>#REF!</v>
      </c>
      <c r="AF15" s="23" t="e">
        <f>0.2126*AC15+0.7152*AD15+0.0722*AE15</f>
        <v>#REF!</v>
      </c>
    </row>
    <row r="16" spans="1:35" s="25" customFormat="1" ht="15" x14ac:dyDescent="0.2">
      <c r="A16" s="24">
        <v>2</v>
      </c>
      <c r="B16" s="21" t="e">
        <f>+#REF!</f>
        <v>#REF!</v>
      </c>
      <c r="C16" s="22" t="e">
        <f>+'CALCULATION NEU'!B16*#REF!</f>
        <v>#REF!</v>
      </c>
      <c r="D16" s="21" t="e">
        <f>+#REF!</f>
        <v>#REF!</v>
      </c>
      <c r="E16" s="21" t="e">
        <f>+#REF!</f>
        <v>#REF!</v>
      </c>
      <c r="F16" s="21" t="e">
        <f>+#REF!</f>
        <v>#REF!</v>
      </c>
      <c r="G16" s="23" t="e">
        <f>D16/255</f>
        <v>#REF!</v>
      </c>
      <c r="H16" s="23" t="e">
        <f t="shared" si="10"/>
        <v>#REF!</v>
      </c>
      <c r="I16" s="23" t="e">
        <f t="shared" si="10"/>
        <v>#REF!</v>
      </c>
      <c r="J16" s="23" t="e">
        <f t="shared" ref="J16:J20" si="15">IF(GESTEP(G16,0.04045),POWER(((G16+0.055)/1.055),2.4),(G16/12.92))</f>
        <v>#REF!</v>
      </c>
      <c r="K16" s="23" t="e">
        <f t="shared" si="11"/>
        <v>#REF!</v>
      </c>
      <c r="L16" s="23" t="e">
        <f t="shared" si="11"/>
        <v>#REF!</v>
      </c>
      <c r="M16" s="23" t="e">
        <f t="shared" ref="M16:M20" si="16">0.2126*J16+0.7152*K16+0.0722*L16</f>
        <v>#REF!</v>
      </c>
      <c r="N16" s="23" t="e">
        <f t="shared" si="12"/>
        <v>#REF!</v>
      </c>
      <c r="O16" s="23" t="e">
        <f>IF(N16&gt;0,(C16/(10*N16)),"")</f>
        <v>#REF!</v>
      </c>
      <c r="V16" s="26" t="s">
        <v>13</v>
      </c>
      <c r="W16" s="27" t="e">
        <f>+#REF!</f>
        <v>#REF!</v>
      </c>
      <c r="X16" s="27" t="e">
        <f>+#REF!</f>
        <v>#REF!</v>
      </c>
      <c r="Y16" s="27" t="e">
        <f>+#REF!</f>
        <v>#REF!</v>
      </c>
      <c r="Z16" s="23" t="e">
        <f t="shared" ref="Z16:Z18" si="17">W16/255</f>
        <v>#REF!</v>
      </c>
      <c r="AA16" s="23" t="e">
        <f t="shared" si="13"/>
        <v>#REF!</v>
      </c>
      <c r="AB16" s="23" t="e">
        <f t="shared" si="13"/>
        <v>#REF!</v>
      </c>
      <c r="AC16" s="23" t="e">
        <f t="shared" ref="AC16:AC19" si="18">IF(GESTEP(Z16,0.04045),POWER(((Z16+0.055)/1.055),2.4),(Z16/12.92))</f>
        <v>#REF!</v>
      </c>
      <c r="AD16" s="23" t="e">
        <f t="shared" si="14"/>
        <v>#REF!</v>
      </c>
      <c r="AE16" s="23" t="e">
        <f t="shared" si="14"/>
        <v>#REF!</v>
      </c>
      <c r="AF16" s="23" t="e">
        <f t="shared" ref="AF16:AF19" si="19">0.2126*AC16+0.7152*AD16+0.0722*AE16</f>
        <v>#REF!</v>
      </c>
    </row>
    <row r="17" spans="1:32" s="25" customFormat="1" ht="15" x14ac:dyDescent="0.2">
      <c r="A17" s="24">
        <v>3</v>
      </c>
      <c r="B17" s="21" t="e">
        <f>+#REF!</f>
        <v>#REF!</v>
      </c>
      <c r="C17" s="22" t="e">
        <f>+'CALCULATION NEU'!B17*#REF!</f>
        <v>#REF!</v>
      </c>
      <c r="D17" s="21" t="e">
        <f>+#REF!</f>
        <v>#REF!</v>
      </c>
      <c r="E17" s="21" t="e">
        <f>+#REF!</f>
        <v>#REF!</v>
      </c>
      <c r="F17" s="21" t="e">
        <f>+#REF!</f>
        <v>#REF!</v>
      </c>
      <c r="G17" s="23" t="e">
        <f t="shared" ref="G17:G20" si="20">D17/255</f>
        <v>#REF!</v>
      </c>
      <c r="H17" s="23" t="e">
        <f t="shared" si="10"/>
        <v>#REF!</v>
      </c>
      <c r="I17" s="23" t="e">
        <f t="shared" si="10"/>
        <v>#REF!</v>
      </c>
      <c r="J17" s="23" t="e">
        <f>IF(GESTEP(G17,0.04045),POWER(((G17+0.055)/1.055),2.4),(G17/12.92))</f>
        <v>#REF!</v>
      </c>
      <c r="K17" s="23" t="e">
        <f t="shared" si="11"/>
        <v>#REF!</v>
      </c>
      <c r="L17" s="23" t="e">
        <f t="shared" si="11"/>
        <v>#REF!</v>
      </c>
      <c r="M17" s="23" t="e">
        <f t="shared" si="16"/>
        <v>#REF!</v>
      </c>
      <c r="N17" s="23" t="e">
        <f t="shared" si="12"/>
        <v>#REF!</v>
      </c>
      <c r="O17" s="23" t="e">
        <f t="shared" ref="O17:O20" si="21">IF(N17&gt;0,(C17/(10*N17)),"")</f>
        <v>#REF!</v>
      </c>
      <c r="V17" s="26" t="s">
        <v>14</v>
      </c>
      <c r="W17" s="27" t="e">
        <f>+#REF!</f>
        <v>#REF!</v>
      </c>
      <c r="X17" s="27" t="e">
        <f>+#REF!</f>
        <v>#REF!</v>
      </c>
      <c r="Y17" s="27" t="e">
        <f>+#REF!</f>
        <v>#REF!</v>
      </c>
      <c r="Z17" s="23" t="e">
        <f t="shared" si="17"/>
        <v>#REF!</v>
      </c>
      <c r="AA17" s="23" t="e">
        <f t="shared" si="13"/>
        <v>#REF!</v>
      </c>
      <c r="AB17" s="23" t="e">
        <f t="shared" si="13"/>
        <v>#REF!</v>
      </c>
      <c r="AC17" s="23" t="e">
        <f t="shared" si="18"/>
        <v>#REF!</v>
      </c>
      <c r="AD17" s="23" t="e">
        <f t="shared" si="14"/>
        <v>#REF!</v>
      </c>
      <c r="AE17" s="23" t="e">
        <f t="shared" si="14"/>
        <v>#REF!</v>
      </c>
      <c r="AF17" s="23" t="e">
        <f t="shared" si="19"/>
        <v>#REF!</v>
      </c>
    </row>
    <row r="18" spans="1:32" s="25" customFormat="1" ht="15" x14ac:dyDescent="0.2">
      <c r="A18" s="24">
        <v>4</v>
      </c>
      <c r="B18" s="21" t="e">
        <f>+#REF!</f>
        <v>#REF!</v>
      </c>
      <c r="C18" s="22" t="e">
        <f>+'CALCULATION NEU'!B18*#REF!</f>
        <v>#REF!</v>
      </c>
      <c r="D18" s="21" t="e">
        <f>+#REF!</f>
        <v>#REF!</v>
      </c>
      <c r="E18" s="21" t="e">
        <f>+#REF!</f>
        <v>#REF!</v>
      </c>
      <c r="F18" s="21" t="e">
        <f>+#REF!</f>
        <v>#REF!</v>
      </c>
      <c r="G18" s="23" t="e">
        <f t="shared" si="20"/>
        <v>#REF!</v>
      </c>
      <c r="H18" s="23" t="e">
        <f t="shared" si="10"/>
        <v>#REF!</v>
      </c>
      <c r="I18" s="23" t="e">
        <f t="shared" si="10"/>
        <v>#REF!</v>
      </c>
      <c r="J18" s="23" t="e">
        <f t="shared" si="15"/>
        <v>#REF!</v>
      </c>
      <c r="K18" s="23" t="e">
        <f t="shared" si="11"/>
        <v>#REF!</v>
      </c>
      <c r="L18" s="23" t="e">
        <f t="shared" si="11"/>
        <v>#REF!</v>
      </c>
      <c r="M18" s="23" t="e">
        <f t="shared" si="16"/>
        <v>#REF!</v>
      </c>
      <c r="N18" s="23" t="e">
        <f t="shared" si="12"/>
        <v>#REF!</v>
      </c>
      <c r="O18" s="23" t="e">
        <f>IF(N18&gt;0,(C18/(10*N18)),"")</f>
        <v>#REF!</v>
      </c>
      <c r="V18" s="26" t="s">
        <v>15</v>
      </c>
      <c r="W18" s="27" t="e">
        <f>+#REF!</f>
        <v>#REF!</v>
      </c>
      <c r="X18" s="27" t="e">
        <f>+#REF!</f>
        <v>#REF!</v>
      </c>
      <c r="Y18" s="27" t="e">
        <f>+#REF!</f>
        <v>#REF!</v>
      </c>
      <c r="Z18" s="23" t="e">
        <f t="shared" si="17"/>
        <v>#REF!</v>
      </c>
      <c r="AA18" s="23" t="e">
        <f t="shared" si="13"/>
        <v>#REF!</v>
      </c>
      <c r="AB18" s="23" t="e">
        <f t="shared" si="13"/>
        <v>#REF!</v>
      </c>
      <c r="AC18" s="23" t="e">
        <f t="shared" si="18"/>
        <v>#REF!</v>
      </c>
      <c r="AD18" s="23" t="e">
        <f t="shared" si="14"/>
        <v>#REF!</v>
      </c>
      <c r="AE18" s="23" t="e">
        <f t="shared" si="14"/>
        <v>#REF!</v>
      </c>
      <c r="AF18" s="23" t="e">
        <f t="shared" si="19"/>
        <v>#REF!</v>
      </c>
    </row>
    <row r="19" spans="1:32" s="25" customFormat="1" thickBot="1" x14ac:dyDescent="0.25">
      <c r="A19" s="24">
        <v>5</v>
      </c>
      <c r="B19" s="21" t="e">
        <f>+#REF!</f>
        <v>#REF!</v>
      </c>
      <c r="C19" s="22" t="e">
        <f>+'CALCULATION NEU'!B19*#REF!</f>
        <v>#REF!</v>
      </c>
      <c r="D19" s="21" t="e">
        <f>+#REF!</f>
        <v>#REF!</v>
      </c>
      <c r="E19" s="21" t="e">
        <f>+#REF!</f>
        <v>#REF!</v>
      </c>
      <c r="F19" s="21" t="e">
        <f>+#REF!</f>
        <v>#REF!</v>
      </c>
      <c r="G19" s="23" t="e">
        <f t="shared" si="20"/>
        <v>#REF!</v>
      </c>
      <c r="H19" s="23" t="e">
        <f t="shared" si="10"/>
        <v>#REF!</v>
      </c>
      <c r="I19" s="23" t="e">
        <f t="shared" si="10"/>
        <v>#REF!</v>
      </c>
      <c r="J19" s="23" t="e">
        <f t="shared" si="15"/>
        <v>#REF!</v>
      </c>
      <c r="K19" s="23" t="e">
        <f t="shared" si="11"/>
        <v>#REF!</v>
      </c>
      <c r="L19" s="23" t="e">
        <f t="shared" si="11"/>
        <v>#REF!</v>
      </c>
      <c r="M19" s="23" t="e">
        <f t="shared" si="16"/>
        <v>#REF!</v>
      </c>
      <c r="N19" s="23" t="e">
        <f t="shared" si="12"/>
        <v>#REF!</v>
      </c>
      <c r="O19" s="23" t="e">
        <f>IF(N19&gt;0,(C19/(10*N19)),"")</f>
        <v>#REF!</v>
      </c>
      <c r="V19" s="26" t="s">
        <v>16</v>
      </c>
      <c r="W19" s="27" t="e">
        <f>+#REF!</f>
        <v>#REF!</v>
      </c>
      <c r="X19" s="27" t="e">
        <f>+#REF!</f>
        <v>#REF!</v>
      </c>
      <c r="Y19" s="27" t="e">
        <f>+#REF!</f>
        <v>#REF!</v>
      </c>
      <c r="Z19" s="23" t="e">
        <f>W19/255</f>
        <v>#REF!</v>
      </c>
      <c r="AA19" s="23" t="e">
        <f t="shared" si="13"/>
        <v>#REF!</v>
      </c>
      <c r="AB19" s="23" t="e">
        <f t="shared" si="13"/>
        <v>#REF!</v>
      </c>
      <c r="AC19" s="23" t="e">
        <f t="shared" si="18"/>
        <v>#REF!</v>
      </c>
      <c r="AD19" s="23" t="e">
        <f t="shared" si="14"/>
        <v>#REF!</v>
      </c>
      <c r="AE19" s="23" t="e">
        <f t="shared" si="14"/>
        <v>#REF!</v>
      </c>
      <c r="AF19" s="23" t="e">
        <f t="shared" si="19"/>
        <v>#REF!</v>
      </c>
    </row>
    <row r="20" spans="1:32" s="25" customFormat="1" thickBot="1" x14ac:dyDescent="0.25">
      <c r="A20" s="24">
        <v>6</v>
      </c>
      <c r="B20" s="21" t="e">
        <f>+#REF!</f>
        <v>#REF!</v>
      </c>
      <c r="C20" s="22" t="e">
        <f>+'CALCULATION NEU'!B20*#REF!</f>
        <v>#REF!</v>
      </c>
      <c r="D20" s="21" t="e">
        <f>+#REF!</f>
        <v>#REF!</v>
      </c>
      <c r="E20" s="21" t="e">
        <f>+#REF!</f>
        <v>#REF!</v>
      </c>
      <c r="F20" s="21" t="e">
        <f>+#REF!</f>
        <v>#REF!</v>
      </c>
      <c r="G20" s="23" t="e">
        <f t="shared" si="20"/>
        <v>#REF!</v>
      </c>
      <c r="H20" s="23" t="e">
        <f t="shared" si="10"/>
        <v>#REF!</v>
      </c>
      <c r="I20" s="23" t="e">
        <f t="shared" si="10"/>
        <v>#REF!</v>
      </c>
      <c r="J20" s="23" t="e">
        <f t="shared" si="15"/>
        <v>#REF!</v>
      </c>
      <c r="K20" s="23" t="e">
        <f t="shared" si="11"/>
        <v>#REF!</v>
      </c>
      <c r="L20" s="23" t="e">
        <f t="shared" si="11"/>
        <v>#REF!</v>
      </c>
      <c r="M20" s="23" t="e">
        <f t="shared" si="16"/>
        <v>#REF!</v>
      </c>
      <c r="N20" s="23" t="e">
        <f t="shared" si="12"/>
        <v>#REF!</v>
      </c>
      <c r="O20" s="23" t="e">
        <f t="shared" si="21"/>
        <v>#REF!</v>
      </c>
      <c r="V20" s="26"/>
      <c r="W20" s="26"/>
      <c r="X20" s="26"/>
      <c r="Y20" s="26"/>
      <c r="Z20" s="26"/>
      <c r="AA20" s="26"/>
      <c r="AD20" s="209" t="s">
        <v>59</v>
      </c>
      <c r="AE20" s="210"/>
      <c r="AF20" s="139" t="e">
        <f>AVERAGE(AF15:AF19)</f>
        <v>#REF!</v>
      </c>
    </row>
    <row r="21" spans="1:32" ht="24" x14ac:dyDescent="0.3">
      <c r="N21" s="6" t="s">
        <v>17</v>
      </c>
      <c r="O21" s="29" t="e">
        <f>AVERAGE(O15:O20)</f>
        <v>#REF!</v>
      </c>
      <c r="V21" s="9"/>
      <c r="W21" s="9"/>
      <c r="X21" s="9"/>
      <c r="Y21" s="9"/>
      <c r="AA21" s="9"/>
      <c r="AE21" s="9"/>
    </row>
    <row r="22" spans="1:32" ht="19" x14ac:dyDescent="0.25">
      <c r="AA22" s="9"/>
      <c r="AD22" s="211" t="s">
        <v>60</v>
      </c>
      <c r="AE22" s="211"/>
      <c r="AF22" s="31" t="e">
        <f>IF(AF20=0,0,$AI$10/AF20)</f>
        <v>#REF!</v>
      </c>
    </row>
    <row r="23" spans="1:32" s="8" customFormat="1" ht="24" x14ac:dyDescent="0.3">
      <c r="A23" s="152" t="e">
        <f>+#REF!</f>
        <v>#REF!</v>
      </c>
      <c r="B23" s="13" t="s">
        <v>64</v>
      </c>
      <c r="V23" s="7" t="e">
        <f>+A23</f>
        <v>#REF!</v>
      </c>
      <c r="W23" s="7" t="str">
        <f>+B23</f>
        <v>µl</v>
      </c>
    </row>
    <row r="25" spans="1:32" s="17" customFormat="1" ht="17" x14ac:dyDescent="0.2">
      <c r="A25" s="16" t="s">
        <v>61</v>
      </c>
      <c r="B25" s="16" t="s">
        <v>25</v>
      </c>
      <c r="C25" s="16" t="s">
        <v>62</v>
      </c>
      <c r="D25" s="16" t="s">
        <v>0</v>
      </c>
      <c r="E25" s="16" t="s">
        <v>1</v>
      </c>
      <c r="F25" s="16" t="s">
        <v>2</v>
      </c>
      <c r="G25" s="16" t="s">
        <v>3</v>
      </c>
      <c r="H25" s="16" t="s">
        <v>4</v>
      </c>
      <c r="I25" s="16" t="s">
        <v>5</v>
      </c>
      <c r="J25" s="16" t="s">
        <v>6</v>
      </c>
      <c r="K25" s="16" t="s">
        <v>7</v>
      </c>
      <c r="L25" s="16" t="s">
        <v>8</v>
      </c>
      <c r="M25" s="16" t="s">
        <v>26</v>
      </c>
      <c r="N25" s="16" t="s">
        <v>27</v>
      </c>
      <c r="O25" s="28" t="s">
        <v>63</v>
      </c>
      <c r="V25" s="18" t="s">
        <v>10</v>
      </c>
      <c r="W25" s="19" t="s">
        <v>0</v>
      </c>
      <c r="X25" s="20" t="s">
        <v>1</v>
      </c>
      <c r="Y25" s="20" t="s">
        <v>2</v>
      </c>
      <c r="Z25" s="16" t="s">
        <v>3</v>
      </c>
      <c r="AA25" s="16" t="s">
        <v>4</v>
      </c>
      <c r="AB25" s="16" t="s">
        <v>5</v>
      </c>
      <c r="AC25" s="20" t="s">
        <v>6</v>
      </c>
      <c r="AD25" s="20" t="s">
        <v>7</v>
      </c>
      <c r="AE25" s="20" t="s">
        <v>11</v>
      </c>
      <c r="AF25" s="20" t="s">
        <v>9</v>
      </c>
    </row>
    <row r="26" spans="1:32" s="25" customFormat="1" ht="15" x14ac:dyDescent="0.2">
      <c r="A26" s="24">
        <v>1</v>
      </c>
      <c r="B26" s="21" t="e">
        <f>+#REF!</f>
        <v>#REF!</v>
      </c>
      <c r="C26" s="22" t="e">
        <f>+B26*#REF!</f>
        <v>#REF!</v>
      </c>
      <c r="D26" s="21" t="e">
        <f>+#REF!</f>
        <v>#REF!</v>
      </c>
      <c r="E26" s="21" t="e">
        <f>+#REF!</f>
        <v>#REF!</v>
      </c>
      <c r="F26" s="21" t="e">
        <f>+#REF!</f>
        <v>#REF!</v>
      </c>
      <c r="G26" s="23" t="e">
        <f>D26/255</f>
        <v>#REF!</v>
      </c>
      <c r="H26" s="23" t="e">
        <f t="shared" ref="H26:I31" si="22">E26/255</f>
        <v>#REF!</v>
      </c>
      <c r="I26" s="23" t="e">
        <f t="shared" si="22"/>
        <v>#REF!</v>
      </c>
      <c r="J26" s="23" t="e">
        <f>IF(GESTEP(G26,0.04045),POWER(((G26+0.055)/1.055),2.4),(G26/12.92))</f>
        <v>#REF!</v>
      </c>
      <c r="K26" s="23" t="e">
        <f t="shared" ref="K26:L31" si="23">IF(GESTEP(H26,0.04045),POWER(((H26+0.055)/1.055),2.4),(H26/12.92))</f>
        <v>#REF!</v>
      </c>
      <c r="L26" s="23" t="e">
        <f t="shared" si="23"/>
        <v>#REF!</v>
      </c>
      <c r="M26" s="23" t="e">
        <f>0.2126*J26+0.7152*K26+0.0722*L26</f>
        <v>#REF!</v>
      </c>
      <c r="N26" s="23" t="e">
        <f t="shared" ref="N26:N31" si="24">M26*$AF$33</f>
        <v>#REF!</v>
      </c>
      <c r="O26" s="23" t="e">
        <f>IF(N26&gt;0,(C26/(10*N26)),"")</f>
        <v>#REF!</v>
      </c>
      <c r="V26" s="26" t="s">
        <v>12</v>
      </c>
      <c r="W26" s="27" t="e">
        <f>+#REF!</f>
        <v>#REF!</v>
      </c>
      <c r="X26" s="27" t="e">
        <f>+#REF!</f>
        <v>#REF!</v>
      </c>
      <c r="Y26" s="27" t="e">
        <f>+#REF!</f>
        <v>#REF!</v>
      </c>
      <c r="Z26" s="23" t="e">
        <f>W26/255</f>
        <v>#REF!</v>
      </c>
      <c r="AA26" s="23" t="e">
        <f t="shared" ref="AA26:AB30" si="25">X26/255</f>
        <v>#REF!</v>
      </c>
      <c r="AB26" s="23" t="e">
        <f t="shared" si="25"/>
        <v>#REF!</v>
      </c>
      <c r="AC26" s="23" t="e">
        <f>IF(GESTEP(Z26,0.04045),POWER(((Z26+0.055)/1.055),2.4),(Z26/12.92))</f>
        <v>#REF!</v>
      </c>
      <c r="AD26" s="23" t="e">
        <f t="shared" ref="AD26:AE30" si="26">IF(GESTEP(AA26,0.04045),POWER(((AA26+0.055)/1.055),2.4),(AA26/12.92))</f>
        <v>#REF!</v>
      </c>
      <c r="AE26" s="23" t="e">
        <f t="shared" si="26"/>
        <v>#REF!</v>
      </c>
      <c r="AF26" s="23" t="e">
        <f>0.2126*AC26+0.7152*AD26+0.0722*AE26</f>
        <v>#REF!</v>
      </c>
    </row>
    <row r="27" spans="1:32" s="25" customFormat="1" ht="15" x14ac:dyDescent="0.2">
      <c r="A27" s="24">
        <v>2</v>
      </c>
      <c r="B27" s="21" t="e">
        <f>+#REF!</f>
        <v>#REF!</v>
      </c>
      <c r="C27" s="22" t="e">
        <f>+B27*#REF!</f>
        <v>#REF!</v>
      </c>
      <c r="D27" s="21" t="e">
        <f>+#REF!</f>
        <v>#REF!</v>
      </c>
      <c r="E27" s="21" t="e">
        <f>+#REF!</f>
        <v>#REF!</v>
      </c>
      <c r="F27" s="21" t="e">
        <f>+#REF!</f>
        <v>#REF!</v>
      </c>
      <c r="G27" s="23" t="e">
        <f t="shared" ref="G27:G31" si="27">D27/255</f>
        <v>#REF!</v>
      </c>
      <c r="H27" s="23" t="e">
        <f t="shared" si="22"/>
        <v>#REF!</v>
      </c>
      <c r="I27" s="23" t="e">
        <f t="shared" si="22"/>
        <v>#REF!</v>
      </c>
      <c r="J27" s="23" t="e">
        <f t="shared" ref="J27:J31" si="28">IF(GESTEP(G27,0.04045),POWER(((G27+0.055)/1.055),2.4),(G27/12.92))</f>
        <v>#REF!</v>
      </c>
      <c r="K27" s="23" t="e">
        <f t="shared" si="23"/>
        <v>#REF!</v>
      </c>
      <c r="L27" s="23" t="e">
        <f t="shared" si="23"/>
        <v>#REF!</v>
      </c>
      <c r="M27" s="23" t="e">
        <f t="shared" ref="M27:M31" si="29">0.2126*J27+0.7152*K27+0.0722*L27</f>
        <v>#REF!</v>
      </c>
      <c r="N27" s="23" t="e">
        <f t="shared" si="24"/>
        <v>#REF!</v>
      </c>
      <c r="O27" s="23" t="e">
        <f>IF(N27&gt;0,(C27/(10*N27)),"")</f>
        <v>#REF!</v>
      </c>
      <c r="V27" s="26" t="s">
        <v>13</v>
      </c>
      <c r="W27" s="27" t="e">
        <f>+#REF!</f>
        <v>#REF!</v>
      </c>
      <c r="X27" s="27" t="e">
        <f>+#REF!</f>
        <v>#REF!</v>
      </c>
      <c r="Y27" s="27" t="e">
        <f>+#REF!</f>
        <v>#REF!</v>
      </c>
      <c r="Z27" s="23" t="e">
        <f t="shared" ref="Z27:Z29" si="30">W27/255</f>
        <v>#REF!</v>
      </c>
      <c r="AA27" s="23" t="e">
        <f t="shared" si="25"/>
        <v>#REF!</v>
      </c>
      <c r="AB27" s="23" t="e">
        <f t="shared" si="25"/>
        <v>#REF!</v>
      </c>
      <c r="AC27" s="23" t="e">
        <f t="shared" ref="AC27:AC30" si="31">IF(GESTEP(Z27,0.04045),POWER(((Z27+0.055)/1.055),2.4),(Z27/12.92))</f>
        <v>#REF!</v>
      </c>
      <c r="AD27" s="23" t="e">
        <f t="shared" si="26"/>
        <v>#REF!</v>
      </c>
      <c r="AE27" s="23" t="e">
        <f t="shared" si="26"/>
        <v>#REF!</v>
      </c>
      <c r="AF27" s="23" t="e">
        <f t="shared" ref="AF27:AF30" si="32">0.2126*AC27+0.7152*AD27+0.0722*AE27</f>
        <v>#REF!</v>
      </c>
    </row>
    <row r="28" spans="1:32" s="25" customFormat="1" ht="15" x14ac:dyDescent="0.2">
      <c r="A28" s="24">
        <v>3</v>
      </c>
      <c r="B28" s="21" t="e">
        <f>+#REF!</f>
        <v>#REF!</v>
      </c>
      <c r="C28" s="22" t="e">
        <f>+B28*#REF!</f>
        <v>#REF!</v>
      </c>
      <c r="D28" s="21" t="e">
        <f>+#REF!</f>
        <v>#REF!</v>
      </c>
      <c r="E28" s="21" t="e">
        <f>+#REF!</f>
        <v>#REF!</v>
      </c>
      <c r="F28" s="21" t="e">
        <f>+#REF!</f>
        <v>#REF!</v>
      </c>
      <c r="G28" s="23" t="e">
        <f t="shared" si="27"/>
        <v>#REF!</v>
      </c>
      <c r="H28" s="23" t="e">
        <f t="shared" si="22"/>
        <v>#REF!</v>
      </c>
      <c r="I28" s="23" t="e">
        <f t="shared" si="22"/>
        <v>#REF!</v>
      </c>
      <c r="J28" s="23" t="e">
        <f t="shared" si="28"/>
        <v>#REF!</v>
      </c>
      <c r="K28" s="23" t="e">
        <f t="shared" si="23"/>
        <v>#REF!</v>
      </c>
      <c r="L28" s="23" t="e">
        <f t="shared" si="23"/>
        <v>#REF!</v>
      </c>
      <c r="M28" s="23" t="e">
        <f t="shared" si="29"/>
        <v>#REF!</v>
      </c>
      <c r="N28" s="23" t="e">
        <f t="shared" si="24"/>
        <v>#REF!</v>
      </c>
      <c r="O28" s="23" t="e">
        <f t="shared" ref="O28:O31" si="33">IF(N28&gt;0,(C28/(10*N28)),"")</f>
        <v>#REF!</v>
      </c>
      <c r="V28" s="26" t="s">
        <v>14</v>
      </c>
      <c r="W28" s="27" t="e">
        <f>+#REF!</f>
        <v>#REF!</v>
      </c>
      <c r="X28" s="27" t="e">
        <f>+#REF!</f>
        <v>#REF!</v>
      </c>
      <c r="Y28" s="27" t="e">
        <f>+#REF!</f>
        <v>#REF!</v>
      </c>
      <c r="Z28" s="23" t="e">
        <f t="shared" si="30"/>
        <v>#REF!</v>
      </c>
      <c r="AA28" s="23" t="e">
        <f t="shared" si="25"/>
        <v>#REF!</v>
      </c>
      <c r="AB28" s="23" t="e">
        <f t="shared" si="25"/>
        <v>#REF!</v>
      </c>
      <c r="AC28" s="23" t="e">
        <f t="shared" si="31"/>
        <v>#REF!</v>
      </c>
      <c r="AD28" s="23" t="e">
        <f t="shared" si="26"/>
        <v>#REF!</v>
      </c>
      <c r="AE28" s="23" t="e">
        <f t="shared" si="26"/>
        <v>#REF!</v>
      </c>
      <c r="AF28" s="23" t="e">
        <f t="shared" si="32"/>
        <v>#REF!</v>
      </c>
    </row>
    <row r="29" spans="1:32" s="25" customFormat="1" ht="15" x14ac:dyDescent="0.2">
      <c r="A29" s="24">
        <v>4</v>
      </c>
      <c r="B29" s="21" t="e">
        <f>+#REF!</f>
        <v>#REF!</v>
      </c>
      <c r="C29" s="22" t="e">
        <f>+B29*#REF!</f>
        <v>#REF!</v>
      </c>
      <c r="D29" s="21" t="e">
        <f>+#REF!</f>
        <v>#REF!</v>
      </c>
      <c r="E29" s="21" t="e">
        <f>+#REF!</f>
        <v>#REF!</v>
      </c>
      <c r="F29" s="21" t="e">
        <f>+#REF!</f>
        <v>#REF!</v>
      </c>
      <c r="G29" s="23" t="e">
        <f t="shared" si="27"/>
        <v>#REF!</v>
      </c>
      <c r="H29" s="23" t="e">
        <f t="shared" si="22"/>
        <v>#REF!</v>
      </c>
      <c r="I29" s="23" t="e">
        <f t="shared" si="22"/>
        <v>#REF!</v>
      </c>
      <c r="J29" s="23" t="e">
        <f t="shared" si="28"/>
        <v>#REF!</v>
      </c>
      <c r="K29" s="23" t="e">
        <f t="shared" si="23"/>
        <v>#REF!</v>
      </c>
      <c r="L29" s="23" t="e">
        <f t="shared" si="23"/>
        <v>#REF!</v>
      </c>
      <c r="M29" s="23" t="e">
        <f t="shared" si="29"/>
        <v>#REF!</v>
      </c>
      <c r="N29" s="23" t="e">
        <f t="shared" si="24"/>
        <v>#REF!</v>
      </c>
      <c r="O29" s="23" t="e">
        <f>IF(N29&gt;0,(C29/(10*N29)),"")</f>
        <v>#REF!</v>
      </c>
      <c r="V29" s="26" t="s">
        <v>15</v>
      </c>
      <c r="W29" s="27" t="e">
        <f>+#REF!</f>
        <v>#REF!</v>
      </c>
      <c r="X29" s="27" t="e">
        <f>+#REF!</f>
        <v>#REF!</v>
      </c>
      <c r="Y29" s="27" t="e">
        <f>+#REF!</f>
        <v>#REF!</v>
      </c>
      <c r="Z29" s="23" t="e">
        <f t="shared" si="30"/>
        <v>#REF!</v>
      </c>
      <c r="AA29" s="23" t="e">
        <f t="shared" si="25"/>
        <v>#REF!</v>
      </c>
      <c r="AB29" s="23" t="e">
        <f t="shared" si="25"/>
        <v>#REF!</v>
      </c>
      <c r="AC29" s="23" t="e">
        <f t="shared" si="31"/>
        <v>#REF!</v>
      </c>
      <c r="AD29" s="23" t="e">
        <f t="shared" si="26"/>
        <v>#REF!</v>
      </c>
      <c r="AE29" s="23" t="e">
        <f t="shared" si="26"/>
        <v>#REF!</v>
      </c>
      <c r="AF29" s="23" t="e">
        <f t="shared" si="32"/>
        <v>#REF!</v>
      </c>
    </row>
    <row r="30" spans="1:32" s="25" customFormat="1" thickBot="1" x14ac:dyDescent="0.25">
      <c r="A30" s="24">
        <v>5</v>
      </c>
      <c r="B30" s="21" t="e">
        <f>+#REF!</f>
        <v>#REF!</v>
      </c>
      <c r="C30" s="22" t="e">
        <f>+B30*#REF!</f>
        <v>#REF!</v>
      </c>
      <c r="D30" s="21" t="e">
        <f>+#REF!</f>
        <v>#REF!</v>
      </c>
      <c r="E30" s="21" t="e">
        <f>+#REF!</f>
        <v>#REF!</v>
      </c>
      <c r="F30" s="21" t="e">
        <f>+#REF!</f>
        <v>#REF!</v>
      </c>
      <c r="G30" s="23" t="e">
        <f t="shared" si="27"/>
        <v>#REF!</v>
      </c>
      <c r="H30" s="23" t="e">
        <f t="shared" si="22"/>
        <v>#REF!</v>
      </c>
      <c r="I30" s="23" t="e">
        <f t="shared" si="22"/>
        <v>#REF!</v>
      </c>
      <c r="J30" s="23" t="e">
        <f t="shared" si="28"/>
        <v>#REF!</v>
      </c>
      <c r="K30" s="23" t="e">
        <f t="shared" si="23"/>
        <v>#REF!</v>
      </c>
      <c r="L30" s="23" t="e">
        <f t="shared" si="23"/>
        <v>#REF!</v>
      </c>
      <c r="M30" s="23" t="e">
        <f t="shared" si="29"/>
        <v>#REF!</v>
      </c>
      <c r="N30" s="23" t="e">
        <f t="shared" si="24"/>
        <v>#REF!</v>
      </c>
      <c r="O30" s="23" t="e">
        <f t="shared" si="33"/>
        <v>#REF!</v>
      </c>
      <c r="V30" s="26" t="s">
        <v>16</v>
      </c>
      <c r="W30" s="27" t="e">
        <f>+#REF!</f>
        <v>#REF!</v>
      </c>
      <c r="X30" s="27" t="e">
        <f>+#REF!</f>
        <v>#REF!</v>
      </c>
      <c r="Y30" s="27" t="e">
        <f>+#REF!</f>
        <v>#REF!</v>
      </c>
      <c r="Z30" s="23" t="e">
        <f>W30/255</f>
        <v>#REF!</v>
      </c>
      <c r="AA30" s="23" t="e">
        <f t="shared" si="25"/>
        <v>#REF!</v>
      </c>
      <c r="AB30" s="23" t="e">
        <f t="shared" si="25"/>
        <v>#REF!</v>
      </c>
      <c r="AC30" s="23" t="e">
        <f t="shared" si="31"/>
        <v>#REF!</v>
      </c>
      <c r="AD30" s="23" t="e">
        <f t="shared" si="26"/>
        <v>#REF!</v>
      </c>
      <c r="AE30" s="23" t="e">
        <f t="shared" si="26"/>
        <v>#REF!</v>
      </c>
      <c r="AF30" s="23" t="e">
        <f t="shared" si="32"/>
        <v>#REF!</v>
      </c>
    </row>
    <row r="31" spans="1:32" s="25" customFormat="1" thickBot="1" x14ac:dyDescent="0.25">
      <c r="A31" s="24">
        <v>6</v>
      </c>
      <c r="B31" s="21" t="e">
        <f>+#REF!</f>
        <v>#REF!</v>
      </c>
      <c r="C31" s="22" t="e">
        <f>+B31*#REF!</f>
        <v>#REF!</v>
      </c>
      <c r="D31" s="21" t="e">
        <f>+#REF!</f>
        <v>#REF!</v>
      </c>
      <c r="E31" s="21" t="e">
        <f>+#REF!</f>
        <v>#REF!</v>
      </c>
      <c r="F31" s="21" t="e">
        <f>+#REF!</f>
        <v>#REF!</v>
      </c>
      <c r="G31" s="23" t="e">
        <f t="shared" si="27"/>
        <v>#REF!</v>
      </c>
      <c r="H31" s="23" t="e">
        <f t="shared" si="22"/>
        <v>#REF!</v>
      </c>
      <c r="I31" s="23" t="e">
        <f t="shared" si="22"/>
        <v>#REF!</v>
      </c>
      <c r="J31" s="23" t="e">
        <f t="shared" si="28"/>
        <v>#REF!</v>
      </c>
      <c r="K31" s="23" t="e">
        <f t="shared" si="23"/>
        <v>#REF!</v>
      </c>
      <c r="L31" s="23" t="e">
        <f t="shared" si="23"/>
        <v>#REF!</v>
      </c>
      <c r="M31" s="23" t="e">
        <f t="shared" si="29"/>
        <v>#REF!</v>
      </c>
      <c r="N31" s="23" t="e">
        <f t="shared" si="24"/>
        <v>#REF!</v>
      </c>
      <c r="O31" s="23" t="e">
        <f t="shared" si="33"/>
        <v>#REF!</v>
      </c>
      <c r="V31" s="26"/>
      <c r="W31" s="26"/>
      <c r="X31" s="26"/>
      <c r="Y31" s="26"/>
      <c r="Z31" s="26"/>
      <c r="AA31" s="26"/>
      <c r="AD31" s="209" t="s">
        <v>59</v>
      </c>
      <c r="AE31" s="210"/>
      <c r="AF31" s="139" t="e">
        <f>AVERAGE(AF26:AF30)</f>
        <v>#REF!</v>
      </c>
    </row>
    <row r="32" spans="1:32" ht="24" x14ac:dyDescent="0.3">
      <c r="N32" s="6" t="s">
        <v>17</v>
      </c>
      <c r="O32" s="29" t="e">
        <f>AVERAGE(O26:O31)</f>
        <v>#REF!</v>
      </c>
      <c r="V32" s="9"/>
      <c r="W32" s="9"/>
      <c r="X32" s="9"/>
      <c r="Y32" s="9"/>
      <c r="AA32" s="9"/>
      <c r="AE32" s="9"/>
    </row>
    <row r="33" spans="1:32" ht="19" x14ac:dyDescent="0.25">
      <c r="AA33" s="9"/>
      <c r="AD33" s="211" t="s">
        <v>60</v>
      </c>
      <c r="AE33" s="211"/>
      <c r="AF33" s="31" t="e">
        <f>IF(AF31=0,0,$AI$10/AF31)</f>
        <v>#REF!</v>
      </c>
    </row>
    <row r="34" spans="1:32" s="8" customFormat="1" ht="24" x14ac:dyDescent="0.3">
      <c r="A34" s="152" t="e">
        <f>+#REF!</f>
        <v>#REF!</v>
      </c>
      <c r="B34" s="13" t="s">
        <v>64</v>
      </c>
      <c r="V34" s="7" t="e">
        <f>+A34</f>
        <v>#REF!</v>
      </c>
      <c r="W34" s="7" t="str">
        <f>+B34</f>
        <v>µl</v>
      </c>
    </row>
    <row r="36" spans="1:32" s="17" customFormat="1" ht="17" x14ac:dyDescent="0.2">
      <c r="A36" s="16" t="s">
        <v>61</v>
      </c>
      <c r="B36" s="16" t="s">
        <v>25</v>
      </c>
      <c r="C36" s="16" t="s">
        <v>62</v>
      </c>
      <c r="D36" s="16" t="s">
        <v>0</v>
      </c>
      <c r="E36" s="16" t="s">
        <v>1</v>
      </c>
      <c r="F36" s="16" t="s">
        <v>2</v>
      </c>
      <c r="G36" s="16" t="s">
        <v>3</v>
      </c>
      <c r="H36" s="16" t="s">
        <v>4</v>
      </c>
      <c r="I36" s="16" t="s">
        <v>5</v>
      </c>
      <c r="J36" s="16" t="s">
        <v>6</v>
      </c>
      <c r="K36" s="16" t="s">
        <v>7</v>
      </c>
      <c r="L36" s="16" t="s">
        <v>8</v>
      </c>
      <c r="M36" s="16" t="s">
        <v>26</v>
      </c>
      <c r="N36" s="16" t="s">
        <v>27</v>
      </c>
      <c r="O36" s="28" t="s">
        <v>63</v>
      </c>
      <c r="V36" s="18" t="s">
        <v>10</v>
      </c>
      <c r="W36" s="19" t="s">
        <v>0</v>
      </c>
      <c r="X36" s="20" t="s">
        <v>1</v>
      </c>
      <c r="Y36" s="20" t="s">
        <v>2</v>
      </c>
      <c r="Z36" s="16" t="s">
        <v>3</v>
      </c>
      <c r="AA36" s="16" t="s">
        <v>4</v>
      </c>
      <c r="AB36" s="16" t="s">
        <v>5</v>
      </c>
      <c r="AC36" s="20" t="s">
        <v>6</v>
      </c>
      <c r="AD36" s="20" t="s">
        <v>7</v>
      </c>
      <c r="AE36" s="20" t="s">
        <v>11</v>
      </c>
      <c r="AF36" s="20" t="s">
        <v>9</v>
      </c>
    </row>
    <row r="37" spans="1:32" s="25" customFormat="1" ht="15" x14ac:dyDescent="0.2">
      <c r="A37" s="24">
        <v>1</v>
      </c>
      <c r="B37" s="22" t="e">
        <f>+#REF!</f>
        <v>#REF!</v>
      </c>
      <c r="C37" s="22" t="e">
        <f>+B37*#REF!</f>
        <v>#REF!</v>
      </c>
      <c r="D37" s="21" t="e">
        <f>+#REF!</f>
        <v>#REF!</v>
      </c>
      <c r="E37" s="21" t="e">
        <f>+#REF!</f>
        <v>#REF!</v>
      </c>
      <c r="F37" s="21" t="e">
        <f>+#REF!</f>
        <v>#REF!</v>
      </c>
      <c r="G37" s="23" t="e">
        <f>D37/255</f>
        <v>#REF!</v>
      </c>
      <c r="H37" s="23" t="e">
        <f t="shared" ref="H37:I42" si="34">E37/255</f>
        <v>#REF!</v>
      </c>
      <c r="I37" s="23" t="e">
        <f t="shared" si="34"/>
        <v>#REF!</v>
      </c>
      <c r="J37" s="23" t="e">
        <f>IF(GESTEP(G37,0.04045),POWER(((G37+0.055)/1.055),2.4),(G37/12.92))</f>
        <v>#REF!</v>
      </c>
      <c r="K37" s="23" t="e">
        <f t="shared" ref="K37:L42" si="35">IF(GESTEP(H37,0.04045),POWER(((H37+0.055)/1.055),2.4),(H37/12.92))</f>
        <v>#REF!</v>
      </c>
      <c r="L37" s="23" t="e">
        <f t="shared" si="35"/>
        <v>#REF!</v>
      </c>
      <c r="M37" s="23" t="e">
        <f>0.2126*J37+0.7152*K37+0.0722*L37</f>
        <v>#REF!</v>
      </c>
      <c r="N37" s="23" t="e">
        <f t="shared" ref="N37:N42" si="36">M37*$AF$44</f>
        <v>#REF!</v>
      </c>
      <c r="O37" s="23" t="e">
        <f>IF(N37&gt;0,(C37/(10*N37)),"")</f>
        <v>#REF!</v>
      </c>
      <c r="V37" s="26" t="s">
        <v>12</v>
      </c>
      <c r="W37" s="27" t="e">
        <f>+#REF!</f>
        <v>#REF!</v>
      </c>
      <c r="X37" s="27" t="e">
        <f>+#REF!</f>
        <v>#REF!</v>
      </c>
      <c r="Y37" s="27" t="e">
        <f>+#REF!</f>
        <v>#REF!</v>
      </c>
      <c r="Z37" s="23" t="e">
        <f>W37/255</f>
        <v>#REF!</v>
      </c>
      <c r="AA37" s="23" t="e">
        <f t="shared" ref="AA37:AB41" si="37">X37/255</f>
        <v>#REF!</v>
      </c>
      <c r="AB37" s="23" t="e">
        <f t="shared" si="37"/>
        <v>#REF!</v>
      </c>
      <c r="AC37" s="23" t="e">
        <f>IF(GESTEP(Z37,0.04045),POWER(((Z37+0.055)/1.055),2.4),(Z37/12.92))</f>
        <v>#REF!</v>
      </c>
      <c r="AD37" s="23" t="e">
        <f t="shared" ref="AD37:AE41" si="38">IF(GESTEP(AA37,0.04045),POWER(((AA37+0.055)/1.055),2.4),(AA37/12.92))</f>
        <v>#REF!</v>
      </c>
      <c r="AE37" s="23" t="e">
        <f t="shared" si="38"/>
        <v>#REF!</v>
      </c>
      <c r="AF37" s="23" t="e">
        <f>0.2126*AC37+0.7152*AD37+0.0722*AE37</f>
        <v>#REF!</v>
      </c>
    </row>
    <row r="38" spans="1:32" s="25" customFormat="1" ht="15" x14ac:dyDescent="0.2">
      <c r="A38" s="24">
        <v>2</v>
      </c>
      <c r="B38" s="22" t="e">
        <f>+#REF!</f>
        <v>#REF!</v>
      </c>
      <c r="C38" s="22" t="e">
        <f>+B38*#REF!</f>
        <v>#REF!</v>
      </c>
      <c r="D38" s="21" t="e">
        <f>+#REF!</f>
        <v>#REF!</v>
      </c>
      <c r="E38" s="21" t="e">
        <f>+#REF!</f>
        <v>#REF!</v>
      </c>
      <c r="F38" s="21" t="e">
        <f>+#REF!</f>
        <v>#REF!</v>
      </c>
      <c r="G38" s="23" t="e">
        <f t="shared" ref="G38:G42" si="39">D38/255</f>
        <v>#REF!</v>
      </c>
      <c r="H38" s="23" t="e">
        <f t="shared" si="34"/>
        <v>#REF!</v>
      </c>
      <c r="I38" s="23" t="e">
        <f t="shared" si="34"/>
        <v>#REF!</v>
      </c>
      <c r="J38" s="23" t="e">
        <f t="shared" ref="J38:J42" si="40">IF(GESTEP(G38,0.04045),POWER(((G38+0.055)/1.055),2.4),(G38/12.92))</f>
        <v>#REF!</v>
      </c>
      <c r="K38" s="23" t="e">
        <f t="shared" si="35"/>
        <v>#REF!</v>
      </c>
      <c r="L38" s="23" t="e">
        <f t="shared" si="35"/>
        <v>#REF!</v>
      </c>
      <c r="M38" s="23" t="e">
        <f t="shared" ref="M38:M42" si="41">0.2126*J38+0.7152*K38+0.0722*L38</f>
        <v>#REF!</v>
      </c>
      <c r="N38" s="23" t="e">
        <f t="shared" si="36"/>
        <v>#REF!</v>
      </c>
      <c r="O38" s="23" t="e">
        <f t="shared" ref="O38:O42" si="42">IF(N38&gt;0,(C38/(10*N38)),"")</f>
        <v>#REF!</v>
      </c>
      <c r="V38" s="26" t="s">
        <v>13</v>
      </c>
      <c r="W38" s="27" t="e">
        <f>+#REF!</f>
        <v>#REF!</v>
      </c>
      <c r="X38" s="27" t="e">
        <f>+#REF!</f>
        <v>#REF!</v>
      </c>
      <c r="Y38" s="27" t="e">
        <f>+#REF!</f>
        <v>#REF!</v>
      </c>
      <c r="Z38" s="23" t="e">
        <f t="shared" ref="Z38:Z40" si="43">W38/255</f>
        <v>#REF!</v>
      </c>
      <c r="AA38" s="23" t="e">
        <f t="shared" si="37"/>
        <v>#REF!</v>
      </c>
      <c r="AB38" s="23" t="e">
        <f t="shared" si="37"/>
        <v>#REF!</v>
      </c>
      <c r="AC38" s="23" t="e">
        <f t="shared" ref="AC38:AC41" si="44">IF(GESTEP(Z38,0.04045),POWER(((Z38+0.055)/1.055),2.4),(Z38/12.92))</f>
        <v>#REF!</v>
      </c>
      <c r="AD38" s="23" t="e">
        <f t="shared" si="38"/>
        <v>#REF!</v>
      </c>
      <c r="AE38" s="23" t="e">
        <f t="shared" si="38"/>
        <v>#REF!</v>
      </c>
      <c r="AF38" s="23" t="e">
        <f t="shared" ref="AF38:AF41" si="45">0.2126*AC38+0.7152*AD38+0.0722*AE38</f>
        <v>#REF!</v>
      </c>
    </row>
    <row r="39" spans="1:32" s="25" customFormat="1" ht="15" x14ac:dyDescent="0.2">
      <c r="A39" s="24">
        <v>3</v>
      </c>
      <c r="B39" s="22" t="e">
        <f>+#REF!</f>
        <v>#REF!</v>
      </c>
      <c r="C39" s="22" t="e">
        <f>+B39*#REF!</f>
        <v>#REF!</v>
      </c>
      <c r="D39" s="21" t="e">
        <f>+#REF!</f>
        <v>#REF!</v>
      </c>
      <c r="E39" s="21" t="e">
        <f>+#REF!</f>
        <v>#REF!</v>
      </c>
      <c r="F39" s="21" t="e">
        <f>+#REF!</f>
        <v>#REF!</v>
      </c>
      <c r="G39" s="23" t="e">
        <f t="shared" si="39"/>
        <v>#REF!</v>
      </c>
      <c r="H39" s="23" t="e">
        <f t="shared" si="34"/>
        <v>#REF!</v>
      </c>
      <c r="I39" s="23" t="e">
        <f t="shared" si="34"/>
        <v>#REF!</v>
      </c>
      <c r="J39" s="23" t="e">
        <f t="shared" si="40"/>
        <v>#REF!</v>
      </c>
      <c r="K39" s="23" t="e">
        <f t="shared" si="35"/>
        <v>#REF!</v>
      </c>
      <c r="L39" s="23" t="e">
        <f t="shared" si="35"/>
        <v>#REF!</v>
      </c>
      <c r="M39" s="23" t="e">
        <f t="shared" si="41"/>
        <v>#REF!</v>
      </c>
      <c r="N39" s="23" t="e">
        <f t="shared" si="36"/>
        <v>#REF!</v>
      </c>
      <c r="O39" s="23" t="e">
        <f>IF(N39&gt;0,(C39/(10*N39)),"")</f>
        <v>#REF!</v>
      </c>
      <c r="V39" s="26" t="s">
        <v>14</v>
      </c>
      <c r="W39" s="27" t="e">
        <f>+#REF!</f>
        <v>#REF!</v>
      </c>
      <c r="X39" s="27" t="e">
        <f>+#REF!</f>
        <v>#REF!</v>
      </c>
      <c r="Y39" s="27" t="e">
        <f>+#REF!</f>
        <v>#REF!</v>
      </c>
      <c r="Z39" s="23" t="e">
        <f t="shared" si="43"/>
        <v>#REF!</v>
      </c>
      <c r="AA39" s="23" t="e">
        <f t="shared" si="37"/>
        <v>#REF!</v>
      </c>
      <c r="AB39" s="23" t="e">
        <f t="shared" si="37"/>
        <v>#REF!</v>
      </c>
      <c r="AC39" s="23" t="e">
        <f t="shared" si="44"/>
        <v>#REF!</v>
      </c>
      <c r="AD39" s="23" t="e">
        <f t="shared" si="38"/>
        <v>#REF!</v>
      </c>
      <c r="AE39" s="23" t="e">
        <f t="shared" si="38"/>
        <v>#REF!</v>
      </c>
      <c r="AF39" s="23" t="e">
        <f t="shared" si="45"/>
        <v>#REF!</v>
      </c>
    </row>
    <row r="40" spans="1:32" s="25" customFormat="1" ht="15" x14ac:dyDescent="0.2">
      <c r="A40" s="24">
        <v>4</v>
      </c>
      <c r="B40" s="22" t="e">
        <f>+#REF!</f>
        <v>#REF!</v>
      </c>
      <c r="C40" s="22" t="e">
        <f>+B40*#REF!</f>
        <v>#REF!</v>
      </c>
      <c r="D40" s="21" t="e">
        <f>+#REF!</f>
        <v>#REF!</v>
      </c>
      <c r="E40" s="21" t="e">
        <f>+#REF!</f>
        <v>#REF!</v>
      </c>
      <c r="F40" s="21" t="e">
        <f>+#REF!</f>
        <v>#REF!</v>
      </c>
      <c r="G40" s="23" t="e">
        <f t="shared" si="39"/>
        <v>#REF!</v>
      </c>
      <c r="H40" s="23" t="e">
        <f t="shared" si="34"/>
        <v>#REF!</v>
      </c>
      <c r="I40" s="23" t="e">
        <f t="shared" si="34"/>
        <v>#REF!</v>
      </c>
      <c r="J40" s="23" t="e">
        <f t="shared" si="40"/>
        <v>#REF!</v>
      </c>
      <c r="K40" s="23" t="e">
        <f t="shared" si="35"/>
        <v>#REF!</v>
      </c>
      <c r="L40" s="23" t="e">
        <f t="shared" si="35"/>
        <v>#REF!</v>
      </c>
      <c r="M40" s="23" t="e">
        <f t="shared" si="41"/>
        <v>#REF!</v>
      </c>
      <c r="N40" s="23" t="e">
        <f t="shared" si="36"/>
        <v>#REF!</v>
      </c>
      <c r="O40" s="23" t="e">
        <f t="shared" si="42"/>
        <v>#REF!</v>
      </c>
      <c r="V40" s="26" t="s">
        <v>15</v>
      </c>
      <c r="W40" s="27" t="e">
        <f>+#REF!</f>
        <v>#REF!</v>
      </c>
      <c r="X40" s="27" t="e">
        <f>+#REF!</f>
        <v>#REF!</v>
      </c>
      <c r="Y40" s="27" t="e">
        <f>+#REF!</f>
        <v>#REF!</v>
      </c>
      <c r="Z40" s="23" t="e">
        <f t="shared" si="43"/>
        <v>#REF!</v>
      </c>
      <c r="AA40" s="23" t="e">
        <f t="shared" si="37"/>
        <v>#REF!</v>
      </c>
      <c r="AB40" s="23" t="e">
        <f t="shared" si="37"/>
        <v>#REF!</v>
      </c>
      <c r="AC40" s="23" t="e">
        <f t="shared" si="44"/>
        <v>#REF!</v>
      </c>
      <c r="AD40" s="23" t="e">
        <f t="shared" si="38"/>
        <v>#REF!</v>
      </c>
      <c r="AE40" s="23" t="e">
        <f t="shared" si="38"/>
        <v>#REF!</v>
      </c>
      <c r="AF40" s="23" t="e">
        <f t="shared" si="45"/>
        <v>#REF!</v>
      </c>
    </row>
    <row r="41" spans="1:32" s="25" customFormat="1" thickBot="1" x14ac:dyDescent="0.25">
      <c r="A41" s="24">
        <v>5</v>
      </c>
      <c r="B41" s="22" t="e">
        <f>+#REF!</f>
        <v>#REF!</v>
      </c>
      <c r="C41" s="22" t="e">
        <f>+B41*#REF!</f>
        <v>#REF!</v>
      </c>
      <c r="D41" s="21" t="e">
        <f>+#REF!</f>
        <v>#REF!</v>
      </c>
      <c r="E41" s="21" t="e">
        <f>+#REF!</f>
        <v>#REF!</v>
      </c>
      <c r="F41" s="21" t="e">
        <f>+#REF!</f>
        <v>#REF!</v>
      </c>
      <c r="G41" s="23" t="e">
        <f t="shared" si="39"/>
        <v>#REF!</v>
      </c>
      <c r="H41" s="23" t="e">
        <f t="shared" si="34"/>
        <v>#REF!</v>
      </c>
      <c r="I41" s="23" t="e">
        <f t="shared" si="34"/>
        <v>#REF!</v>
      </c>
      <c r="J41" s="23" t="e">
        <f t="shared" si="40"/>
        <v>#REF!</v>
      </c>
      <c r="K41" s="23" t="e">
        <f t="shared" si="35"/>
        <v>#REF!</v>
      </c>
      <c r="L41" s="23" t="e">
        <f t="shared" si="35"/>
        <v>#REF!</v>
      </c>
      <c r="M41" s="23" t="e">
        <f t="shared" si="41"/>
        <v>#REF!</v>
      </c>
      <c r="N41" s="23" t="e">
        <f t="shared" si="36"/>
        <v>#REF!</v>
      </c>
      <c r="O41" s="23" t="e">
        <f>IF(N41&gt;0,(C41/(10*N41)),"")</f>
        <v>#REF!</v>
      </c>
      <c r="V41" s="26" t="s">
        <v>16</v>
      </c>
      <c r="W41" s="27" t="e">
        <f>+#REF!</f>
        <v>#REF!</v>
      </c>
      <c r="X41" s="27" t="e">
        <f>+#REF!</f>
        <v>#REF!</v>
      </c>
      <c r="Y41" s="27" t="e">
        <f>+#REF!</f>
        <v>#REF!</v>
      </c>
      <c r="Z41" s="23" t="e">
        <f>W41/255</f>
        <v>#REF!</v>
      </c>
      <c r="AA41" s="23" t="e">
        <f t="shared" si="37"/>
        <v>#REF!</v>
      </c>
      <c r="AB41" s="23" t="e">
        <f t="shared" si="37"/>
        <v>#REF!</v>
      </c>
      <c r="AC41" s="23" t="e">
        <f t="shared" si="44"/>
        <v>#REF!</v>
      </c>
      <c r="AD41" s="23" t="e">
        <f t="shared" si="38"/>
        <v>#REF!</v>
      </c>
      <c r="AE41" s="23" t="e">
        <f t="shared" si="38"/>
        <v>#REF!</v>
      </c>
      <c r="AF41" s="23" t="e">
        <f t="shared" si="45"/>
        <v>#REF!</v>
      </c>
    </row>
    <row r="42" spans="1:32" s="25" customFormat="1" thickBot="1" x14ac:dyDescent="0.25">
      <c r="A42" s="24">
        <v>6</v>
      </c>
      <c r="B42" s="22" t="e">
        <f>+#REF!</f>
        <v>#REF!</v>
      </c>
      <c r="C42" s="22" t="e">
        <f>+B42*#REF!</f>
        <v>#REF!</v>
      </c>
      <c r="D42" s="21" t="e">
        <f>+#REF!</f>
        <v>#REF!</v>
      </c>
      <c r="E42" s="21" t="e">
        <f>+#REF!</f>
        <v>#REF!</v>
      </c>
      <c r="F42" s="21" t="e">
        <f>+#REF!</f>
        <v>#REF!</v>
      </c>
      <c r="G42" s="23" t="e">
        <f t="shared" si="39"/>
        <v>#REF!</v>
      </c>
      <c r="H42" s="23" t="e">
        <f t="shared" si="34"/>
        <v>#REF!</v>
      </c>
      <c r="I42" s="23" t="e">
        <f t="shared" si="34"/>
        <v>#REF!</v>
      </c>
      <c r="J42" s="23" t="e">
        <f t="shared" si="40"/>
        <v>#REF!</v>
      </c>
      <c r="K42" s="23" t="e">
        <f t="shared" si="35"/>
        <v>#REF!</v>
      </c>
      <c r="L42" s="23" t="e">
        <f t="shared" si="35"/>
        <v>#REF!</v>
      </c>
      <c r="M42" s="23" t="e">
        <f t="shared" si="41"/>
        <v>#REF!</v>
      </c>
      <c r="N42" s="23" t="e">
        <f t="shared" si="36"/>
        <v>#REF!</v>
      </c>
      <c r="O42" s="23" t="e">
        <f t="shared" si="42"/>
        <v>#REF!</v>
      </c>
      <c r="V42" s="26"/>
      <c r="W42" s="26"/>
      <c r="X42" s="26"/>
      <c r="Y42" s="26"/>
      <c r="Z42" s="26"/>
      <c r="AA42" s="26"/>
      <c r="AD42" s="209" t="s">
        <v>59</v>
      </c>
      <c r="AE42" s="210"/>
      <c r="AF42" s="139" t="e">
        <f>AVERAGE(AF37:AF41)</f>
        <v>#REF!</v>
      </c>
    </row>
    <row r="43" spans="1:32" ht="24" x14ac:dyDescent="0.3">
      <c r="N43" s="6" t="s">
        <v>17</v>
      </c>
      <c r="O43" s="29" t="e">
        <f>AVERAGE(O37:O42)</f>
        <v>#REF!</v>
      </c>
      <c r="V43" s="9"/>
      <c r="W43" s="9"/>
      <c r="X43" s="9"/>
      <c r="Y43" s="9"/>
      <c r="AA43" s="9"/>
      <c r="AE43" s="9"/>
    </row>
    <row r="44" spans="1:32" ht="19" x14ac:dyDescent="0.25">
      <c r="AA44" s="9"/>
      <c r="AD44" s="211" t="s">
        <v>60</v>
      </c>
      <c r="AE44" s="211"/>
      <c r="AF44" s="31" t="e">
        <f>IF(AF42=0,0,$AI$10/AF42)</f>
        <v>#REF!</v>
      </c>
    </row>
    <row r="45" spans="1:32" s="8" customFormat="1" ht="24" x14ac:dyDescent="0.3">
      <c r="A45" s="152" t="e">
        <f>+#REF!</f>
        <v>#REF!</v>
      </c>
      <c r="B45" s="13" t="s">
        <v>64</v>
      </c>
      <c r="V45" s="7" t="e">
        <f>+A45</f>
        <v>#REF!</v>
      </c>
      <c r="W45" s="7" t="str">
        <f>+B45</f>
        <v>µl</v>
      </c>
      <c r="AA45" s="10"/>
      <c r="AD45" s="10"/>
      <c r="AF45" s="11"/>
    </row>
    <row r="47" spans="1:32" s="17" customFormat="1" ht="17" x14ac:dyDescent="0.2">
      <c r="A47" s="16" t="s">
        <v>61</v>
      </c>
      <c r="B47" s="16" t="s">
        <v>25</v>
      </c>
      <c r="C47" s="16" t="s">
        <v>62</v>
      </c>
      <c r="D47" s="16" t="s">
        <v>0</v>
      </c>
      <c r="E47" s="16" t="s">
        <v>1</v>
      </c>
      <c r="F47" s="16" t="s">
        <v>2</v>
      </c>
      <c r="G47" s="16" t="s">
        <v>3</v>
      </c>
      <c r="H47" s="16" t="s">
        <v>4</v>
      </c>
      <c r="I47" s="16" t="s">
        <v>5</v>
      </c>
      <c r="J47" s="16" t="s">
        <v>6</v>
      </c>
      <c r="K47" s="16" t="s">
        <v>7</v>
      </c>
      <c r="L47" s="16" t="s">
        <v>8</v>
      </c>
      <c r="M47" s="16" t="s">
        <v>26</v>
      </c>
      <c r="N47" s="16" t="s">
        <v>27</v>
      </c>
      <c r="O47" s="28" t="s">
        <v>63</v>
      </c>
      <c r="V47" s="18" t="s">
        <v>10</v>
      </c>
      <c r="W47" s="19" t="s">
        <v>0</v>
      </c>
      <c r="X47" s="20" t="s">
        <v>1</v>
      </c>
      <c r="Y47" s="20" t="s">
        <v>2</v>
      </c>
      <c r="Z47" s="16" t="s">
        <v>3</v>
      </c>
      <c r="AA47" s="16" t="s">
        <v>4</v>
      </c>
      <c r="AB47" s="16" t="s">
        <v>5</v>
      </c>
      <c r="AC47" s="20" t="s">
        <v>6</v>
      </c>
      <c r="AD47" s="20" t="s">
        <v>7</v>
      </c>
      <c r="AE47" s="20" t="s">
        <v>11</v>
      </c>
      <c r="AF47" s="20" t="s">
        <v>9</v>
      </c>
    </row>
    <row r="48" spans="1:32" s="25" customFormat="1" ht="15" x14ac:dyDescent="0.2">
      <c r="A48" s="24">
        <v>1</v>
      </c>
      <c r="B48" s="22" t="e">
        <f>+#REF!</f>
        <v>#REF!</v>
      </c>
      <c r="C48" s="22" t="e">
        <f>+B48*#REF!</f>
        <v>#REF!</v>
      </c>
      <c r="D48" s="21" t="e">
        <f>+#REF!</f>
        <v>#REF!</v>
      </c>
      <c r="E48" s="21" t="e">
        <f>+#REF!</f>
        <v>#REF!</v>
      </c>
      <c r="F48" s="21" t="e">
        <f>+#REF!</f>
        <v>#REF!</v>
      </c>
      <c r="G48" s="23" t="e">
        <f>D48/255</f>
        <v>#REF!</v>
      </c>
      <c r="H48" s="23" t="e">
        <f t="shared" ref="H48:I53" si="46">E48/255</f>
        <v>#REF!</v>
      </c>
      <c r="I48" s="23" t="e">
        <f t="shared" si="46"/>
        <v>#REF!</v>
      </c>
      <c r="J48" s="23" t="e">
        <f>IF(GESTEP(G48,0.04045),POWER(((G48+0.055)/1.055),2.4),(G48/12.92))</f>
        <v>#REF!</v>
      </c>
      <c r="K48" s="23" t="e">
        <f t="shared" ref="K48:L53" si="47">IF(GESTEP(H48,0.04045),POWER(((H48+0.055)/1.055),2.4),(H48/12.92))</f>
        <v>#REF!</v>
      </c>
      <c r="L48" s="23" t="e">
        <f t="shared" si="47"/>
        <v>#REF!</v>
      </c>
      <c r="M48" s="23" t="e">
        <f>0.2126*J48+0.7152*K48+0.0722*L48</f>
        <v>#REF!</v>
      </c>
      <c r="N48" s="23" t="e">
        <f t="shared" ref="N48:N53" si="48">M48*$AF$55</f>
        <v>#REF!</v>
      </c>
      <c r="O48" s="23" t="e">
        <f>IF(N48&gt;0,(C48/(10*N48)),"")</f>
        <v>#REF!</v>
      </c>
      <c r="V48" s="26" t="s">
        <v>12</v>
      </c>
      <c r="W48" s="27" t="e">
        <f>+#REF!</f>
        <v>#REF!</v>
      </c>
      <c r="X48" s="27" t="e">
        <f>+#REF!</f>
        <v>#REF!</v>
      </c>
      <c r="Y48" s="27" t="e">
        <f>+#REF!</f>
        <v>#REF!</v>
      </c>
      <c r="Z48" s="23" t="e">
        <f>W48/255</f>
        <v>#REF!</v>
      </c>
      <c r="AA48" s="23" t="e">
        <f t="shared" ref="AA48:AB52" si="49">X48/255</f>
        <v>#REF!</v>
      </c>
      <c r="AB48" s="23" t="e">
        <f t="shared" si="49"/>
        <v>#REF!</v>
      </c>
      <c r="AC48" s="23" t="e">
        <f>IF(GESTEP(Z48,0.04045),POWER(((Z48+0.055)/1.055),2.4),(Z48/12.92))</f>
        <v>#REF!</v>
      </c>
      <c r="AD48" s="23" t="e">
        <f t="shared" ref="AD48:AE52" si="50">IF(GESTEP(AA48,0.04045),POWER(((AA48+0.055)/1.055),2.4),(AA48/12.92))</f>
        <v>#REF!</v>
      </c>
      <c r="AE48" s="23" t="e">
        <f t="shared" si="50"/>
        <v>#REF!</v>
      </c>
      <c r="AF48" s="23" t="e">
        <f>0.2126*AC48+0.7152*AD48+0.0722*AE48</f>
        <v>#REF!</v>
      </c>
    </row>
    <row r="49" spans="1:32" s="25" customFormat="1" ht="15" x14ac:dyDescent="0.2">
      <c r="A49" s="24">
        <v>2</v>
      </c>
      <c r="B49" s="22" t="e">
        <f>+#REF!</f>
        <v>#REF!</v>
      </c>
      <c r="C49" s="22" t="e">
        <f>+B49*#REF!</f>
        <v>#REF!</v>
      </c>
      <c r="D49" s="21" t="e">
        <f>+#REF!</f>
        <v>#REF!</v>
      </c>
      <c r="E49" s="21" t="e">
        <f>+#REF!</f>
        <v>#REF!</v>
      </c>
      <c r="F49" s="21" t="e">
        <f>+#REF!</f>
        <v>#REF!</v>
      </c>
      <c r="G49" s="23" t="e">
        <f t="shared" ref="G49:G53" si="51">D49/255</f>
        <v>#REF!</v>
      </c>
      <c r="H49" s="23" t="e">
        <f t="shared" si="46"/>
        <v>#REF!</v>
      </c>
      <c r="I49" s="23" t="e">
        <f t="shared" si="46"/>
        <v>#REF!</v>
      </c>
      <c r="J49" s="23" t="e">
        <f t="shared" ref="J49:J53" si="52">IF(GESTEP(G49,0.04045),POWER(((G49+0.055)/1.055),2.4),(G49/12.92))</f>
        <v>#REF!</v>
      </c>
      <c r="K49" s="23" t="e">
        <f t="shared" si="47"/>
        <v>#REF!</v>
      </c>
      <c r="L49" s="23" t="e">
        <f t="shared" si="47"/>
        <v>#REF!</v>
      </c>
      <c r="M49" s="23" t="e">
        <f t="shared" ref="M49:M53" si="53">0.2126*J49+0.7152*K49+0.0722*L49</f>
        <v>#REF!</v>
      </c>
      <c r="N49" s="23" t="e">
        <f t="shared" si="48"/>
        <v>#REF!</v>
      </c>
      <c r="O49" s="23" t="e">
        <f>IF(N49&gt;0,(C49/(10*N49)),"")</f>
        <v>#REF!</v>
      </c>
      <c r="V49" s="26" t="s">
        <v>13</v>
      </c>
      <c r="W49" s="27" t="e">
        <f>+#REF!</f>
        <v>#REF!</v>
      </c>
      <c r="X49" s="27" t="e">
        <f>+#REF!</f>
        <v>#REF!</v>
      </c>
      <c r="Y49" s="27" t="e">
        <f>+#REF!</f>
        <v>#REF!</v>
      </c>
      <c r="Z49" s="23" t="e">
        <f t="shared" ref="Z49:Z51" si="54">W49/255</f>
        <v>#REF!</v>
      </c>
      <c r="AA49" s="23" t="e">
        <f t="shared" si="49"/>
        <v>#REF!</v>
      </c>
      <c r="AB49" s="23" t="e">
        <f t="shared" si="49"/>
        <v>#REF!</v>
      </c>
      <c r="AC49" s="23" t="e">
        <f t="shared" ref="AC49:AC52" si="55">IF(GESTEP(Z49,0.04045),POWER(((Z49+0.055)/1.055),2.4),(Z49/12.92))</f>
        <v>#REF!</v>
      </c>
      <c r="AD49" s="23" t="e">
        <f t="shared" si="50"/>
        <v>#REF!</v>
      </c>
      <c r="AE49" s="23" t="e">
        <f t="shared" si="50"/>
        <v>#REF!</v>
      </c>
      <c r="AF49" s="23" t="e">
        <f t="shared" ref="AF49:AF52" si="56">0.2126*AC49+0.7152*AD49+0.0722*AE49</f>
        <v>#REF!</v>
      </c>
    </row>
    <row r="50" spans="1:32" s="25" customFormat="1" ht="15" x14ac:dyDescent="0.2">
      <c r="A50" s="24">
        <v>3</v>
      </c>
      <c r="B50" s="22" t="e">
        <f>+#REF!</f>
        <v>#REF!</v>
      </c>
      <c r="C50" s="22" t="e">
        <f>+B50*#REF!</f>
        <v>#REF!</v>
      </c>
      <c r="D50" s="21" t="e">
        <f>+#REF!</f>
        <v>#REF!</v>
      </c>
      <c r="E50" s="21" t="e">
        <f>+#REF!</f>
        <v>#REF!</v>
      </c>
      <c r="F50" s="21" t="e">
        <f>+#REF!</f>
        <v>#REF!</v>
      </c>
      <c r="G50" s="23" t="e">
        <f t="shared" si="51"/>
        <v>#REF!</v>
      </c>
      <c r="H50" s="23" t="e">
        <f t="shared" si="46"/>
        <v>#REF!</v>
      </c>
      <c r="I50" s="23" t="e">
        <f t="shared" si="46"/>
        <v>#REF!</v>
      </c>
      <c r="J50" s="23" t="e">
        <f t="shared" si="52"/>
        <v>#REF!</v>
      </c>
      <c r="K50" s="23" t="e">
        <f t="shared" si="47"/>
        <v>#REF!</v>
      </c>
      <c r="L50" s="23" t="e">
        <f t="shared" si="47"/>
        <v>#REF!</v>
      </c>
      <c r="M50" s="23" t="e">
        <f t="shared" si="53"/>
        <v>#REF!</v>
      </c>
      <c r="N50" s="23" t="e">
        <f t="shared" si="48"/>
        <v>#REF!</v>
      </c>
      <c r="O50" s="23" t="e">
        <f>IF(N50&gt;0,(C50/(10*N50)),"")</f>
        <v>#REF!</v>
      </c>
      <c r="V50" s="26" t="s">
        <v>14</v>
      </c>
      <c r="W50" s="27" t="e">
        <f>+#REF!</f>
        <v>#REF!</v>
      </c>
      <c r="X50" s="27" t="e">
        <f>+#REF!</f>
        <v>#REF!</v>
      </c>
      <c r="Y50" s="27" t="e">
        <f>+#REF!</f>
        <v>#REF!</v>
      </c>
      <c r="Z50" s="23" t="e">
        <f t="shared" si="54"/>
        <v>#REF!</v>
      </c>
      <c r="AA50" s="23" t="e">
        <f t="shared" si="49"/>
        <v>#REF!</v>
      </c>
      <c r="AB50" s="23" t="e">
        <f t="shared" si="49"/>
        <v>#REF!</v>
      </c>
      <c r="AC50" s="23" t="e">
        <f t="shared" si="55"/>
        <v>#REF!</v>
      </c>
      <c r="AD50" s="23" t="e">
        <f t="shared" si="50"/>
        <v>#REF!</v>
      </c>
      <c r="AE50" s="23" t="e">
        <f t="shared" si="50"/>
        <v>#REF!</v>
      </c>
      <c r="AF50" s="23" t="e">
        <f t="shared" si="56"/>
        <v>#REF!</v>
      </c>
    </row>
    <row r="51" spans="1:32" s="25" customFormat="1" ht="15" x14ac:dyDescent="0.2">
      <c r="A51" s="24">
        <v>4</v>
      </c>
      <c r="B51" s="22" t="e">
        <f>+#REF!</f>
        <v>#REF!</v>
      </c>
      <c r="C51" s="22" t="e">
        <f>+B51*#REF!</f>
        <v>#REF!</v>
      </c>
      <c r="D51" s="21" t="e">
        <f>+#REF!</f>
        <v>#REF!</v>
      </c>
      <c r="E51" s="21" t="e">
        <f>+#REF!</f>
        <v>#REF!</v>
      </c>
      <c r="F51" s="21" t="e">
        <f>+#REF!</f>
        <v>#REF!</v>
      </c>
      <c r="G51" s="23" t="e">
        <f t="shared" si="51"/>
        <v>#REF!</v>
      </c>
      <c r="H51" s="23" t="e">
        <f t="shared" si="46"/>
        <v>#REF!</v>
      </c>
      <c r="I51" s="23" t="e">
        <f t="shared" si="46"/>
        <v>#REF!</v>
      </c>
      <c r="J51" s="23" t="e">
        <f t="shared" si="52"/>
        <v>#REF!</v>
      </c>
      <c r="K51" s="23" t="e">
        <f t="shared" si="47"/>
        <v>#REF!</v>
      </c>
      <c r="L51" s="23" t="e">
        <f t="shared" si="47"/>
        <v>#REF!</v>
      </c>
      <c r="M51" s="23" t="e">
        <f t="shared" si="53"/>
        <v>#REF!</v>
      </c>
      <c r="N51" s="23" t="e">
        <f t="shared" si="48"/>
        <v>#REF!</v>
      </c>
      <c r="O51" s="23" t="e">
        <f t="shared" ref="O51:O53" si="57">IF(N51&gt;0,(C51/(10*N51)),"")</f>
        <v>#REF!</v>
      </c>
      <c r="V51" s="26" t="s">
        <v>15</v>
      </c>
      <c r="W51" s="27" t="e">
        <f>+#REF!</f>
        <v>#REF!</v>
      </c>
      <c r="X51" s="27" t="e">
        <f>+#REF!</f>
        <v>#REF!</v>
      </c>
      <c r="Y51" s="27" t="e">
        <f>+#REF!</f>
        <v>#REF!</v>
      </c>
      <c r="Z51" s="23" t="e">
        <f t="shared" si="54"/>
        <v>#REF!</v>
      </c>
      <c r="AA51" s="23" t="e">
        <f t="shared" si="49"/>
        <v>#REF!</v>
      </c>
      <c r="AB51" s="23" t="e">
        <f t="shared" si="49"/>
        <v>#REF!</v>
      </c>
      <c r="AC51" s="23" t="e">
        <f t="shared" si="55"/>
        <v>#REF!</v>
      </c>
      <c r="AD51" s="23" t="e">
        <f t="shared" si="50"/>
        <v>#REF!</v>
      </c>
      <c r="AE51" s="23" t="e">
        <f t="shared" si="50"/>
        <v>#REF!</v>
      </c>
      <c r="AF51" s="23" t="e">
        <f t="shared" si="56"/>
        <v>#REF!</v>
      </c>
    </row>
    <row r="52" spans="1:32" s="25" customFormat="1" thickBot="1" x14ac:dyDescent="0.25">
      <c r="A52" s="24">
        <v>5</v>
      </c>
      <c r="B52" s="22" t="e">
        <f>+#REF!</f>
        <v>#REF!</v>
      </c>
      <c r="C52" s="22" t="e">
        <f>+B52*#REF!</f>
        <v>#REF!</v>
      </c>
      <c r="D52" s="21" t="e">
        <f>+#REF!</f>
        <v>#REF!</v>
      </c>
      <c r="E52" s="21" t="e">
        <f>+#REF!</f>
        <v>#REF!</v>
      </c>
      <c r="F52" s="21" t="e">
        <f>+#REF!</f>
        <v>#REF!</v>
      </c>
      <c r="G52" s="23" t="e">
        <f t="shared" si="51"/>
        <v>#REF!</v>
      </c>
      <c r="H52" s="23" t="e">
        <f t="shared" si="46"/>
        <v>#REF!</v>
      </c>
      <c r="I52" s="23" t="e">
        <f t="shared" si="46"/>
        <v>#REF!</v>
      </c>
      <c r="J52" s="23" t="e">
        <f t="shared" si="52"/>
        <v>#REF!</v>
      </c>
      <c r="K52" s="23" t="e">
        <f t="shared" si="47"/>
        <v>#REF!</v>
      </c>
      <c r="L52" s="23" t="e">
        <f t="shared" si="47"/>
        <v>#REF!</v>
      </c>
      <c r="M52" s="23" t="e">
        <f t="shared" si="53"/>
        <v>#REF!</v>
      </c>
      <c r="N52" s="23" t="e">
        <f t="shared" si="48"/>
        <v>#REF!</v>
      </c>
      <c r="O52" s="23" t="e">
        <f>IF(N52&gt;0,(C52/(10*N52)),"")</f>
        <v>#REF!</v>
      </c>
      <c r="V52" s="26" t="s">
        <v>16</v>
      </c>
      <c r="W52" s="27" t="e">
        <f>+#REF!</f>
        <v>#REF!</v>
      </c>
      <c r="X52" s="27" t="e">
        <f>+#REF!</f>
        <v>#REF!</v>
      </c>
      <c r="Y52" s="27" t="e">
        <f>+#REF!</f>
        <v>#REF!</v>
      </c>
      <c r="Z52" s="23" t="e">
        <f>W52/255</f>
        <v>#REF!</v>
      </c>
      <c r="AA52" s="23" t="e">
        <f t="shared" si="49"/>
        <v>#REF!</v>
      </c>
      <c r="AB52" s="23" t="e">
        <f t="shared" si="49"/>
        <v>#REF!</v>
      </c>
      <c r="AC52" s="23" t="e">
        <f t="shared" si="55"/>
        <v>#REF!</v>
      </c>
      <c r="AD52" s="23" t="e">
        <f t="shared" si="50"/>
        <v>#REF!</v>
      </c>
      <c r="AE52" s="23" t="e">
        <f t="shared" si="50"/>
        <v>#REF!</v>
      </c>
      <c r="AF52" s="23" t="e">
        <f t="shared" si="56"/>
        <v>#REF!</v>
      </c>
    </row>
    <row r="53" spans="1:32" s="25" customFormat="1" thickBot="1" x14ac:dyDescent="0.25">
      <c r="A53" s="24">
        <v>6</v>
      </c>
      <c r="B53" s="22" t="e">
        <f>+#REF!</f>
        <v>#REF!</v>
      </c>
      <c r="C53" s="22" t="e">
        <f>+B53*#REF!</f>
        <v>#REF!</v>
      </c>
      <c r="D53" s="21" t="e">
        <f>+#REF!</f>
        <v>#REF!</v>
      </c>
      <c r="E53" s="21" t="e">
        <f>+#REF!</f>
        <v>#REF!</v>
      </c>
      <c r="F53" s="21" t="e">
        <f>+#REF!</f>
        <v>#REF!</v>
      </c>
      <c r="G53" s="23" t="e">
        <f t="shared" si="51"/>
        <v>#REF!</v>
      </c>
      <c r="H53" s="23" t="e">
        <f t="shared" si="46"/>
        <v>#REF!</v>
      </c>
      <c r="I53" s="23" t="e">
        <f t="shared" si="46"/>
        <v>#REF!</v>
      </c>
      <c r="J53" s="23" t="e">
        <f t="shared" si="52"/>
        <v>#REF!</v>
      </c>
      <c r="K53" s="23" t="e">
        <f t="shared" si="47"/>
        <v>#REF!</v>
      </c>
      <c r="L53" s="23" t="e">
        <f t="shared" si="47"/>
        <v>#REF!</v>
      </c>
      <c r="M53" s="23" t="e">
        <f t="shared" si="53"/>
        <v>#REF!</v>
      </c>
      <c r="N53" s="23" t="e">
        <f t="shared" si="48"/>
        <v>#REF!</v>
      </c>
      <c r="O53" s="23" t="e">
        <f t="shared" si="57"/>
        <v>#REF!</v>
      </c>
      <c r="V53" s="26"/>
      <c r="W53" s="26"/>
      <c r="X53" s="26"/>
      <c r="Y53" s="26"/>
      <c r="Z53" s="26"/>
      <c r="AA53" s="26"/>
      <c r="AD53" s="209" t="s">
        <v>59</v>
      </c>
      <c r="AE53" s="210"/>
      <c r="AF53" s="139" t="e">
        <f>AVERAGE(AF48:AF52)</f>
        <v>#REF!</v>
      </c>
    </row>
    <row r="54" spans="1:32" ht="24" x14ac:dyDescent="0.3">
      <c r="N54" s="6" t="s">
        <v>17</v>
      </c>
      <c r="O54" s="29" t="e">
        <f>AVERAGE(O48:O53)</f>
        <v>#REF!</v>
      </c>
      <c r="V54" s="9"/>
      <c r="W54" s="9"/>
      <c r="X54" s="9"/>
      <c r="Y54" s="9"/>
      <c r="AA54" s="9"/>
      <c r="AE54" s="9"/>
    </row>
    <row r="55" spans="1:32" ht="19" x14ac:dyDescent="0.25">
      <c r="AA55" s="9"/>
      <c r="AD55" s="211" t="s">
        <v>60</v>
      </c>
      <c r="AE55" s="211"/>
      <c r="AF55" s="31" t="e">
        <f>IF(AF53=0,0,$AI$10/AF53)</f>
        <v>#REF!</v>
      </c>
    </row>
    <row r="56" spans="1:32" s="8" customFormat="1" ht="24" x14ac:dyDescent="0.3">
      <c r="A56" s="152" t="e">
        <f>+#REF!</f>
        <v>#REF!</v>
      </c>
      <c r="B56" s="13" t="s">
        <v>64</v>
      </c>
      <c r="V56" s="7" t="e">
        <f>+A56</f>
        <v>#REF!</v>
      </c>
      <c r="W56" s="7" t="str">
        <f>+B56</f>
        <v>µl</v>
      </c>
      <c r="AA56" s="10"/>
      <c r="AD56" s="10"/>
      <c r="AF56" s="11"/>
    </row>
    <row r="58" spans="1:32" s="17" customFormat="1" ht="17" x14ac:dyDescent="0.2">
      <c r="A58" s="16" t="s">
        <v>61</v>
      </c>
      <c r="B58" s="16" t="s">
        <v>25</v>
      </c>
      <c r="C58" s="16" t="s">
        <v>62</v>
      </c>
      <c r="D58" s="16" t="s">
        <v>0</v>
      </c>
      <c r="E58" s="16" t="s">
        <v>1</v>
      </c>
      <c r="F58" s="16" t="s">
        <v>2</v>
      </c>
      <c r="G58" s="16" t="s">
        <v>3</v>
      </c>
      <c r="H58" s="16" t="s">
        <v>4</v>
      </c>
      <c r="I58" s="16" t="s">
        <v>5</v>
      </c>
      <c r="J58" s="16" t="s">
        <v>6</v>
      </c>
      <c r="K58" s="16" t="s">
        <v>7</v>
      </c>
      <c r="L58" s="16" t="s">
        <v>8</v>
      </c>
      <c r="M58" s="16" t="s">
        <v>26</v>
      </c>
      <c r="N58" s="16" t="s">
        <v>27</v>
      </c>
      <c r="O58" s="28" t="s">
        <v>63</v>
      </c>
      <c r="V58" s="18" t="s">
        <v>10</v>
      </c>
      <c r="W58" s="19" t="s">
        <v>0</v>
      </c>
      <c r="X58" s="20" t="s">
        <v>1</v>
      </c>
      <c r="Y58" s="20" t="s">
        <v>2</v>
      </c>
      <c r="Z58" s="16" t="s">
        <v>3</v>
      </c>
      <c r="AA58" s="16" t="s">
        <v>4</v>
      </c>
      <c r="AB58" s="16" t="s">
        <v>5</v>
      </c>
      <c r="AC58" s="20" t="s">
        <v>6</v>
      </c>
      <c r="AD58" s="20" t="s">
        <v>7</v>
      </c>
      <c r="AE58" s="20" t="s">
        <v>11</v>
      </c>
      <c r="AF58" s="20" t="s">
        <v>9</v>
      </c>
    </row>
    <row r="59" spans="1:32" s="25" customFormat="1" ht="15" x14ac:dyDescent="0.2">
      <c r="A59" s="24">
        <v>1</v>
      </c>
      <c r="B59" s="22" t="e">
        <f>+#REF!</f>
        <v>#REF!</v>
      </c>
      <c r="C59" s="22" t="e">
        <f>+B59*#REF!</f>
        <v>#REF!</v>
      </c>
      <c r="D59" s="21" t="e">
        <f>+#REF!</f>
        <v>#REF!</v>
      </c>
      <c r="E59" s="21" t="e">
        <f>+#REF!</f>
        <v>#REF!</v>
      </c>
      <c r="F59" s="21" t="e">
        <f>+#REF!</f>
        <v>#REF!</v>
      </c>
      <c r="G59" s="23" t="e">
        <f>D59/255</f>
        <v>#REF!</v>
      </c>
      <c r="H59" s="23" t="e">
        <f t="shared" ref="H59:I64" si="58">E59/255</f>
        <v>#REF!</v>
      </c>
      <c r="I59" s="23" t="e">
        <f t="shared" si="58"/>
        <v>#REF!</v>
      </c>
      <c r="J59" s="23" t="e">
        <f>IF(GESTEP(G59,0.04045),POWER(((G59+0.055)/1.055),2.4),(G59/12.92))</f>
        <v>#REF!</v>
      </c>
      <c r="K59" s="23" t="e">
        <f t="shared" ref="K59:L64" si="59">IF(GESTEP(H59,0.04045),POWER(((H59+0.055)/1.055),2.4),(H59/12.92))</f>
        <v>#REF!</v>
      </c>
      <c r="L59" s="23" t="e">
        <f t="shared" si="59"/>
        <v>#REF!</v>
      </c>
      <c r="M59" s="23" t="e">
        <f>0.2126*J59+0.7152*K59+0.0722*L59</f>
        <v>#REF!</v>
      </c>
      <c r="N59" s="23" t="e">
        <f t="shared" ref="N59:N64" si="60">M59*$AF$66</f>
        <v>#REF!</v>
      </c>
      <c r="O59" s="23" t="e">
        <f>IF(N59&gt;0,(C59/(10*N59)),"")</f>
        <v>#REF!</v>
      </c>
      <c r="V59" s="26" t="s">
        <v>12</v>
      </c>
      <c r="W59" s="27" t="e">
        <f>+#REF!</f>
        <v>#REF!</v>
      </c>
      <c r="X59" s="27" t="e">
        <f>+#REF!</f>
        <v>#REF!</v>
      </c>
      <c r="Y59" s="27" t="e">
        <f>+#REF!</f>
        <v>#REF!</v>
      </c>
      <c r="Z59" s="23" t="e">
        <f>W59/255</f>
        <v>#REF!</v>
      </c>
      <c r="AA59" s="23" t="e">
        <f t="shared" ref="AA59:AB63" si="61">X59/255</f>
        <v>#REF!</v>
      </c>
      <c r="AB59" s="23" t="e">
        <f t="shared" si="61"/>
        <v>#REF!</v>
      </c>
      <c r="AC59" s="23" t="e">
        <f>IF(GESTEP(Z59,0.04045),POWER(((Z59+0.055)/1.055),2.4),(Z59/12.92))</f>
        <v>#REF!</v>
      </c>
      <c r="AD59" s="23" t="e">
        <f t="shared" ref="AD59:AE63" si="62">IF(GESTEP(AA59,0.04045),POWER(((AA59+0.055)/1.055),2.4),(AA59/12.92))</f>
        <v>#REF!</v>
      </c>
      <c r="AE59" s="23" t="e">
        <f t="shared" si="62"/>
        <v>#REF!</v>
      </c>
      <c r="AF59" s="23" t="e">
        <f>0.2126*AC59+0.7152*AD59+0.0722*AE59</f>
        <v>#REF!</v>
      </c>
    </row>
    <row r="60" spans="1:32" s="25" customFormat="1" ht="15" x14ac:dyDescent="0.2">
      <c r="A60" s="24">
        <v>2</v>
      </c>
      <c r="B60" s="22" t="e">
        <f>+#REF!</f>
        <v>#REF!</v>
      </c>
      <c r="C60" s="22" t="e">
        <f>+B60*#REF!</f>
        <v>#REF!</v>
      </c>
      <c r="D60" s="21" t="e">
        <f>+#REF!</f>
        <v>#REF!</v>
      </c>
      <c r="E60" s="21" t="e">
        <f>+#REF!</f>
        <v>#REF!</v>
      </c>
      <c r="F60" s="21" t="e">
        <f>+#REF!</f>
        <v>#REF!</v>
      </c>
      <c r="G60" s="23" t="e">
        <f t="shared" ref="G60:G64" si="63">D60/255</f>
        <v>#REF!</v>
      </c>
      <c r="H60" s="23" t="e">
        <f t="shared" si="58"/>
        <v>#REF!</v>
      </c>
      <c r="I60" s="23" t="e">
        <f t="shared" si="58"/>
        <v>#REF!</v>
      </c>
      <c r="J60" s="23" t="e">
        <f t="shared" ref="J60:J64" si="64">IF(GESTEP(G60,0.04045),POWER(((G60+0.055)/1.055),2.4),(G60/12.92))</f>
        <v>#REF!</v>
      </c>
      <c r="K60" s="23" t="e">
        <f t="shared" si="59"/>
        <v>#REF!</v>
      </c>
      <c r="L60" s="23" t="e">
        <f t="shared" si="59"/>
        <v>#REF!</v>
      </c>
      <c r="M60" s="23" t="e">
        <f t="shared" ref="M60:M64" si="65">0.2126*J60+0.7152*K60+0.0722*L60</f>
        <v>#REF!</v>
      </c>
      <c r="N60" s="23" t="e">
        <f t="shared" si="60"/>
        <v>#REF!</v>
      </c>
      <c r="O60" s="23" t="e">
        <f t="shared" ref="O60:O64" si="66">IF(N60&gt;0,(C60/(10*N60)),"")</f>
        <v>#REF!</v>
      </c>
      <c r="V60" s="26" t="s">
        <v>13</v>
      </c>
      <c r="W60" s="27" t="e">
        <f>+#REF!</f>
        <v>#REF!</v>
      </c>
      <c r="X60" s="27" t="e">
        <f>+#REF!</f>
        <v>#REF!</v>
      </c>
      <c r="Y60" s="27" t="e">
        <f>+#REF!</f>
        <v>#REF!</v>
      </c>
      <c r="Z60" s="23" t="e">
        <f t="shared" ref="Z60:Z62" si="67">W60/255</f>
        <v>#REF!</v>
      </c>
      <c r="AA60" s="23" t="e">
        <f t="shared" si="61"/>
        <v>#REF!</v>
      </c>
      <c r="AB60" s="23" t="e">
        <f t="shared" si="61"/>
        <v>#REF!</v>
      </c>
      <c r="AC60" s="23" t="e">
        <f t="shared" ref="AC60:AC63" si="68">IF(GESTEP(Z60,0.04045),POWER(((Z60+0.055)/1.055),2.4),(Z60/12.92))</f>
        <v>#REF!</v>
      </c>
      <c r="AD60" s="23" t="e">
        <f t="shared" si="62"/>
        <v>#REF!</v>
      </c>
      <c r="AE60" s="23" t="e">
        <f t="shared" si="62"/>
        <v>#REF!</v>
      </c>
      <c r="AF60" s="23" t="e">
        <f t="shared" ref="AF60:AF63" si="69">0.2126*AC60+0.7152*AD60+0.0722*AE60</f>
        <v>#REF!</v>
      </c>
    </row>
    <row r="61" spans="1:32" s="25" customFormat="1" ht="15" x14ac:dyDescent="0.2">
      <c r="A61" s="24">
        <v>3</v>
      </c>
      <c r="B61" s="22" t="e">
        <f>+#REF!</f>
        <v>#REF!</v>
      </c>
      <c r="C61" s="22" t="e">
        <f>+B61*#REF!</f>
        <v>#REF!</v>
      </c>
      <c r="D61" s="21" t="e">
        <f>+#REF!</f>
        <v>#REF!</v>
      </c>
      <c r="E61" s="21" t="e">
        <f>+#REF!</f>
        <v>#REF!</v>
      </c>
      <c r="F61" s="21" t="e">
        <f>+#REF!</f>
        <v>#REF!</v>
      </c>
      <c r="G61" s="23" t="e">
        <f t="shared" si="63"/>
        <v>#REF!</v>
      </c>
      <c r="H61" s="23" t="e">
        <f t="shared" si="58"/>
        <v>#REF!</v>
      </c>
      <c r="I61" s="23" t="e">
        <f t="shared" si="58"/>
        <v>#REF!</v>
      </c>
      <c r="J61" s="23" t="e">
        <f t="shared" si="64"/>
        <v>#REF!</v>
      </c>
      <c r="K61" s="23" t="e">
        <f t="shared" si="59"/>
        <v>#REF!</v>
      </c>
      <c r="L61" s="23" t="e">
        <f t="shared" si="59"/>
        <v>#REF!</v>
      </c>
      <c r="M61" s="23" t="e">
        <f t="shared" si="65"/>
        <v>#REF!</v>
      </c>
      <c r="N61" s="23" t="e">
        <f t="shared" si="60"/>
        <v>#REF!</v>
      </c>
      <c r="O61" s="23" t="e">
        <f>IF(N61&gt;0,(C61/(10*N61)),"")</f>
        <v>#REF!</v>
      </c>
      <c r="V61" s="26" t="s">
        <v>14</v>
      </c>
      <c r="W61" s="27" t="e">
        <f>+#REF!</f>
        <v>#REF!</v>
      </c>
      <c r="X61" s="27" t="e">
        <f>+#REF!</f>
        <v>#REF!</v>
      </c>
      <c r="Y61" s="27" t="e">
        <f>+#REF!</f>
        <v>#REF!</v>
      </c>
      <c r="Z61" s="23" t="e">
        <f t="shared" si="67"/>
        <v>#REF!</v>
      </c>
      <c r="AA61" s="23" t="e">
        <f t="shared" si="61"/>
        <v>#REF!</v>
      </c>
      <c r="AB61" s="23" t="e">
        <f t="shared" si="61"/>
        <v>#REF!</v>
      </c>
      <c r="AC61" s="23" t="e">
        <f t="shared" si="68"/>
        <v>#REF!</v>
      </c>
      <c r="AD61" s="23" t="e">
        <f t="shared" si="62"/>
        <v>#REF!</v>
      </c>
      <c r="AE61" s="23" t="e">
        <f t="shared" si="62"/>
        <v>#REF!</v>
      </c>
      <c r="AF61" s="23" t="e">
        <f t="shared" si="69"/>
        <v>#REF!</v>
      </c>
    </row>
    <row r="62" spans="1:32" s="25" customFormat="1" ht="15" x14ac:dyDescent="0.2">
      <c r="A62" s="24">
        <v>4</v>
      </c>
      <c r="B62" s="22" t="e">
        <f>+#REF!</f>
        <v>#REF!</v>
      </c>
      <c r="C62" s="22" t="e">
        <f>+B62*#REF!</f>
        <v>#REF!</v>
      </c>
      <c r="D62" s="21" t="e">
        <f>+#REF!</f>
        <v>#REF!</v>
      </c>
      <c r="E62" s="21" t="e">
        <f>+#REF!</f>
        <v>#REF!</v>
      </c>
      <c r="F62" s="21" t="e">
        <f>+#REF!</f>
        <v>#REF!</v>
      </c>
      <c r="G62" s="23" t="e">
        <f t="shared" si="63"/>
        <v>#REF!</v>
      </c>
      <c r="H62" s="23" t="e">
        <f t="shared" si="58"/>
        <v>#REF!</v>
      </c>
      <c r="I62" s="23" t="e">
        <f t="shared" si="58"/>
        <v>#REF!</v>
      </c>
      <c r="J62" s="23" t="e">
        <f t="shared" si="64"/>
        <v>#REF!</v>
      </c>
      <c r="K62" s="23" t="e">
        <f t="shared" si="59"/>
        <v>#REF!</v>
      </c>
      <c r="L62" s="23" t="e">
        <f t="shared" si="59"/>
        <v>#REF!</v>
      </c>
      <c r="M62" s="23" t="e">
        <f t="shared" si="65"/>
        <v>#REF!</v>
      </c>
      <c r="N62" s="23" t="e">
        <f t="shared" si="60"/>
        <v>#REF!</v>
      </c>
      <c r="O62" s="23" t="e">
        <f t="shared" si="66"/>
        <v>#REF!</v>
      </c>
      <c r="V62" s="26" t="s">
        <v>15</v>
      </c>
      <c r="W62" s="27" t="e">
        <f>+#REF!</f>
        <v>#REF!</v>
      </c>
      <c r="X62" s="27" t="e">
        <f>+#REF!</f>
        <v>#REF!</v>
      </c>
      <c r="Y62" s="27" t="e">
        <f>+#REF!</f>
        <v>#REF!</v>
      </c>
      <c r="Z62" s="23" t="e">
        <f t="shared" si="67"/>
        <v>#REF!</v>
      </c>
      <c r="AA62" s="23" t="e">
        <f t="shared" si="61"/>
        <v>#REF!</v>
      </c>
      <c r="AB62" s="23" t="e">
        <f t="shared" si="61"/>
        <v>#REF!</v>
      </c>
      <c r="AC62" s="23" t="e">
        <f t="shared" si="68"/>
        <v>#REF!</v>
      </c>
      <c r="AD62" s="23" t="e">
        <f t="shared" si="62"/>
        <v>#REF!</v>
      </c>
      <c r="AE62" s="23" t="e">
        <f t="shared" si="62"/>
        <v>#REF!</v>
      </c>
      <c r="AF62" s="23" t="e">
        <f t="shared" si="69"/>
        <v>#REF!</v>
      </c>
    </row>
    <row r="63" spans="1:32" s="25" customFormat="1" thickBot="1" x14ac:dyDescent="0.25">
      <c r="A63" s="24">
        <v>5</v>
      </c>
      <c r="B63" s="22" t="e">
        <f>+#REF!</f>
        <v>#REF!</v>
      </c>
      <c r="C63" s="22" t="e">
        <f>+B63*#REF!</f>
        <v>#REF!</v>
      </c>
      <c r="D63" s="21" t="e">
        <f>+#REF!</f>
        <v>#REF!</v>
      </c>
      <c r="E63" s="21" t="e">
        <f>+#REF!</f>
        <v>#REF!</v>
      </c>
      <c r="F63" s="21" t="e">
        <f>+#REF!</f>
        <v>#REF!</v>
      </c>
      <c r="G63" s="23" t="e">
        <f t="shared" si="63"/>
        <v>#REF!</v>
      </c>
      <c r="H63" s="23" t="e">
        <f t="shared" si="58"/>
        <v>#REF!</v>
      </c>
      <c r="I63" s="23" t="e">
        <f t="shared" si="58"/>
        <v>#REF!</v>
      </c>
      <c r="J63" s="23" t="e">
        <f t="shared" si="64"/>
        <v>#REF!</v>
      </c>
      <c r="K63" s="23" t="e">
        <f t="shared" si="59"/>
        <v>#REF!</v>
      </c>
      <c r="L63" s="23" t="e">
        <f t="shared" si="59"/>
        <v>#REF!</v>
      </c>
      <c r="M63" s="23" t="e">
        <f t="shared" si="65"/>
        <v>#REF!</v>
      </c>
      <c r="N63" s="23" t="e">
        <f t="shared" si="60"/>
        <v>#REF!</v>
      </c>
      <c r="O63" s="23" t="e">
        <f>IF(N63&gt;0,(C63/(10*N63)),"")</f>
        <v>#REF!</v>
      </c>
      <c r="V63" s="26" t="s">
        <v>16</v>
      </c>
      <c r="W63" s="27" t="e">
        <f>+#REF!</f>
        <v>#REF!</v>
      </c>
      <c r="X63" s="27" t="e">
        <f>+#REF!</f>
        <v>#REF!</v>
      </c>
      <c r="Y63" s="27" t="e">
        <f>+#REF!</f>
        <v>#REF!</v>
      </c>
      <c r="Z63" s="23" t="e">
        <f>W63/255</f>
        <v>#REF!</v>
      </c>
      <c r="AA63" s="23" t="e">
        <f t="shared" si="61"/>
        <v>#REF!</v>
      </c>
      <c r="AB63" s="23" t="e">
        <f t="shared" si="61"/>
        <v>#REF!</v>
      </c>
      <c r="AC63" s="23" t="e">
        <f t="shared" si="68"/>
        <v>#REF!</v>
      </c>
      <c r="AD63" s="23" t="e">
        <f t="shared" si="62"/>
        <v>#REF!</v>
      </c>
      <c r="AE63" s="23" t="e">
        <f t="shared" si="62"/>
        <v>#REF!</v>
      </c>
      <c r="AF63" s="23" t="e">
        <f t="shared" si="69"/>
        <v>#REF!</v>
      </c>
    </row>
    <row r="64" spans="1:32" s="25" customFormat="1" thickBot="1" x14ac:dyDescent="0.25">
      <c r="A64" s="24">
        <v>6</v>
      </c>
      <c r="B64" s="22" t="e">
        <f>+#REF!</f>
        <v>#REF!</v>
      </c>
      <c r="C64" s="22" t="e">
        <f>+B64*#REF!</f>
        <v>#REF!</v>
      </c>
      <c r="D64" s="21" t="e">
        <f>+#REF!</f>
        <v>#REF!</v>
      </c>
      <c r="E64" s="21" t="e">
        <f>+#REF!</f>
        <v>#REF!</v>
      </c>
      <c r="F64" s="21" t="e">
        <f>+#REF!</f>
        <v>#REF!</v>
      </c>
      <c r="G64" s="23" t="e">
        <f t="shared" si="63"/>
        <v>#REF!</v>
      </c>
      <c r="H64" s="23" t="e">
        <f t="shared" si="58"/>
        <v>#REF!</v>
      </c>
      <c r="I64" s="23" t="e">
        <f t="shared" si="58"/>
        <v>#REF!</v>
      </c>
      <c r="J64" s="23" t="e">
        <f t="shared" si="64"/>
        <v>#REF!</v>
      </c>
      <c r="K64" s="23" t="e">
        <f t="shared" si="59"/>
        <v>#REF!</v>
      </c>
      <c r="L64" s="23" t="e">
        <f t="shared" si="59"/>
        <v>#REF!</v>
      </c>
      <c r="M64" s="23" t="e">
        <f t="shared" si="65"/>
        <v>#REF!</v>
      </c>
      <c r="N64" s="23" t="e">
        <f t="shared" si="60"/>
        <v>#REF!</v>
      </c>
      <c r="O64" s="23" t="e">
        <f t="shared" si="66"/>
        <v>#REF!</v>
      </c>
      <c r="V64" s="26"/>
      <c r="W64" s="26"/>
      <c r="X64" s="26"/>
      <c r="Y64" s="26"/>
      <c r="Z64" s="26"/>
      <c r="AA64" s="26"/>
      <c r="AD64" s="209" t="s">
        <v>59</v>
      </c>
      <c r="AE64" s="210"/>
      <c r="AF64" s="139" t="e">
        <f>AVERAGE(AF59:AF63)</f>
        <v>#REF!</v>
      </c>
    </row>
    <row r="65" spans="1:32" ht="24" x14ac:dyDescent="0.3">
      <c r="N65" s="6" t="s">
        <v>17</v>
      </c>
      <c r="O65" s="29" t="e">
        <f>AVERAGE(O59:O64)</f>
        <v>#REF!</v>
      </c>
      <c r="V65" s="9"/>
      <c r="W65" s="9"/>
      <c r="X65" s="9"/>
      <c r="Y65" s="9"/>
      <c r="AA65" s="9"/>
      <c r="AE65" s="9"/>
    </row>
    <row r="66" spans="1:32" ht="19" x14ac:dyDescent="0.25">
      <c r="AA66" s="9"/>
      <c r="AD66" s="211" t="s">
        <v>60</v>
      </c>
      <c r="AE66" s="211"/>
      <c r="AF66" s="31" t="e">
        <f>IF(AF64=0,0,$AI$10/AF64)</f>
        <v>#REF!</v>
      </c>
    </row>
    <row r="67" spans="1:32" s="8" customFormat="1" ht="24" x14ac:dyDescent="0.3">
      <c r="A67" s="152" t="e">
        <f>+#REF!</f>
        <v>#REF!</v>
      </c>
      <c r="B67" s="13" t="s">
        <v>64</v>
      </c>
      <c r="V67" s="7" t="e">
        <f>+A67</f>
        <v>#REF!</v>
      </c>
      <c r="W67" s="7" t="str">
        <f>+B67</f>
        <v>µl</v>
      </c>
      <c r="AA67" s="10"/>
      <c r="AD67" s="10"/>
      <c r="AF67" s="11"/>
    </row>
    <row r="69" spans="1:32" s="17" customFormat="1" ht="17" x14ac:dyDescent="0.2">
      <c r="A69" s="16" t="s">
        <v>61</v>
      </c>
      <c r="B69" s="16" t="s">
        <v>25</v>
      </c>
      <c r="C69" s="16" t="s">
        <v>62</v>
      </c>
      <c r="D69" s="16" t="s">
        <v>0</v>
      </c>
      <c r="E69" s="16" t="s">
        <v>1</v>
      </c>
      <c r="F69" s="16" t="s">
        <v>2</v>
      </c>
      <c r="G69" s="16" t="s">
        <v>3</v>
      </c>
      <c r="H69" s="16" t="s">
        <v>4</v>
      </c>
      <c r="I69" s="16" t="s">
        <v>5</v>
      </c>
      <c r="J69" s="16" t="s">
        <v>6</v>
      </c>
      <c r="K69" s="16" t="s">
        <v>7</v>
      </c>
      <c r="L69" s="16" t="s">
        <v>8</v>
      </c>
      <c r="M69" s="16" t="s">
        <v>26</v>
      </c>
      <c r="N69" s="16" t="s">
        <v>27</v>
      </c>
      <c r="O69" s="28" t="s">
        <v>63</v>
      </c>
      <c r="V69" s="18" t="s">
        <v>10</v>
      </c>
      <c r="W69" s="19" t="s">
        <v>0</v>
      </c>
      <c r="X69" s="20" t="s">
        <v>1</v>
      </c>
      <c r="Y69" s="20" t="s">
        <v>2</v>
      </c>
      <c r="Z69" s="16" t="s">
        <v>3</v>
      </c>
      <c r="AA69" s="16" t="s">
        <v>4</v>
      </c>
      <c r="AB69" s="16" t="s">
        <v>5</v>
      </c>
      <c r="AC69" s="20" t="s">
        <v>6</v>
      </c>
      <c r="AD69" s="20" t="s">
        <v>7</v>
      </c>
      <c r="AE69" s="20" t="s">
        <v>11</v>
      </c>
      <c r="AF69" s="20" t="s">
        <v>9</v>
      </c>
    </row>
    <row r="70" spans="1:32" s="25" customFormat="1" ht="15" x14ac:dyDescent="0.2">
      <c r="A70" s="24">
        <v>1</v>
      </c>
      <c r="B70" s="22" t="e">
        <f>+#REF!</f>
        <v>#REF!</v>
      </c>
      <c r="C70" s="22" t="e">
        <f>+B70*#REF!</f>
        <v>#REF!</v>
      </c>
      <c r="D70" s="21" t="e">
        <f>+#REF!</f>
        <v>#REF!</v>
      </c>
      <c r="E70" s="21" t="e">
        <f>+#REF!</f>
        <v>#REF!</v>
      </c>
      <c r="F70" s="21" t="e">
        <f>+#REF!</f>
        <v>#REF!</v>
      </c>
      <c r="G70" s="23" t="e">
        <f>D70/255</f>
        <v>#REF!</v>
      </c>
      <c r="H70" s="23" t="e">
        <f t="shared" ref="H70:I75" si="70">E70/255</f>
        <v>#REF!</v>
      </c>
      <c r="I70" s="23" t="e">
        <f t="shared" si="70"/>
        <v>#REF!</v>
      </c>
      <c r="J70" s="23" t="e">
        <f>IF(GESTEP(G70,0.04045),POWER(((G70+0.055)/1.055),2.4),(G70/12.92))</f>
        <v>#REF!</v>
      </c>
      <c r="K70" s="23" t="e">
        <f t="shared" ref="K70:L75" si="71">IF(GESTEP(H70,0.04045),POWER(((H70+0.055)/1.055),2.4),(H70/12.92))</f>
        <v>#REF!</v>
      </c>
      <c r="L70" s="23" t="e">
        <f t="shared" si="71"/>
        <v>#REF!</v>
      </c>
      <c r="M70" s="23" t="e">
        <f>0.2126*J70+0.7152*K70+0.0722*L70</f>
        <v>#REF!</v>
      </c>
      <c r="N70" s="23" t="e">
        <f t="shared" ref="N70:N75" si="72">M70*$AF$77</f>
        <v>#REF!</v>
      </c>
      <c r="O70" s="23" t="e">
        <f>IF(N70&gt;0,(C70/(10*N70)),"")</f>
        <v>#REF!</v>
      </c>
      <c r="V70" s="26" t="s">
        <v>12</v>
      </c>
      <c r="W70" s="27" t="e">
        <f>+#REF!</f>
        <v>#REF!</v>
      </c>
      <c r="X70" s="27" t="e">
        <f>+#REF!</f>
        <v>#REF!</v>
      </c>
      <c r="Y70" s="27" t="e">
        <f>+#REF!</f>
        <v>#REF!</v>
      </c>
      <c r="Z70" s="23" t="e">
        <f>W70/255</f>
        <v>#REF!</v>
      </c>
      <c r="AA70" s="23" t="e">
        <f t="shared" ref="AA70:AB74" si="73">X70/255</f>
        <v>#REF!</v>
      </c>
      <c r="AB70" s="23" t="e">
        <f t="shared" si="73"/>
        <v>#REF!</v>
      </c>
      <c r="AC70" s="23" t="e">
        <f>IF(GESTEP(Z70,0.04045),POWER(((Z70+0.055)/1.055),2.4),(Z70/12.92))</f>
        <v>#REF!</v>
      </c>
      <c r="AD70" s="23" t="e">
        <f t="shared" ref="AD70:AE74" si="74">IF(GESTEP(AA70,0.04045),POWER(((AA70+0.055)/1.055),2.4),(AA70/12.92))</f>
        <v>#REF!</v>
      </c>
      <c r="AE70" s="23" t="e">
        <f t="shared" si="74"/>
        <v>#REF!</v>
      </c>
      <c r="AF70" s="23" t="e">
        <f>0.2126*AC70+0.7152*AD70+0.0722*AE70</f>
        <v>#REF!</v>
      </c>
    </row>
    <row r="71" spans="1:32" s="25" customFormat="1" ht="15" x14ac:dyDescent="0.2">
      <c r="A71" s="24">
        <v>2</v>
      </c>
      <c r="B71" s="22" t="e">
        <f>+#REF!</f>
        <v>#REF!</v>
      </c>
      <c r="C71" s="22" t="e">
        <f>+B71*#REF!</f>
        <v>#REF!</v>
      </c>
      <c r="D71" s="21" t="e">
        <f>+#REF!</f>
        <v>#REF!</v>
      </c>
      <c r="E71" s="21" t="e">
        <f>+#REF!</f>
        <v>#REF!</v>
      </c>
      <c r="F71" s="21" t="e">
        <f>+#REF!</f>
        <v>#REF!</v>
      </c>
      <c r="G71" s="23" t="e">
        <f t="shared" ref="G71:G75" si="75">D71/255</f>
        <v>#REF!</v>
      </c>
      <c r="H71" s="23" t="e">
        <f t="shared" si="70"/>
        <v>#REF!</v>
      </c>
      <c r="I71" s="23" t="e">
        <f t="shared" si="70"/>
        <v>#REF!</v>
      </c>
      <c r="J71" s="23" t="e">
        <f t="shared" ref="J71:J75" si="76">IF(GESTEP(G71,0.04045),POWER(((G71+0.055)/1.055),2.4),(G71/12.92))</f>
        <v>#REF!</v>
      </c>
      <c r="K71" s="23" t="e">
        <f t="shared" si="71"/>
        <v>#REF!</v>
      </c>
      <c r="L71" s="23" t="e">
        <f t="shared" si="71"/>
        <v>#REF!</v>
      </c>
      <c r="M71" s="23" t="e">
        <f t="shared" ref="M71:M75" si="77">0.2126*J71+0.7152*K71+0.0722*L71</f>
        <v>#REF!</v>
      </c>
      <c r="N71" s="23" t="e">
        <f t="shared" si="72"/>
        <v>#REF!</v>
      </c>
      <c r="O71" s="23" t="e">
        <f>IF(N71&gt;0,(C71/(10*N71)),"")</f>
        <v>#REF!</v>
      </c>
      <c r="V71" s="26" t="s">
        <v>13</v>
      </c>
      <c r="W71" s="27" t="e">
        <f>+#REF!</f>
        <v>#REF!</v>
      </c>
      <c r="X71" s="27" t="e">
        <f>+#REF!</f>
        <v>#REF!</v>
      </c>
      <c r="Y71" s="27" t="e">
        <f>+#REF!</f>
        <v>#REF!</v>
      </c>
      <c r="Z71" s="23" t="e">
        <f t="shared" ref="Z71:Z73" si="78">W71/255</f>
        <v>#REF!</v>
      </c>
      <c r="AA71" s="23" t="e">
        <f t="shared" si="73"/>
        <v>#REF!</v>
      </c>
      <c r="AB71" s="23" t="e">
        <f t="shared" si="73"/>
        <v>#REF!</v>
      </c>
      <c r="AC71" s="23" t="e">
        <f t="shared" ref="AC71:AC74" si="79">IF(GESTEP(Z71,0.04045),POWER(((Z71+0.055)/1.055),2.4),(Z71/12.92))</f>
        <v>#REF!</v>
      </c>
      <c r="AD71" s="23" t="e">
        <f t="shared" si="74"/>
        <v>#REF!</v>
      </c>
      <c r="AE71" s="23" t="e">
        <f t="shared" si="74"/>
        <v>#REF!</v>
      </c>
      <c r="AF71" s="23" t="e">
        <f t="shared" ref="AF71:AF74" si="80">0.2126*AC71+0.7152*AD71+0.0722*AE71</f>
        <v>#REF!</v>
      </c>
    </row>
    <row r="72" spans="1:32" s="25" customFormat="1" ht="15" x14ac:dyDescent="0.2">
      <c r="A72" s="24">
        <v>3</v>
      </c>
      <c r="B72" s="22" t="e">
        <f>+#REF!</f>
        <v>#REF!</v>
      </c>
      <c r="C72" s="22" t="e">
        <f>+B72*#REF!</f>
        <v>#REF!</v>
      </c>
      <c r="D72" s="21" t="e">
        <f>+#REF!</f>
        <v>#REF!</v>
      </c>
      <c r="E72" s="21" t="e">
        <f>+#REF!</f>
        <v>#REF!</v>
      </c>
      <c r="F72" s="21" t="e">
        <f>+#REF!</f>
        <v>#REF!</v>
      </c>
      <c r="G72" s="23" t="e">
        <f t="shared" si="75"/>
        <v>#REF!</v>
      </c>
      <c r="H72" s="23" t="e">
        <f t="shared" si="70"/>
        <v>#REF!</v>
      </c>
      <c r="I72" s="23" t="e">
        <f t="shared" si="70"/>
        <v>#REF!</v>
      </c>
      <c r="J72" s="23" t="e">
        <f t="shared" si="76"/>
        <v>#REF!</v>
      </c>
      <c r="K72" s="23" t="e">
        <f t="shared" si="71"/>
        <v>#REF!</v>
      </c>
      <c r="L72" s="23" t="e">
        <f t="shared" si="71"/>
        <v>#REF!</v>
      </c>
      <c r="M72" s="23" t="e">
        <f t="shared" si="77"/>
        <v>#REF!</v>
      </c>
      <c r="N72" s="23" t="e">
        <f t="shared" si="72"/>
        <v>#REF!</v>
      </c>
      <c r="O72" s="23" t="e">
        <f t="shared" ref="O72:O74" si="81">IF(N72&gt;0,(C72/(10*N72)),"")</f>
        <v>#REF!</v>
      </c>
      <c r="V72" s="26" t="s">
        <v>14</v>
      </c>
      <c r="W72" s="27" t="e">
        <f>+#REF!</f>
        <v>#REF!</v>
      </c>
      <c r="X72" s="27" t="e">
        <f>+#REF!</f>
        <v>#REF!</v>
      </c>
      <c r="Y72" s="27" t="e">
        <f>+#REF!</f>
        <v>#REF!</v>
      </c>
      <c r="Z72" s="23" t="e">
        <f t="shared" si="78"/>
        <v>#REF!</v>
      </c>
      <c r="AA72" s="23" t="e">
        <f t="shared" si="73"/>
        <v>#REF!</v>
      </c>
      <c r="AB72" s="23" t="e">
        <f t="shared" si="73"/>
        <v>#REF!</v>
      </c>
      <c r="AC72" s="23" t="e">
        <f t="shared" si="79"/>
        <v>#REF!</v>
      </c>
      <c r="AD72" s="23" t="e">
        <f t="shared" si="74"/>
        <v>#REF!</v>
      </c>
      <c r="AE72" s="23" t="e">
        <f t="shared" si="74"/>
        <v>#REF!</v>
      </c>
      <c r="AF72" s="23" t="e">
        <f t="shared" si="80"/>
        <v>#REF!</v>
      </c>
    </row>
    <row r="73" spans="1:32" s="25" customFormat="1" ht="15" x14ac:dyDescent="0.2">
      <c r="A73" s="24">
        <v>4</v>
      </c>
      <c r="B73" s="22" t="e">
        <f>+#REF!</f>
        <v>#REF!</v>
      </c>
      <c r="C73" s="22" t="e">
        <f>+B73*#REF!</f>
        <v>#REF!</v>
      </c>
      <c r="D73" s="21" t="e">
        <f>+#REF!</f>
        <v>#REF!</v>
      </c>
      <c r="E73" s="21" t="e">
        <f>+#REF!</f>
        <v>#REF!</v>
      </c>
      <c r="F73" s="21" t="e">
        <f>+#REF!</f>
        <v>#REF!</v>
      </c>
      <c r="G73" s="23" t="e">
        <f t="shared" si="75"/>
        <v>#REF!</v>
      </c>
      <c r="H73" s="23" t="e">
        <f t="shared" si="70"/>
        <v>#REF!</v>
      </c>
      <c r="I73" s="23" t="e">
        <f t="shared" si="70"/>
        <v>#REF!</v>
      </c>
      <c r="J73" s="23" t="e">
        <f t="shared" si="76"/>
        <v>#REF!</v>
      </c>
      <c r="K73" s="23" t="e">
        <f t="shared" si="71"/>
        <v>#REF!</v>
      </c>
      <c r="L73" s="23" t="e">
        <f t="shared" si="71"/>
        <v>#REF!</v>
      </c>
      <c r="M73" s="23" t="e">
        <f t="shared" si="77"/>
        <v>#REF!</v>
      </c>
      <c r="N73" s="23" t="e">
        <f t="shared" si="72"/>
        <v>#REF!</v>
      </c>
      <c r="O73" s="23" t="e">
        <f>IF(N73&gt;0,(C73/(10*N73)),"")</f>
        <v>#REF!</v>
      </c>
      <c r="V73" s="26" t="s">
        <v>15</v>
      </c>
      <c r="W73" s="27" t="e">
        <f>+#REF!</f>
        <v>#REF!</v>
      </c>
      <c r="X73" s="27" t="e">
        <f>+#REF!</f>
        <v>#REF!</v>
      </c>
      <c r="Y73" s="27" t="e">
        <f>+#REF!</f>
        <v>#REF!</v>
      </c>
      <c r="Z73" s="23" t="e">
        <f t="shared" si="78"/>
        <v>#REF!</v>
      </c>
      <c r="AA73" s="23" t="e">
        <f t="shared" si="73"/>
        <v>#REF!</v>
      </c>
      <c r="AB73" s="23" t="e">
        <f t="shared" si="73"/>
        <v>#REF!</v>
      </c>
      <c r="AC73" s="23" t="e">
        <f t="shared" si="79"/>
        <v>#REF!</v>
      </c>
      <c r="AD73" s="23" t="e">
        <f t="shared" si="74"/>
        <v>#REF!</v>
      </c>
      <c r="AE73" s="23" t="e">
        <f t="shared" si="74"/>
        <v>#REF!</v>
      </c>
      <c r="AF73" s="23" t="e">
        <f t="shared" si="80"/>
        <v>#REF!</v>
      </c>
    </row>
    <row r="74" spans="1:32" s="25" customFormat="1" thickBot="1" x14ac:dyDescent="0.25">
      <c r="A74" s="24">
        <v>5</v>
      </c>
      <c r="B74" s="22" t="e">
        <f>+#REF!</f>
        <v>#REF!</v>
      </c>
      <c r="C74" s="22" t="e">
        <f>+B74*#REF!</f>
        <v>#REF!</v>
      </c>
      <c r="D74" s="21" t="e">
        <f>+#REF!</f>
        <v>#REF!</v>
      </c>
      <c r="E74" s="21" t="e">
        <f>+#REF!</f>
        <v>#REF!</v>
      </c>
      <c r="F74" s="21" t="e">
        <f>+#REF!</f>
        <v>#REF!</v>
      </c>
      <c r="G74" s="23" t="e">
        <f t="shared" si="75"/>
        <v>#REF!</v>
      </c>
      <c r="H74" s="23" t="e">
        <f t="shared" si="70"/>
        <v>#REF!</v>
      </c>
      <c r="I74" s="23" t="e">
        <f t="shared" si="70"/>
        <v>#REF!</v>
      </c>
      <c r="J74" s="23" t="e">
        <f t="shared" si="76"/>
        <v>#REF!</v>
      </c>
      <c r="K74" s="23" t="e">
        <f t="shared" si="71"/>
        <v>#REF!</v>
      </c>
      <c r="L74" s="23" t="e">
        <f t="shared" si="71"/>
        <v>#REF!</v>
      </c>
      <c r="M74" s="23" t="e">
        <f t="shared" si="77"/>
        <v>#REF!</v>
      </c>
      <c r="N74" s="23" t="e">
        <f t="shared" si="72"/>
        <v>#REF!</v>
      </c>
      <c r="O74" s="23" t="e">
        <f t="shared" si="81"/>
        <v>#REF!</v>
      </c>
      <c r="V74" s="26" t="s">
        <v>16</v>
      </c>
      <c r="W74" s="27" t="e">
        <f>+#REF!</f>
        <v>#REF!</v>
      </c>
      <c r="X74" s="27" t="e">
        <f>+#REF!</f>
        <v>#REF!</v>
      </c>
      <c r="Y74" s="27" t="e">
        <f>+#REF!</f>
        <v>#REF!</v>
      </c>
      <c r="Z74" s="23" t="e">
        <f>W74/255</f>
        <v>#REF!</v>
      </c>
      <c r="AA74" s="23" t="e">
        <f t="shared" si="73"/>
        <v>#REF!</v>
      </c>
      <c r="AB74" s="23" t="e">
        <f t="shared" si="73"/>
        <v>#REF!</v>
      </c>
      <c r="AC74" s="23" t="e">
        <f t="shared" si="79"/>
        <v>#REF!</v>
      </c>
      <c r="AD74" s="23" t="e">
        <f t="shared" si="74"/>
        <v>#REF!</v>
      </c>
      <c r="AE74" s="23" t="e">
        <f t="shared" si="74"/>
        <v>#REF!</v>
      </c>
      <c r="AF74" s="23" t="e">
        <f t="shared" si="80"/>
        <v>#REF!</v>
      </c>
    </row>
    <row r="75" spans="1:32" s="25" customFormat="1" thickBot="1" x14ac:dyDescent="0.25">
      <c r="A75" s="24">
        <v>6</v>
      </c>
      <c r="B75" s="22" t="e">
        <f>+#REF!</f>
        <v>#REF!</v>
      </c>
      <c r="C75" s="22" t="e">
        <f>+B75*#REF!</f>
        <v>#REF!</v>
      </c>
      <c r="D75" s="21" t="e">
        <f>+#REF!</f>
        <v>#REF!</v>
      </c>
      <c r="E75" s="21" t="e">
        <f>+#REF!</f>
        <v>#REF!</v>
      </c>
      <c r="F75" s="21" t="e">
        <f>+#REF!</f>
        <v>#REF!</v>
      </c>
      <c r="G75" s="23" t="e">
        <f t="shared" si="75"/>
        <v>#REF!</v>
      </c>
      <c r="H75" s="23" t="e">
        <f t="shared" si="70"/>
        <v>#REF!</v>
      </c>
      <c r="I75" s="23" t="e">
        <f t="shared" si="70"/>
        <v>#REF!</v>
      </c>
      <c r="J75" s="23" t="e">
        <f t="shared" si="76"/>
        <v>#REF!</v>
      </c>
      <c r="K75" s="23" t="e">
        <f t="shared" si="71"/>
        <v>#REF!</v>
      </c>
      <c r="L75" s="23" t="e">
        <f t="shared" si="71"/>
        <v>#REF!</v>
      </c>
      <c r="M75" s="23" t="e">
        <f t="shared" si="77"/>
        <v>#REF!</v>
      </c>
      <c r="N75" s="23" t="e">
        <f t="shared" si="72"/>
        <v>#REF!</v>
      </c>
      <c r="O75" s="23" t="e">
        <f>IF(N75&gt;0,(C75/(10*N75)),"")</f>
        <v>#REF!</v>
      </c>
      <c r="V75" s="26"/>
      <c r="W75" s="26"/>
      <c r="X75" s="26"/>
      <c r="Y75" s="26"/>
      <c r="Z75" s="26"/>
      <c r="AA75" s="26"/>
      <c r="AD75" s="209" t="s">
        <v>59</v>
      </c>
      <c r="AE75" s="210"/>
      <c r="AF75" s="139" t="e">
        <f>AVERAGE(AF70:AF74)</f>
        <v>#REF!</v>
      </c>
    </row>
    <row r="76" spans="1:32" ht="24" x14ac:dyDescent="0.3">
      <c r="N76" s="6" t="s">
        <v>17</v>
      </c>
      <c r="O76" s="29" t="e">
        <f>AVERAGE(O70:O75)</f>
        <v>#REF!</v>
      </c>
      <c r="V76" s="9"/>
      <c r="W76" s="9"/>
      <c r="X76" s="9"/>
      <c r="Y76" s="9"/>
      <c r="AA76" s="9"/>
      <c r="AE76" s="9"/>
    </row>
    <row r="77" spans="1:32" ht="19" x14ac:dyDescent="0.25">
      <c r="AA77" s="9"/>
      <c r="AD77" s="211" t="s">
        <v>60</v>
      </c>
      <c r="AE77" s="211"/>
      <c r="AF77" s="31" t="e">
        <f>IF(AF75=0,0,$AI$10/AF75)</f>
        <v>#REF!</v>
      </c>
    </row>
  </sheetData>
  <sheetProtection password="CCFF" sheet="1" objects="1" scenarios="1" selectLockedCells="1" selectUnlockedCells="1"/>
  <mergeCells count="14">
    <mergeCell ref="AD66:AE66"/>
    <mergeCell ref="AD75:AE75"/>
    <mergeCell ref="AD77:AE77"/>
    <mergeCell ref="AD33:AE33"/>
    <mergeCell ref="AD42:AE42"/>
    <mergeCell ref="AD44:AE44"/>
    <mergeCell ref="AD53:AE53"/>
    <mergeCell ref="AD55:AE55"/>
    <mergeCell ref="AD64:AE64"/>
    <mergeCell ref="AD9:AE9"/>
    <mergeCell ref="AD11:AE11"/>
    <mergeCell ref="AD20:AE20"/>
    <mergeCell ref="AD22:AE22"/>
    <mergeCell ref="AD31:AE3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 DATA</vt:lpstr>
      <vt:lpstr>Pantone Luminance</vt:lpstr>
      <vt:lpstr>Mouse Luminance</vt:lpstr>
      <vt:lpstr>HaU</vt:lpstr>
      <vt:lpstr>CALCULATION</vt:lpstr>
      <vt:lpstr>ACTIVITY RESULTS</vt:lpstr>
      <vt:lpstr>Sheet1</vt:lpstr>
      <vt:lpstr>CALCULATION NEU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Sanchez Brenes</dc:creator>
  <cp:lastModifiedBy>Microsoft Office User</cp:lastModifiedBy>
  <dcterms:created xsi:type="dcterms:W3CDTF">2016-09-27T19:03:17Z</dcterms:created>
  <dcterms:modified xsi:type="dcterms:W3CDTF">2022-09-23T08:34:46Z</dcterms:modified>
</cp:coreProperties>
</file>