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fraunhofer-my.sharepoint.com/personal/lara_josephine_barnic_iee_fraunhofer_de/Documents/A_Bearbeitung/9_Parameterstudie_REP/9_1_Kosten/"/>
    </mc:Choice>
  </mc:AlternateContent>
  <xr:revisionPtr revIDLastSave="1630" documentId="11_AD4DB114E441178AC67DF4879E90C19A693EDF21" xr6:coauthVersionLast="47" xr6:coauthVersionMax="47" xr10:uidLastSave="{8B4D8EDA-CABE-48E4-A046-489AF9D1C8E7}"/>
  <bookViews>
    <workbookView minimized="1" xWindow="1900" yWindow="1900" windowWidth="14400" windowHeight="7270" firstSheet="2" activeTab="5" xr2:uid="{00000000-000D-0000-FFFF-FFFF00000000}"/>
  </bookViews>
  <sheets>
    <sheet name="Zusammenfassung" sheetId="8" r:id="rId1"/>
    <sheet name="Allgemeine Parameter" sheetId="4" r:id="rId2"/>
    <sheet name="Kostenposten_8.2.2" sheetId="9" r:id="rId3"/>
    <sheet name="dezentral" sheetId="1" r:id="rId4"/>
    <sheet name="kalte NW" sheetId="7" r:id="rId5"/>
    <sheet name="NT-WN_3_77" sheetId="6" r:id="rId6"/>
  </sheets>
  <externalReferences>
    <externalReference r:id="rId7"/>
    <externalReference r:id="rId8"/>
    <externalReference r:id="rId9"/>
    <externalReference r:id="rId10"/>
    <externalReference r:id="rId11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8" l="1"/>
  <c r="K6" i="8" l="1"/>
  <c r="K5" i="8" l="1"/>
  <c r="E14" i="4" l="1"/>
  <c r="D16" i="6"/>
  <c r="C17" i="6" l="1"/>
  <c r="F8" i="8" l="1"/>
  <c r="H32" i="9"/>
  <c r="G32" i="9"/>
  <c r="I11" i="7" l="1"/>
  <c r="H11" i="7"/>
  <c r="E17" i="4" l="1"/>
  <c r="M14" i="4"/>
  <c r="M17" i="4" s="1"/>
  <c r="L14" i="4"/>
  <c r="L17" i="4" s="1"/>
  <c r="K14" i="4"/>
  <c r="K17" i="4" s="1"/>
  <c r="F14" i="4"/>
  <c r="F24" i="4" s="1"/>
  <c r="F38" i="4" l="1"/>
  <c r="F31" i="4"/>
  <c r="F30" i="4"/>
  <c r="F23" i="4"/>
  <c r="F22" i="4"/>
  <c r="F37" i="4"/>
  <c r="F28" i="4"/>
  <c r="F34" i="4"/>
  <c r="F26" i="4"/>
  <c r="F18" i="4"/>
  <c r="F29" i="4"/>
  <c r="F21" i="4"/>
  <c r="F36" i="4"/>
  <c r="F20" i="4"/>
  <c r="F35" i="4"/>
  <c r="F27" i="4"/>
  <c r="F19" i="4"/>
  <c r="F17" i="4"/>
  <c r="F33" i="4"/>
  <c r="F25" i="4"/>
  <c r="F32" i="4"/>
  <c r="D14" i="4"/>
  <c r="D17" i="4" s="1"/>
  <c r="C33" i="7"/>
  <c r="C31" i="1"/>
  <c r="D10" i="7"/>
  <c r="C11" i="8"/>
  <c r="C10" i="8"/>
  <c r="B11" i="8"/>
  <c r="B10" i="8"/>
  <c r="A9" i="9"/>
  <c r="A3" i="9" a="1"/>
  <c r="A3" i="9" s="1"/>
  <c r="C35" i="1"/>
  <c r="C33" i="6"/>
  <c r="C23" i="4"/>
  <c r="C24" i="4"/>
  <c r="C25" i="4"/>
  <c r="C26" i="4"/>
  <c r="C28" i="4"/>
  <c r="C29" i="4"/>
  <c r="C30" i="4" s="1"/>
  <c r="C31" i="4" s="1"/>
  <c r="C34" i="4"/>
  <c r="C35" i="4"/>
  <c r="C36" i="4"/>
  <c r="C37" i="4"/>
  <c r="D6" i="1"/>
  <c r="D6" i="7" l="1"/>
  <c r="D14" i="8" l="1"/>
  <c r="C14" i="8"/>
  <c r="B14" i="8"/>
  <c r="C10" i="7" l="1"/>
  <c r="D9" i="7"/>
  <c r="C9" i="7" s="1"/>
  <c r="O20" i="7"/>
  <c r="I27" i="7"/>
  <c r="I28" i="7" s="1"/>
  <c r="I30" i="7" s="1"/>
  <c r="C37" i="7" s="1"/>
  <c r="I23" i="1"/>
  <c r="I26" i="6"/>
  <c r="I27" i="6" s="1"/>
  <c r="I29" i="6" s="1"/>
  <c r="C37" i="6" s="1"/>
  <c r="I24" i="1"/>
  <c r="I26" i="1" s="1"/>
  <c r="C14" i="6"/>
  <c r="C11" i="6"/>
  <c r="D10" i="6"/>
  <c r="C10" i="6" s="1"/>
  <c r="D9" i="6"/>
  <c r="C13" i="6" l="1"/>
  <c r="C9" i="6"/>
  <c r="C34" i="6" s="1"/>
  <c r="C18" i="7" l="1"/>
  <c r="C17" i="7"/>
  <c r="C16" i="7"/>
  <c r="C15" i="7"/>
  <c r="C6" i="7"/>
  <c r="C16" i="6"/>
  <c r="C6" i="6"/>
  <c r="C35" i="6" s="1"/>
  <c r="J27" i="4"/>
  <c r="J28" i="4"/>
  <c r="J29" i="4"/>
  <c r="J30" i="4"/>
  <c r="J31" i="4"/>
  <c r="J32" i="4"/>
  <c r="J33" i="4"/>
  <c r="J34" i="4"/>
  <c r="J35" i="4"/>
  <c r="J36" i="4"/>
  <c r="J37" i="4"/>
  <c r="J38" i="4"/>
  <c r="J44" i="4"/>
  <c r="J45" i="4"/>
  <c r="J46" i="4"/>
  <c r="J17" i="4"/>
  <c r="J18" i="4"/>
  <c r="J19" i="4"/>
  <c r="J20" i="4"/>
  <c r="J21" i="4"/>
  <c r="J22" i="4"/>
  <c r="J23" i="4"/>
  <c r="J24" i="4"/>
  <c r="J25" i="4"/>
  <c r="J26" i="4"/>
  <c r="J43" i="4"/>
  <c r="K45" i="4" s="1"/>
  <c r="B20" i="7" l="1"/>
  <c r="C35" i="7"/>
  <c r="C29" i="6"/>
  <c r="K44" i="4"/>
  <c r="L33" i="4"/>
  <c r="L25" i="4"/>
  <c r="M44" i="4"/>
  <c r="L35" i="4"/>
  <c r="K30" i="4"/>
  <c r="K22" i="4"/>
  <c r="M37" i="4"/>
  <c r="L32" i="4"/>
  <c r="K27" i="4"/>
  <c r="L24" i="4"/>
  <c r="K19" i="4"/>
  <c r="L46" i="4"/>
  <c r="M34" i="4"/>
  <c r="L29" i="4"/>
  <c r="L21" i="4"/>
  <c r="K46" i="4"/>
  <c r="K43" i="4"/>
  <c r="K37" i="4"/>
  <c r="L34" i="4"/>
  <c r="M31" i="4"/>
  <c r="K29" i="4"/>
  <c r="L26" i="4"/>
  <c r="M23" i="4"/>
  <c r="K21" i="4"/>
  <c r="L18" i="4"/>
  <c r="M45" i="4"/>
  <c r="M38" i="4"/>
  <c r="K20" i="4"/>
  <c r="K25" i="4"/>
  <c r="K32" i="4"/>
  <c r="K24" i="4"/>
  <c r="M18" i="4"/>
  <c r="M43" i="4"/>
  <c r="M36" i="4"/>
  <c r="K34" i="4"/>
  <c r="L31" i="4"/>
  <c r="M28" i="4"/>
  <c r="K26" i="4"/>
  <c r="L23" i="4"/>
  <c r="M20" i="4"/>
  <c r="K18" i="4"/>
  <c r="L45" i="4"/>
  <c r="K36" i="4"/>
  <c r="M30" i="4"/>
  <c r="K28" i="4"/>
  <c r="M22" i="4"/>
  <c r="L38" i="4"/>
  <c r="M35" i="4"/>
  <c r="K33" i="4"/>
  <c r="L30" i="4"/>
  <c r="M27" i="4"/>
  <c r="L22" i="4"/>
  <c r="M19" i="4"/>
  <c r="L44" i="4"/>
  <c r="K38" i="4"/>
  <c r="M32" i="4"/>
  <c r="L27" i="4"/>
  <c r="M24" i="4"/>
  <c r="L19" i="4"/>
  <c r="M46" i="4"/>
  <c r="K35" i="4"/>
  <c r="M29" i="4"/>
  <c r="M21" i="4"/>
  <c r="L37" i="4"/>
  <c r="M26" i="4"/>
  <c r="L43" i="4"/>
  <c r="L36" i="4"/>
  <c r="M33" i="4"/>
  <c r="K31" i="4"/>
  <c r="L28" i="4"/>
  <c r="M25" i="4"/>
  <c r="K23" i="4"/>
  <c r="L20" i="4"/>
  <c r="F44" i="4"/>
  <c r="F45" i="4"/>
  <c r="F46" i="4"/>
  <c r="F43" i="4"/>
  <c r="D44" i="4"/>
  <c r="D45" i="4"/>
  <c r="D46" i="4"/>
  <c r="D18" i="4"/>
  <c r="D19" i="4"/>
  <c r="D20" i="4"/>
  <c r="D21" i="4"/>
  <c r="D22" i="4"/>
  <c r="D27" i="4"/>
  <c r="D32" i="4"/>
  <c r="D33" i="4"/>
  <c r="D38" i="4"/>
  <c r="D43" i="4"/>
  <c r="E44" i="4"/>
  <c r="E45" i="4"/>
  <c r="E46" i="4"/>
  <c r="E18" i="4"/>
  <c r="E19" i="4"/>
  <c r="E20" i="4"/>
  <c r="E21" i="4"/>
  <c r="E22" i="4"/>
  <c r="E27" i="4"/>
  <c r="E32" i="4"/>
  <c r="E33" i="4"/>
  <c r="E38" i="4"/>
  <c r="E43" i="4"/>
  <c r="E37" i="4"/>
  <c r="D31" i="4"/>
  <c r="C6" i="1"/>
  <c r="C33" i="1" s="1"/>
  <c r="C13" i="1"/>
  <c r="C14" i="1"/>
  <c r="C15" i="1"/>
  <c r="C12" i="1"/>
  <c r="E24" i="4" l="1"/>
  <c r="D26" i="4"/>
  <c r="E23" i="4"/>
  <c r="D25" i="4"/>
  <c r="E34" i="4"/>
  <c r="E26" i="4"/>
  <c r="E25" i="4"/>
  <c r="D30" i="4"/>
  <c r="D36" i="4"/>
  <c r="D28" i="4"/>
  <c r="D37" i="4"/>
  <c r="L40" i="4"/>
  <c r="L41" i="4" s="1"/>
  <c r="E29" i="4"/>
  <c r="E31" i="4"/>
  <c r="D35" i="4"/>
  <c r="E30" i="4"/>
  <c r="E36" i="4"/>
  <c r="E28" i="4"/>
  <c r="D24" i="4"/>
  <c r="M40" i="4"/>
  <c r="M41" i="4" s="1"/>
  <c r="K40" i="4"/>
  <c r="K41" i="4" s="1"/>
  <c r="D29" i="4"/>
  <c r="D34" i="4"/>
  <c r="E35" i="4"/>
  <c r="D23" i="4"/>
  <c r="C26" i="1"/>
  <c r="C9" i="4" l="1" a="1"/>
  <c r="D40" i="4"/>
  <c r="E40" i="4"/>
  <c r="F40" i="4"/>
  <c r="C9" i="4" l="1"/>
  <c r="C8" i="4" a="1"/>
  <c r="L5" i="6" s="1" a="1"/>
  <c r="L5" i="6" s="1"/>
  <c r="C8" i="4" l="1"/>
  <c r="L5" i="7" a="1"/>
  <c r="L5" i="7" s="1"/>
  <c r="L30" i="7" s="1"/>
  <c r="L29" i="6"/>
  <c r="C36" i="6" s="1"/>
  <c r="C12" i="7"/>
  <c r="B29" i="6" l="1"/>
  <c r="C5" i="8" s="1"/>
  <c r="C39" i="6"/>
  <c r="D2" i="9" s="1" a="1"/>
  <c r="L31" i="6"/>
  <c r="L32" i="6" s="1"/>
  <c r="L33" i="6" s="1"/>
  <c r="C36" i="7"/>
  <c r="L5" i="1" a="1"/>
  <c r="L5" i="1" s="1"/>
  <c r="L26" i="1" s="1"/>
  <c r="C30" i="7"/>
  <c r="B30" i="7" s="1"/>
  <c r="C34" i="7"/>
  <c r="C34" i="1" l="1"/>
  <c r="C37" i="1" s="1"/>
  <c r="B2" i="9" s="1" a="1"/>
  <c r="B2" i="9" s="1"/>
  <c r="B26" i="1"/>
  <c r="B5" i="8" s="1"/>
  <c r="D2" i="9"/>
  <c r="C12" i="9"/>
  <c r="K3" i="9"/>
  <c r="K5" i="9"/>
  <c r="K7" i="9"/>
  <c r="K6" i="9"/>
  <c r="K4" i="9"/>
  <c r="C2" i="8"/>
  <c r="C39" i="7"/>
  <c r="C2" i="9" s="1" a="1"/>
  <c r="D5" i="8"/>
  <c r="B2" i="8" l="1"/>
  <c r="B15" i="8" s="1"/>
  <c r="B7" i="8"/>
  <c r="B8" i="8" s="1"/>
  <c r="D2" i="8"/>
  <c r="F7" i="8" s="1"/>
  <c r="D7" i="8"/>
  <c r="D8" i="8" s="1"/>
  <c r="C35" i="9" a="1"/>
  <c r="C35" i="9" s="1"/>
  <c r="I7" i="9"/>
  <c r="I6" i="9"/>
  <c r="I3" i="9"/>
  <c r="I5" i="9"/>
  <c r="I4" i="9"/>
  <c r="B12" i="9"/>
  <c r="K9" i="9"/>
  <c r="C15" i="8"/>
  <c r="K4" i="8"/>
  <c r="C2" i="9"/>
  <c r="C10" i="9"/>
  <c r="J3" i="9"/>
  <c r="J5" i="9"/>
  <c r="D12" i="9"/>
  <c r="J6" i="9"/>
  <c r="J7" i="9"/>
  <c r="J4" i="9"/>
  <c r="K3" i="8" l="1"/>
  <c r="N3" i="8" s="1"/>
  <c r="D15" i="8"/>
  <c r="K8" i="8"/>
  <c r="M5" i="8" s="1"/>
  <c r="I9" i="9"/>
  <c r="J9" i="9"/>
  <c r="M3" i="8" l="1"/>
  <c r="N5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<sst xmlns="http://schemas.openxmlformats.org/spreadsheetml/2006/main" count="321" uniqueCount="131">
  <si>
    <t>Investitionskosten</t>
  </si>
  <si>
    <t>Kosten</t>
  </si>
  <si>
    <t>Wärmequelle</t>
  </si>
  <si>
    <t>Verteilsystem Gebäude</t>
  </si>
  <si>
    <t>Wärmenetz</t>
  </si>
  <si>
    <t>-</t>
  </si>
  <si>
    <t>PV-Einspeisung</t>
  </si>
  <si>
    <t>Sanierungsmaßnahmen Gebäude</t>
  </si>
  <si>
    <t>Kapitalgebundene Kosten</t>
  </si>
  <si>
    <t>Bedarfsgebundene Kosten</t>
  </si>
  <si>
    <t>Energiekosten</t>
  </si>
  <si>
    <t>Strom (Netzbezug)</t>
  </si>
  <si>
    <t xml:space="preserve">Betriebsgebundene Kosten </t>
  </si>
  <si>
    <t>Betrachtungszeitraum</t>
  </si>
  <si>
    <t>Rahmenbedingungen Kostensrechung</t>
  </si>
  <si>
    <t>[Jahre]</t>
  </si>
  <si>
    <t>FVR</t>
  </si>
  <si>
    <t>FVR Ambitioniert</t>
  </si>
  <si>
    <t>TV Ambitioniert</t>
  </si>
  <si>
    <t>SpS Ambitioniert</t>
  </si>
  <si>
    <t>SB ambitioniiert</t>
  </si>
  <si>
    <t>Basis</t>
  </si>
  <si>
    <t>FVR Basis</t>
  </si>
  <si>
    <t>TV Basis</t>
  </si>
  <si>
    <t>SpS Basis</t>
  </si>
  <si>
    <t>SB Basis</t>
  </si>
  <si>
    <t>TV</t>
  </si>
  <si>
    <t>SpS</t>
  </si>
  <si>
    <t>SB</t>
  </si>
  <si>
    <t>aus 3.7.3. dezentrale Sole-Wasser-WP</t>
  </si>
  <si>
    <t>jährliche Fixkosten</t>
  </si>
  <si>
    <t>[kW] aufgerundet aus Lastgängen</t>
  </si>
  <si>
    <t>[€/kW]</t>
  </si>
  <si>
    <t xml:space="preserve"> </t>
  </si>
  <si>
    <t xml:space="preserve">  </t>
  </si>
  <si>
    <t>Wärmepumpen Sole-Wasser ambitioniert 97,5% perzentil</t>
  </si>
  <si>
    <t>Geothermiesonden: Erschließungskosten Wärmequelle</t>
  </si>
  <si>
    <t>aus 2.4.1 Oberflächennahe Geothermie Quellenerschließung</t>
  </si>
  <si>
    <t>[€]</t>
  </si>
  <si>
    <t>[kW]</t>
  </si>
  <si>
    <t>ggf. nachabreiten</t>
  </si>
  <si>
    <t>Netzeinspeisevergütung</t>
  </si>
  <si>
    <t>(kleine) Großwärmepumpe</t>
  </si>
  <si>
    <t>sind quasi Instandhaltungskosten, Tabelle A2, A3, A4</t>
  </si>
  <si>
    <t>Quelle: Nationaler Energie- und Klimaplan (NECP), interpoliert</t>
  </si>
  <si>
    <t>Berechnung Energiekosten</t>
  </si>
  <si>
    <t>NetzStrompreisentwicklung</t>
  </si>
  <si>
    <t>dezentral</t>
  </si>
  <si>
    <t>NT-WN</t>
  </si>
  <si>
    <t>kalte NW</t>
  </si>
  <si>
    <t>Industrieband IB (20-500 MWh), ca. 180 MWh [ct/kWh]</t>
  </si>
  <si>
    <t>Summe [€]</t>
  </si>
  <si>
    <t>SYSTEM</t>
  </si>
  <si>
    <t>absolut</t>
  </si>
  <si>
    <t>Annahme PV ist 10 Jahre alt Baujahr 2014</t>
  </si>
  <si>
    <t>Quelle: https://www.bundesnetzagentur.de/DE/Fachthemen/ElektrizitaetundGas/ErneuerbareEnergien/EEG_Foerderung/Archiv_VergSaetze/start.html</t>
  </si>
  <si>
    <t>https://www.verbraucherzentrale.de/wissen/energie/erneuerbare-energien/photovoltaik-was-tun-mit-der-ue20anlage-wenn-die-eegfoerderung-endet-50846</t>
  </si>
  <si>
    <t>ct Einspeisevergütung</t>
  </si>
  <si>
    <t>€ Einspeise</t>
  </si>
  <si>
    <t>Pv Einspeisung [kWh]</t>
  </si>
  <si>
    <t>Einspeisung</t>
  </si>
  <si>
    <t>zusammenfassung</t>
  </si>
  <si>
    <t>ursprünglich</t>
  </si>
  <si>
    <t>ehemals 130</t>
  </si>
  <si>
    <t>Hauptstrangsleitung bis 250 kW</t>
  </si>
  <si>
    <t>[€/m]</t>
  </si>
  <si>
    <t>[€/MW]</t>
  </si>
  <si>
    <t>MW</t>
  </si>
  <si>
    <t>Übergabestation unter 1 MW</t>
  </si>
  <si>
    <t>Pumpstation unter 1 MW</t>
  </si>
  <si>
    <t>aus 3.7.3 Sole-Wasser-WP</t>
  </si>
  <si>
    <t>Anmerkung: WP werden mit zunehmender Größenordnung nach dem Datenblatt günstiger</t>
  </si>
  <si>
    <t>aus 4.2 Wärmenetze Niedertemperatur</t>
  </si>
  <si>
    <t>50 kW FVR</t>
  </si>
  <si>
    <t>130 kW SB</t>
  </si>
  <si>
    <t>Hausanschlussleitung 50 kW (für FVR + TV)</t>
  </si>
  <si>
    <t>Hausanschlussleitung &gt; 100 kW (SB)</t>
  </si>
  <si>
    <t>Fixkosten auf Jahresspanne</t>
  </si>
  <si>
    <t>Summe jährliche Fixkosten</t>
  </si>
  <si>
    <t>Fixkosten auf Zeitraum</t>
  </si>
  <si>
    <t>Annahme: Speicher sind weiterhin verwendbar</t>
  </si>
  <si>
    <t>Wärmenetz*</t>
  </si>
  <si>
    <t>Zeitraum:</t>
  </si>
  <si>
    <t>2025 - 2050</t>
  </si>
  <si>
    <t>nicht betrachteter Zeitraum</t>
  </si>
  <si>
    <t>Leistungen gebäude</t>
  </si>
  <si>
    <t>aus 4.3 Wärmenetze kalte Nahwärme</t>
  </si>
  <si>
    <t>[m]</t>
  </si>
  <si>
    <t>Kosten Hausanschlussleitung DN 90</t>
  </si>
  <si>
    <t>Pumpstation</t>
  </si>
  <si>
    <t>1% der Netzausbaukosten</t>
  </si>
  <si>
    <t>da war 5000???</t>
  </si>
  <si>
    <t>Netzausbaukosten</t>
  </si>
  <si>
    <t>Kosten Hauptleitungsstrang DN 250 (Grabenarbeiten)</t>
  </si>
  <si>
    <t>Kosten bezogen auf Zeitraum von 2025 - 2050 [€]</t>
  </si>
  <si>
    <t>CO2</t>
  </si>
  <si>
    <t>CO2-Einsparung</t>
  </si>
  <si>
    <t xml:space="preserve">Gas </t>
  </si>
  <si>
    <t>Kosten [€]  pro t CO2 Einsparung</t>
  </si>
  <si>
    <t>Bei Vergleich zu Gas</t>
  </si>
  <si>
    <t>rel Abw</t>
  </si>
  <si>
    <t>abs Abw</t>
  </si>
  <si>
    <t>Speicher, 13.000 l  (2 x 6.500)</t>
  </si>
  <si>
    <t>Jagnov et. Al</t>
  </si>
  <si>
    <t>Kostenposten</t>
  </si>
  <si>
    <t>Sanierung</t>
  </si>
  <si>
    <t>Wärmeerzeugung</t>
  </si>
  <si>
    <t>Wärmeverteilung- und Speicherung</t>
  </si>
  <si>
    <t>Kontrollsumme</t>
  </si>
  <si>
    <t>Instandhaltungskosten</t>
  </si>
  <si>
    <t>Kostenposten KNW</t>
  </si>
  <si>
    <t>KNW</t>
  </si>
  <si>
    <t xml:space="preserve">Kostenposten </t>
  </si>
  <si>
    <t>Prozentual</t>
  </si>
  <si>
    <t>NT-WN_proz</t>
  </si>
  <si>
    <t>runden</t>
  </si>
  <si>
    <t xml:space="preserve">Dez </t>
  </si>
  <si>
    <t>Abweichung CO2e</t>
  </si>
  <si>
    <t xml:space="preserve">absolute Diff </t>
  </si>
  <si>
    <t>VGL zu KNW</t>
  </si>
  <si>
    <t>Verteilsystem Gebäude WP</t>
  </si>
  <si>
    <t>Umfassend</t>
  </si>
  <si>
    <t>Summe WP</t>
  </si>
  <si>
    <t>Netz-Strombedarf [kWh]</t>
  </si>
  <si>
    <t>Energikosten</t>
  </si>
  <si>
    <t>Abweichung Kosten</t>
  </si>
  <si>
    <t>WW-WP Abwärme</t>
  </si>
  <si>
    <t>Netzstrombedarfe</t>
  </si>
  <si>
    <t>NT-WN 2,5</t>
  </si>
  <si>
    <t>NT-WN 10</t>
  </si>
  <si>
    <t>NT-WN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</si>
</sst>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.00\ _€_-;\-* #,##0.00\ _€_-;_-* &quot;-&quot;??\ _€_-;_-@_-"/>
    <numFmt numFmtId="165" formatCode="_-* #,##0.000\ _€_-;\-* #,##0.000\ _€_-;_-* &quot;-&quot;??\ _€_-;_-@_-"/>
    <numFmt numFmtId="166" formatCode="_-* #,##0_-;\-* #,##0_-;_-* &quot;-&quot;??_-;_-@_-"/>
    <numFmt numFmtId="167" formatCode="_-* #,##0.000_-;\-* #,##0.0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6"/>
      <name val="Calibri"/>
      <family val="2"/>
      <scheme val="minor"/>
    </font>
    <font>
      <sz val="10"/>
      <name val="Arial"/>
      <family val="2"/>
    </font>
    <font>
      <i/>
      <sz val="11"/>
      <color theme="2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1" applyNumberFormat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1" fillId="0" borderId="0"/>
  </cellStyleXfs>
  <cellXfs count="82">
    <xf numFmtId="0" fontId="0" fillId="0" borderId="0" xfId="0"/>
    <xf numFmtId="0" fontId="4" fillId="0" borderId="0" xfId="0" applyFont="1"/>
    <xf numFmtId="43" fontId="0" fillId="0" borderId="0" xfId="1" applyFont="1"/>
    <xf numFmtId="164" fontId="0" fillId="0" borderId="0" xfId="0" applyNumberFormat="1"/>
    <xf numFmtId="0" fontId="0" fillId="4" borderId="0" xfId="0" applyFill="1"/>
    <xf numFmtId="0" fontId="0" fillId="0" borderId="4" xfId="0" applyBorder="1"/>
    <xf numFmtId="0" fontId="0" fillId="0" borderId="5" xfId="0" applyBorder="1"/>
    <xf numFmtId="43" fontId="0" fillId="0" borderId="5" xfId="1" applyFont="1" applyBorder="1"/>
    <xf numFmtId="164" fontId="0" fillId="0" borderId="5" xfId="0" applyNumberFormat="1" applyBorder="1"/>
    <xf numFmtId="43" fontId="0" fillId="0" borderId="5" xfId="1" applyFont="1" applyBorder="1" applyAlignment="1">
      <alignment horizontal="center"/>
    </xf>
    <xf numFmtId="43" fontId="0" fillId="0" borderId="4" xfId="1" applyFont="1" applyBorder="1" applyAlignment="1">
      <alignment horizontal="center"/>
    </xf>
    <xf numFmtId="0" fontId="0" fillId="0" borderId="6" xfId="0" applyBorder="1"/>
    <xf numFmtId="0" fontId="0" fillId="0" borderId="9" xfId="0" applyBorder="1"/>
    <xf numFmtId="43" fontId="0" fillId="0" borderId="11" xfId="1" applyFont="1" applyBorder="1" applyAlignment="1">
      <alignment horizontal="center"/>
    </xf>
    <xf numFmtId="0" fontId="0" fillId="0" borderId="9" xfId="0" applyBorder="1" applyAlignment="1">
      <alignment horizontal="center"/>
    </xf>
    <xf numFmtId="43" fontId="4" fillId="0" borderId="3" xfId="1" applyFont="1" applyBorder="1" applyAlignment="1">
      <alignment horizontal="center"/>
    </xf>
    <xf numFmtId="0" fontId="0" fillId="0" borderId="12" xfId="0" applyBorder="1"/>
    <xf numFmtId="43" fontId="0" fillId="0" borderId="3" xfId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/>
    <xf numFmtId="0" fontId="0" fillId="0" borderId="19" xfId="0" applyBorder="1"/>
    <xf numFmtId="0" fontId="4" fillId="0" borderId="8" xfId="0" applyFont="1" applyBorder="1"/>
    <xf numFmtId="0" fontId="0" fillId="0" borderId="10" xfId="0" applyBorder="1"/>
    <xf numFmtId="0" fontId="0" fillId="0" borderId="20" xfId="0" applyBorder="1"/>
    <xf numFmtId="0" fontId="5" fillId="0" borderId="8" xfId="0" applyFont="1" applyBorder="1"/>
    <xf numFmtId="43" fontId="0" fillId="0" borderId="0" xfId="1" applyFont="1" applyBorder="1"/>
    <xf numFmtId="0" fontId="7" fillId="0" borderId="0" xfId="0" applyFont="1"/>
    <xf numFmtId="0" fontId="0" fillId="0" borderId="21" xfId="0" applyBorder="1"/>
    <xf numFmtId="0" fontId="0" fillId="0" borderId="22" xfId="0" applyBorder="1"/>
    <xf numFmtId="0" fontId="0" fillId="0" borderId="2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43" fontId="3" fillId="3" borderId="14" xfId="3" applyNumberFormat="1" applyBorder="1"/>
    <xf numFmtId="43" fontId="0" fillId="0" borderId="0" xfId="1" applyFont="1" applyBorder="1" applyAlignment="1">
      <alignment horizontal="center"/>
    </xf>
    <xf numFmtId="43" fontId="4" fillId="0" borderId="23" xfId="1" applyFont="1" applyBorder="1" applyAlignment="1">
      <alignment horizontal="center"/>
    </xf>
    <xf numFmtId="0" fontId="0" fillId="0" borderId="7" xfId="0" applyBorder="1"/>
    <xf numFmtId="0" fontId="0" fillId="0" borderId="24" xfId="0" applyBorder="1"/>
    <xf numFmtId="43" fontId="2" fillId="2" borderId="1" xfId="2" applyNumberFormat="1"/>
    <xf numFmtId="43" fontId="0" fillId="0" borderId="5" xfId="0" applyNumberFormat="1" applyBorder="1"/>
    <xf numFmtId="0" fontId="9" fillId="0" borderId="0" xfId="0" applyFont="1"/>
    <xf numFmtId="164" fontId="9" fillId="0" borderId="0" xfId="0" applyNumberFormat="1" applyFont="1"/>
    <xf numFmtId="43" fontId="0" fillId="0" borderId="0" xfId="0" applyNumberFormat="1"/>
    <xf numFmtId="165" fontId="0" fillId="0" borderId="0" xfId="0" applyNumberFormat="1"/>
    <xf numFmtId="0" fontId="0" fillId="5" borderId="0" xfId="0" applyFill="1"/>
    <xf numFmtId="2" fontId="0" fillId="0" borderId="0" xfId="0" applyNumberFormat="1"/>
    <xf numFmtId="166" fontId="0" fillId="0" borderId="0" xfId="0" applyNumberFormat="1"/>
    <xf numFmtId="43" fontId="4" fillId="0" borderId="0" xfId="0" applyNumberFormat="1" applyFont="1"/>
    <xf numFmtId="43" fontId="0" fillId="4" borderId="0" xfId="1" applyFont="1" applyFill="1"/>
    <xf numFmtId="0" fontId="0" fillId="6" borderId="8" xfId="0" applyFill="1" applyBorder="1"/>
    <xf numFmtId="43" fontId="0" fillId="6" borderId="5" xfId="1" applyFont="1" applyFill="1" applyBorder="1" applyAlignment="1">
      <alignment horizontal="center"/>
    </xf>
    <xf numFmtId="0" fontId="5" fillId="7" borderId="8" xfId="0" applyFont="1" applyFill="1" applyBorder="1"/>
    <xf numFmtId="43" fontId="0" fillId="7" borderId="5" xfId="1" applyFont="1" applyFill="1" applyBorder="1" applyAlignment="1">
      <alignment horizontal="center"/>
    </xf>
    <xf numFmtId="0" fontId="0" fillId="7" borderId="8" xfId="0" applyFill="1" applyBorder="1"/>
    <xf numFmtId="43" fontId="0" fillId="5" borderId="3" xfId="1" applyFont="1" applyFill="1" applyBorder="1" applyAlignment="1">
      <alignment horizontal="center"/>
    </xf>
    <xf numFmtId="0" fontId="0" fillId="8" borderId="8" xfId="0" applyFill="1" applyBorder="1"/>
    <xf numFmtId="43" fontId="0" fillId="8" borderId="5" xfId="1" applyFont="1" applyFill="1" applyBorder="1" applyAlignment="1">
      <alignment horizontal="center"/>
    </xf>
    <xf numFmtId="43" fontId="0" fillId="8" borderId="3" xfId="1" applyFont="1" applyFill="1" applyBorder="1" applyAlignment="1">
      <alignment horizontal="center"/>
    </xf>
    <xf numFmtId="0" fontId="5" fillId="9" borderId="8" xfId="0" applyFont="1" applyFill="1" applyBorder="1"/>
    <xf numFmtId="43" fontId="0" fillId="9" borderId="5" xfId="1" applyFont="1" applyFill="1" applyBorder="1" applyAlignment="1">
      <alignment horizontal="center"/>
    </xf>
    <xf numFmtId="0" fontId="0" fillId="9" borderId="8" xfId="0" applyFill="1" applyBorder="1"/>
    <xf numFmtId="0" fontId="4" fillId="0" borderId="16" xfId="0" applyFont="1" applyBorder="1"/>
    <xf numFmtId="43" fontId="0" fillId="0" borderId="18" xfId="1" applyFont="1" applyBorder="1" applyAlignment="1">
      <alignment horizontal="center"/>
    </xf>
    <xf numFmtId="43" fontId="0" fillId="9" borderId="19" xfId="1" applyFont="1" applyFill="1" applyBorder="1" applyAlignment="1">
      <alignment horizontal="center"/>
    </xf>
    <xf numFmtId="43" fontId="0" fillId="6" borderId="19" xfId="1" applyFont="1" applyFill="1" applyBorder="1" applyAlignment="1">
      <alignment horizontal="center"/>
    </xf>
    <xf numFmtId="43" fontId="0" fillId="7" borderId="19" xfId="1" applyFont="1" applyFill="1" applyBorder="1" applyAlignment="1">
      <alignment horizontal="center"/>
    </xf>
    <xf numFmtId="0" fontId="0" fillId="5" borderId="8" xfId="0" applyFill="1" applyBorder="1"/>
    <xf numFmtId="43" fontId="0" fillId="5" borderId="19" xfId="1" applyFont="1" applyFill="1" applyBorder="1" applyAlignment="1">
      <alignment horizontal="center"/>
    </xf>
    <xf numFmtId="43" fontId="3" fillId="3" borderId="3" xfId="3" applyNumberFormat="1" applyBorder="1"/>
    <xf numFmtId="43" fontId="0" fillId="9" borderId="5" xfId="1" applyFont="1" applyFill="1" applyBorder="1"/>
    <xf numFmtId="0" fontId="5" fillId="6" borderId="8" xfId="0" applyFont="1" applyFill="1" applyBorder="1"/>
    <xf numFmtId="164" fontId="0" fillId="7" borderId="5" xfId="0" applyNumberFormat="1" applyFill="1" applyBorder="1"/>
    <xf numFmtId="43" fontId="0" fillId="7" borderId="8" xfId="0" applyNumberFormat="1" applyFill="1" applyBorder="1"/>
    <xf numFmtId="4" fontId="0" fillId="0" borderId="0" xfId="0" applyNumberFormat="1"/>
    <xf numFmtId="167" fontId="0" fillId="0" borderId="0" xfId="0" applyNumberFormat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9" fillId="0" borderId="0" xfId="0" applyFont="1" applyAlignment="1">
      <alignment horizontal="center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0" fillId="0" borderId="0" xfId="0" applyAlignment="1">
      <alignment horizontal="left" vertical="top" wrapText="1"/>
    </xf>
  </cellXfs>
  <cellStyles count="8">
    <cellStyle name="Berechnung" xfId="3" builtinId="22"/>
    <cellStyle name="Eingabe" xfId="2" builtinId="20"/>
    <cellStyle name="Komma" xfId="1" builtinId="3"/>
    <cellStyle name="Prozent 2" xfId="5" xr:uid="{C7BC5043-6533-497A-A9D7-89B2F8FF202B}"/>
    <cellStyle name="Standard" xfId="0" builtinId="0"/>
    <cellStyle name="Standard 2" xfId="6" xr:uid="{8BE9DE7D-5E51-4A58-A7D1-6AAD99D60173}"/>
    <cellStyle name="Standard 3" xfId="7" xr:uid="{6B59188E-822E-4F5A-9F92-94505EEE6D60}"/>
    <cellStyle name="Standard 4" xfId="4" xr:uid="{8A321214-83BD-400C-B2C7-5D72DCE5D4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8F611333-6F98-4282-BD25-16B91C502912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70E-43F3-A1E7-F99BDCB1299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246D0A0-0B25-4B04-9096-544220099669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70E-43F3-A1E7-F99BDCB1299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94FA86B-53BB-4898-82BF-A8DB8FA5B95A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370E-43F3-A1E7-F99BDCB1299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717A06C-515B-4993-B23E-3068018C843A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EC49-4E72-A3BE-16F32324A2F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2AF0B0A-492E-4BDA-B8DB-9E66719814AC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C49-4E72-A3BE-16F32324A2F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BBF5E5F4-8A93-4CA9-B94A-663217E4A74C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C49-4E72-A3BE-16F32324A2F1}"/>
                </c:ext>
              </c:extLst>
            </c:dLbl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Zusammenfassung!$K$3:$K$8</c:f>
              <c:numCache>
                <c:formatCode>_-* #,##0.000_-;\-* #,##0.000_-;_-* "-"??_-;_-@_-</c:formatCode>
                <c:ptCount val="6"/>
                <c:pt idx="0" formatCode="_(* #,##0.00_);_(* \(#,##0.00\);_(* &quot;-&quot;??_);_(@_)">
                  <c:v>2.0695804917797993</c:v>
                </c:pt>
                <c:pt idx="1">
                  <c:v>1.7779254491193692</c:v>
                </c:pt>
                <c:pt idx="2">
                  <c:v>1.777925449119369</c:v>
                </c:pt>
                <c:pt idx="3" formatCode="_(* #,##0.00_);_(* \(#,##0.00\);_(* &quot;-&quot;??_);_(@_)">
                  <c:v>1.7569054221193687</c:v>
                </c:pt>
                <c:pt idx="4" formatCode="_(* #,##0.00_);_(* \(#,##0.00\);_(* &quot;-&quot;??_);_(@_)">
                  <c:v>1.728968557994369</c:v>
                </c:pt>
                <c:pt idx="5" formatCode="_(* #,##0.00_);_(* \(#,##0.00\);_(* &quot;-&quot;??_);_(@_)">
                  <c:v>2.1404929913135451</c:v>
                </c:pt>
              </c:numCache>
            </c:numRef>
          </c:xVal>
          <c:yVal>
            <c:numRef>
              <c:f>Zusammenfassung!$L$3:$L$8</c:f>
              <c:numCache>
                <c:formatCode>_(* #,##0.00_);_(* \(#,##0.00\);_(* "-"??_);_(@_)</c:formatCode>
                <c:ptCount val="6"/>
                <c:pt idx="0">
                  <c:v>268.86148700000001</c:v>
                </c:pt>
                <c:pt idx="1">
                  <c:v>557.10423600000001</c:v>
                </c:pt>
                <c:pt idx="2">
                  <c:v>546.77647300000001</c:v>
                </c:pt>
                <c:pt idx="3">
                  <c:v>521.04030799999998</c:v>
                </c:pt>
                <c:pt idx="4">
                  <c:v>487.02710100000002</c:v>
                </c:pt>
                <c:pt idx="5">
                  <c:v>243.30137300000001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Zusammenfassung!$J$3:$J$8</c15:f>
                <c15:dlblRangeCache>
                  <c:ptCount val="6"/>
                  <c:pt idx="0">
                    <c:v>dezentral</c:v>
                  </c:pt>
                  <c:pt idx="1">
                    <c:v>NT-WN</c:v>
                  </c:pt>
                  <c:pt idx="2">
                    <c:v>NT-WN 2,5</c:v>
                  </c:pt>
                  <c:pt idx="3">
                    <c:v>NT-WN 10</c:v>
                  </c:pt>
                  <c:pt idx="4">
                    <c:v>NT-WN 20</c:v>
                  </c:pt>
                  <c:pt idx="5">
                    <c:v>kalte NW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370E-43F3-A1E7-F99BDCB12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5809888"/>
        <c:axId val="1115810368"/>
      </c:scatterChart>
      <c:valAx>
        <c:axId val="1115809888"/>
        <c:scaling>
          <c:orientation val="minMax"/>
          <c:max val="2.25"/>
          <c:min val="1.70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Kosten [Mio 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10368"/>
        <c:crosses val="autoZero"/>
        <c:crossBetween val="midCat"/>
        <c:majorUnit val="0.1"/>
        <c:minorUnit val="5.000000000000001E-2"/>
      </c:valAx>
      <c:valAx>
        <c:axId val="1115810368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CO2e in Referenzzeitraum [t]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0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6A7D090D-ABAF-458E-920F-DE4318CDDA4B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B3C-4D90-A3B2-AE812CEC082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280E278-2AF5-4337-A1BF-78BBB473734D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B3C-4D90-A3B2-AE812CEC082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705CAC6-BE0C-4F39-8395-A419F88FB87D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B3C-4D90-A3B2-AE812CEC082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35DF43D-4EE4-4A66-972A-90AC72E3C339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171-48F3-8A15-B2E46FAB18E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7ECF59D-48BF-411B-B325-FB7878314B5B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171-48F3-8A15-B2E46FAB18E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837FF583-5CD7-43DC-94BC-02EA77406F54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6171-48F3-8A15-B2E46FAB18EF}"/>
                </c:ext>
              </c:extLst>
            </c:dLbl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Zusammenfassung!$K$3:$K$8</c:f>
              <c:numCache>
                <c:formatCode>_-* #,##0.000_-;\-* #,##0.000_-;_-* "-"??_-;_-@_-</c:formatCode>
                <c:ptCount val="6"/>
                <c:pt idx="0" formatCode="_(* #,##0.00_);_(* \(#,##0.00\);_(* &quot;-&quot;??_);_(@_)">
                  <c:v>2.0695804917797993</c:v>
                </c:pt>
                <c:pt idx="1">
                  <c:v>1.7779254491193692</c:v>
                </c:pt>
                <c:pt idx="2">
                  <c:v>1.777925449119369</c:v>
                </c:pt>
                <c:pt idx="3" formatCode="_(* #,##0.00_);_(* \(#,##0.00\);_(* &quot;-&quot;??_);_(@_)">
                  <c:v>1.7569054221193687</c:v>
                </c:pt>
                <c:pt idx="4" formatCode="_(* #,##0.00_);_(* \(#,##0.00\);_(* &quot;-&quot;??_);_(@_)">
                  <c:v>1.728968557994369</c:v>
                </c:pt>
                <c:pt idx="5" formatCode="_(* #,##0.00_);_(* \(#,##0.00\);_(* &quot;-&quot;??_);_(@_)">
                  <c:v>2.1404929913135451</c:v>
                </c:pt>
              </c:numCache>
            </c:numRef>
          </c:xVal>
          <c:yVal>
            <c:numRef>
              <c:f>Zusammenfassung!$L$3:$L$8</c:f>
              <c:numCache>
                <c:formatCode>_(* #,##0.00_);_(* \(#,##0.00\);_(* "-"??_);_(@_)</c:formatCode>
                <c:ptCount val="6"/>
                <c:pt idx="0">
                  <c:v>268.86148700000001</c:v>
                </c:pt>
                <c:pt idx="1">
                  <c:v>557.10423600000001</c:v>
                </c:pt>
                <c:pt idx="2">
                  <c:v>546.77647300000001</c:v>
                </c:pt>
                <c:pt idx="3">
                  <c:v>521.04030799999998</c:v>
                </c:pt>
                <c:pt idx="4">
                  <c:v>487.02710100000002</c:v>
                </c:pt>
                <c:pt idx="5">
                  <c:v>243.30137300000001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Zusammenfassung!$J$3:$J$8</c15:f>
                <c15:dlblRangeCache>
                  <c:ptCount val="6"/>
                  <c:pt idx="0">
                    <c:v>dezentral</c:v>
                  </c:pt>
                  <c:pt idx="1">
                    <c:v>NT-WN</c:v>
                  </c:pt>
                  <c:pt idx="2">
                    <c:v>NT-WN 2,5</c:v>
                  </c:pt>
                  <c:pt idx="3">
                    <c:v>NT-WN 10</c:v>
                  </c:pt>
                  <c:pt idx="4">
                    <c:v>NT-WN 20</c:v>
                  </c:pt>
                  <c:pt idx="5">
                    <c:v>kalte NW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3B3C-4D90-A3B2-AE812CEC08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5809888"/>
        <c:axId val="1115810368"/>
      </c:scatterChart>
      <c:valAx>
        <c:axId val="1115809888"/>
        <c:scaling>
          <c:orientation val="minMax"/>
          <c:max val="2.25"/>
          <c:min val="1.75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Kosten [Mio 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10368"/>
        <c:crosses val="autoZero"/>
        <c:crossBetween val="midCat"/>
        <c:majorUnit val="0.1"/>
        <c:minorUnit val="5.000000000000001E-2"/>
      </c:valAx>
      <c:valAx>
        <c:axId val="1115810368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CO2e in Referenzzeitraum [t]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0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'Kostenposten_8.2.2'!$A$3</c:f>
              <c:strCache>
                <c:ptCount val="1"/>
                <c:pt idx="0">
                  <c:v>Sanierung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'Kostenposten_8.2.2'!$B$3:$G$3</c15:sqref>
                  </c15:fullRef>
                </c:ext>
              </c:extLst>
              <c:f>'Kostenposten_8.2.2'!$B$3:$D$3</c:f>
              <c:numCache>
                <c:formatCode>_(* #,##0.00_);_(* \(#,##0.00\);_(* "-"??_);_(@_)</c:formatCode>
                <c:ptCount val="3"/>
                <c:pt idx="0">
                  <c:v>1580000</c:v>
                </c:pt>
                <c:pt idx="1">
                  <c:v>1580000</c:v>
                </c:pt>
                <c:pt idx="2">
                  <c:v>630000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01-4D18-8249-81291BF26B31}"/>
            </c:ext>
          </c:extLst>
        </c:ser>
        <c:ser>
          <c:idx val="1"/>
          <c:order val="1"/>
          <c:tx>
            <c:strRef>
              <c:f>'Kostenposten_8.2.2'!$A$4</c:f>
              <c:strCache>
                <c:ptCount val="1"/>
                <c:pt idx="0">
                  <c:v>Wärmeverteilung- und Speicherung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'Kostenposten_8.2.2'!$B$4:$G$4</c15:sqref>
                  </c15:fullRef>
                </c:ext>
              </c:extLst>
              <c:f>'Kostenposten_8.2.2'!$B$4:$D$4</c:f>
              <c:numCache>
                <c:formatCode>_(* #,##0.00_);_(* \(#,##0.00\);_(* "-"??_);_(@_)</c:formatCode>
                <c:ptCount val="3"/>
                <c:pt idx="0">
                  <c:v>0</c:v>
                </c:pt>
                <c:pt idx="1">
                  <c:v>81346.2</c:v>
                </c:pt>
                <c:pt idx="2">
                  <c:v>296127.68564031721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01-4D18-8249-81291BF26B31}"/>
            </c:ext>
          </c:extLst>
        </c:ser>
        <c:ser>
          <c:idx val="2"/>
          <c:order val="2"/>
          <c:tx>
            <c:strRef>
              <c:f>'Kostenposten_8.2.2'!$A$5</c:f>
              <c:strCache>
                <c:ptCount val="1"/>
                <c:pt idx="0">
                  <c:v>Wärmeerzeugung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'Kostenposten_8.2.2'!$B$5:$G$5</c15:sqref>
                  </c15:fullRef>
                </c:ext>
              </c:extLst>
              <c:f>'Kostenposten_8.2.2'!$B$5:$D$5</c:f>
              <c:numCache>
                <c:formatCode>_(* #,##0.00_);_(* \(#,##0.00\);_(* "-"??_);_(@_)</c:formatCode>
                <c:ptCount val="3"/>
                <c:pt idx="0">
                  <c:v>247848</c:v>
                </c:pt>
                <c:pt idx="1">
                  <c:v>243744</c:v>
                </c:pt>
                <c:pt idx="2">
                  <c:v>255780.5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01-4D18-8249-81291BF26B31}"/>
            </c:ext>
          </c:extLst>
        </c:ser>
        <c:ser>
          <c:idx val="3"/>
          <c:order val="3"/>
          <c:tx>
            <c:strRef>
              <c:f>'Kostenposten_8.2.2'!$A$6</c:f>
              <c:strCache>
                <c:ptCount val="1"/>
                <c:pt idx="0">
                  <c:v>Energiekosten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'Kostenposten_8.2.2'!$B$6:$G$6</c15:sqref>
                  </c15:fullRef>
                </c:ext>
              </c:extLst>
              <c:f>'Kostenposten_8.2.2'!$B$6:$D$6</c:f>
              <c:numCache>
                <c:formatCode>_(* #,##0.00_);_(* \(#,##0.00\);_(* "-"??_);_(@_)</c:formatCode>
                <c:ptCount val="3"/>
                <c:pt idx="0">
                  <c:v>194232.49177979934</c:v>
                </c:pt>
                <c:pt idx="1">
                  <c:v>167566.24131354483</c:v>
                </c:pt>
                <c:pt idx="2">
                  <c:v>563842.26347905188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301-4D18-8249-81291BF26B31}"/>
            </c:ext>
          </c:extLst>
        </c:ser>
        <c:ser>
          <c:idx val="4"/>
          <c:order val="4"/>
          <c:tx>
            <c:strRef>
              <c:f>'Kostenposten_8.2.2'!$A$7</c:f>
              <c:strCache>
                <c:ptCount val="1"/>
                <c:pt idx="0">
                  <c:v>Instandhaltungskosten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'Kostenposten_8.2.2'!$B$7:$G$7</c15:sqref>
                  </c15:fullRef>
                </c:ext>
              </c:extLst>
              <c:f>'Kostenposten_8.2.2'!$B$7:$D$7</c:f>
              <c:numCache>
                <c:formatCode>_(* #,##0.00_);_(* \(#,##0.00\);_(* "-"??_);_(@_)</c:formatCode>
                <c:ptCount val="3"/>
                <c:pt idx="0">
                  <c:v>47500</c:v>
                </c:pt>
                <c:pt idx="1">
                  <c:v>67836.55</c:v>
                </c:pt>
                <c:pt idx="2">
                  <c:v>32175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301-4D18-8249-81291BF26B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7642975"/>
        <c:axId val="497643935"/>
      </c:barChart>
      <c:catAx>
        <c:axId val="497642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497643935"/>
        <c:crosses val="autoZero"/>
        <c:auto val="1"/>
        <c:lblAlgn val="ctr"/>
        <c:lblOffset val="100"/>
        <c:noMultiLvlLbl val="0"/>
      </c:catAx>
      <c:valAx>
        <c:axId val="497643935"/>
        <c:scaling>
          <c:orientation val="minMax"/>
          <c:max val="22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49764297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'Kostenposten_8.2.2'!$H$3</c:f>
              <c:strCache>
                <c:ptCount val="1"/>
                <c:pt idx="0">
                  <c:v>Sanierung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'Kostenposten_8.2.2'!$I$3:$K$3</c:f>
              <c:numCache>
                <c:formatCode>_(* #,##0.00_);_(* \(#,##0.00\);_(* "-"??_);_(@_)</c:formatCode>
                <c:ptCount val="3"/>
                <c:pt idx="0">
                  <c:v>0.76343974359810018</c:v>
                </c:pt>
                <c:pt idx="1">
                  <c:v>0.73814771008916502</c:v>
                </c:pt>
                <c:pt idx="2">
                  <c:v>0.35434556623960117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C5-4DA1-901F-220ADA4D0434}"/>
            </c:ext>
          </c:extLst>
        </c:ser>
        <c:ser>
          <c:idx val="1"/>
          <c:order val="1"/>
          <c:tx>
            <c:strRef>
              <c:f>'Kostenposten_8.2.2'!$H$4</c:f>
              <c:strCache>
                <c:ptCount val="1"/>
                <c:pt idx="0">
                  <c:v>Wärmeverteilung- und Speicherung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'Kostenposten_8.2.2'!$I$4:$K$4</c:f>
              <c:numCache>
                <c:formatCode>_(* #,##0.00_);_(* \(#,##0.00\);_(* "-"??_);_(@_)</c:formatCode>
                <c:ptCount val="3"/>
                <c:pt idx="0">
                  <c:v>0</c:v>
                </c:pt>
                <c:pt idx="1">
                  <c:v>3.8003488135731164E-2</c:v>
                </c:pt>
                <c:pt idx="2">
                  <c:v>0.16655798801181082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C5-4DA1-901F-220ADA4D0434}"/>
            </c:ext>
          </c:extLst>
        </c:ser>
        <c:ser>
          <c:idx val="2"/>
          <c:order val="2"/>
          <c:tx>
            <c:strRef>
              <c:f>'Kostenposten_8.2.2'!$H$5</c:f>
              <c:strCache>
                <c:ptCount val="1"/>
                <c:pt idx="0">
                  <c:v>Wärmeerzeugung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'Kostenposten_8.2.2'!$I$5:$K$5</c:f>
              <c:numCache>
                <c:formatCode>_(* #,##0.00_);_(* \(#,##0.00\);_(* "-"??_);_(@_)</c:formatCode>
                <c:ptCount val="3"/>
                <c:pt idx="0">
                  <c:v>0.11975760352614045</c:v>
                </c:pt>
                <c:pt idx="1">
                  <c:v>0.11387283256200852</c:v>
                </c:pt>
                <c:pt idx="2">
                  <c:v>0.14386458111991793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C5-4DA1-901F-220ADA4D0434}"/>
            </c:ext>
          </c:extLst>
        </c:ser>
        <c:ser>
          <c:idx val="3"/>
          <c:order val="3"/>
          <c:tx>
            <c:strRef>
              <c:f>'Kostenposten_8.2.2'!$H$6</c:f>
              <c:strCache>
                <c:ptCount val="1"/>
                <c:pt idx="0">
                  <c:v>Energiekosten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'Kostenposten_8.2.2'!$I$6:$K$6</c:f>
              <c:numCache>
                <c:formatCode>_(* #,##0.00_);_(* \(#,##0.00\);_(* "-"??_);_(@_)</c:formatCode>
                <c:ptCount val="3"/>
                <c:pt idx="0">
                  <c:v>9.3851141596702589E-2</c:v>
                </c:pt>
                <c:pt idx="1">
                  <c:v>7.8283947666988332E-2</c:v>
                </c:pt>
                <c:pt idx="2">
                  <c:v>0.31713493035286194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C5-4DA1-901F-220ADA4D0434}"/>
            </c:ext>
          </c:extLst>
        </c:ser>
        <c:ser>
          <c:idx val="4"/>
          <c:order val="4"/>
          <c:tx>
            <c:strRef>
              <c:f>'Kostenposten_8.2.2'!$H$7</c:f>
              <c:strCache>
                <c:ptCount val="1"/>
                <c:pt idx="0">
                  <c:v>Instandhaltungskosten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'Kostenposten_8.2.2'!$I$7:$K$7</c:f>
              <c:numCache>
                <c:formatCode>_(* #,##0.00_);_(* \(#,##0.00\);_(* "-"??_);_(@_)</c:formatCode>
                <c:ptCount val="3"/>
                <c:pt idx="0">
                  <c:v>2.2951511279056806E-2</c:v>
                </c:pt>
                <c:pt idx="1">
                  <c:v>3.1692021546107056E-2</c:v>
                </c:pt>
                <c:pt idx="2">
                  <c:v>1.8096934275808201E-2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DC5-4DA1-901F-220ADA4D0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9041375"/>
        <c:axId val="489033215"/>
      </c:barChart>
      <c:catAx>
        <c:axId val="489041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9033215"/>
        <c:crosses val="autoZero"/>
        <c:auto val="1"/>
        <c:lblAlgn val="ctr"/>
        <c:lblOffset val="100"/>
        <c:noMultiLvlLbl val="0"/>
      </c:catAx>
      <c:valAx>
        <c:axId val="489033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9041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554383</xdr:colOff>
      <xdr:row>15</xdr:row>
      <xdr:rowOff>19532</xdr:rowOff>
    </xdr:from>
    <xdr:to>
      <xdr:col>14</xdr:col>
      <xdr:colOff>436908</xdr:colOff>
      <xdr:row>30</xdr:row>
      <xdr:rowOff>55700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996DC04A-276D-0A78-A4ED-6F5AF99601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609600</xdr:colOff>
      <xdr:row>32</xdr:row>
      <xdr:rowOff>152400</xdr:rowOff>
    </xdr:from>
    <xdr:to>
      <xdr:col>14</xdr:col>
      <xdr:colOff>492125</xdr:colOff>
      <xdr:row>48</xdr:row>
      <xdr:rowOff>17118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77A3D21-46C3-41E5-9A34-C68B74A1CD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306511</xdr:colOff>
      <xdr:row>17</xdr:row>
      <xdr:rowOff>77423</xdr:rowOff>
    </xdr:from>
    <xdr:to>
      <xdr:col>5</xdr:col>
      <xdr:colOff>618451</xdr:colOff>
      <xdr:row>32</xdr:row>
      <xdr:rowOff>63503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AB8E1CE-46A2-8F46-1E33-072AA6A4B1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850656</xdr:colOff>
      <xdr:row>9</xdr:row>
      <xdr:rowOff>121383</xdr:rowOff>
    </xdr:from>
    <xdr:to>
      <xdr:col>10</xdr:col>
      <xdr:colOff>1038771</xdr:colOff>
      <xdr:row>24</xdr:row>
      <xdr:rowOff>107461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729ECF15-1D1D-87F4-490A-2E9EC8D422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unhofer-my.sharepoint.com/personal/lara_josephine_barnic_iee_fraunhofer_de/Documents/A_Bearbeitung/9_Parameterstudie_REP/9_1_Kosten/9_2_Kosten_2_5.xlsx" TargetMode="External"/><Relationship Id="rId1" Type="http://schemas.openxmlformats.org/officeDocument/2006/relationships/externalLinkPath" Target="9_2_Kosten_2_5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unhofer-my.sharepoint.com/personal/lara_josephine_barnic_iee_fraunhofer_de/Documents/A_Bearbeitung/9_Parameterstudie_REP/9_1_Kosten/9_2_Kosten_10.xlsx" TargetMode="External"/><Relationship Id="rId1" Type="http://schemas.openxmlformats.org/officeDocument/2006/relationships/externalLinkPath" Target="9_2_Kosten_10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unhofer-my.sharepoint.com/personal/lara_josephine_barnic_iee_fraunhofer_de/Documents/A_Bearbeitung/9_Parameterstudie_REP/9_1_Kosten/9_2_Kosten_20.xlsx" TargetMode="External"/><Relationship Id="rId1" Type="http://schemas.openxmlformats.org/officeDocument/2006/relationships/externalLinkPath" Target="9_2_Kosten_20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unhofer-my.sharepoint.com/personal/lara_josephine_barnic_iee_fraunhofer_de/Documents/A_Bearbeitung/8_Bewertung_Gesamtsysteme_REP/results/8_Netzstrombedarf_PV_Einspeisung.xlsx" TargetMode="External"/><Relationship Id="rId1" Type="http://schemas.openxmlformats.org/officeDocument/2006/relationships/externalLinkPath" Target="/personal/lara_josephine_barnic_iee_fraunhofer_de/Documents/A_Bearbeitung/8_Bewertung_Gesamtsysteme_REP/results/8_Netzstrombedarf_PV_Einspeisung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unhofer-my.sharepoint.com/personal/lara_josephine_barnic_iee_fraunhofer_de/Documents/A_Bearbeitung/7_Gesamtsysteme_REP/7_auslegung%20der%20Erdw&#228;rmesonden.xlsx" TargetMode="External"/><Relationship Id="rId1" Type="http://schemas.openxmlformats.org/officeDocument/2006/relationships/externalLinkPath" Target="/personal/lara_josephine_barnic_iee_fraunhofer_de/Documents/A_Bearbeitung/7_Gesamtsysteme_REP/7_auslegung%20der%20Erdw&#228;rmesond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usammenfassung"/>
      <sheetName val="Allgemeine Parameter"/>
      <sheetName val="Kostenposten_8.2.2"/>
      <sheetName val="dezentral"/>
      <sheetName val="kalte NW"/>
      <sheetName val="NT-WN_3_77"/>
    </sheetNames>
    <sheetDataSet>
      <sheetData sheetId="0"/>
      <sheetData sheetId="1"/>
      <sheetData sheetId="2">
        <row r="9">
          <cell r="D9">
            <v>1777925.449119369</v>
          </cell>
        </row>
      </sheetData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usammenfassung"/>
      <sheetName val="Allgemeine Parameter"/>
      <sheetName val="Kostenposten_8.2.2"/>
      <sheetName val="dezentral"/>
      <sheetName val="kalte NW"/>
      <sheetName val="NT-WN_10"/>
    </sheetNames>
    <sheetDataSet>
      <sheetData sheetId="0">
        <row r="4">
          <cell r="K4">
            <v>1.7569054221193687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usammenfassung"/>
      <sheetName val="Allgemeine Parameter"/>
      <sheetName val="Kostenposten_8.2.2"/>
      <sheetName val="dezentral"/>
      <sheetName val="kalte NW"/>
      <sheetName val="NT-WN_20"/>
    </sheetNames>
    <sheetDataSet>
      <sheetData sheetId="0">
        <row r="4">
          <cell r="K4">
            <v>1.728968557994369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etzstrom_PV_Strom"/>
    </sheetNames>
    <sheetDataSet>
      <sheetData sheetId="0">
        <row r="4">
          <cell r="B4">
            <v>66069.878811235394</v>
          </cell>
          <cell r="C4">
            <v>49237.671936835155</v>
          </cell>
          <cell r="E4">
            <v>41164.404932023172</v>
          </cell>
          <cell r="F4">
            <v>58650.811247578851</v>
          </cell>
          <cell r="G4">
            <v>46208.273980854181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T WN"/>
      <sheetName val="K_NW"/>
      <sheetName val="dezentral"/>
    </sheetNames>
    <sheetDataSet>
      <sheetData sheetId="0">
        <row r="8">
          <cell r="C8">
            <v>101.3869460569163</v>
          </cell>
        </row>
      </sheetData>
      <sheetData sheetId="1">
        <row r="10">
          <cell r="F10">
            <v>82.6</v>
          </cell>
        </row>
      </sheetData>
      <sheetData sheetId="2">
        <row r="8">
          <cell r="C8">
            <v>86.199999999999989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Fraunhofer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79C7D"/>
      </a:accent1>
      <a:accent2>
        <a:srgbClr val="F58220"/>
      </a:accent2>
      <a:accent3>
        <a:srgbClr val="B2D235"/>
      </a:accent3>
      <a:accent4>
        <a:srgbClr val="008598"/>
      </a:accent4>
      <a:accent5>
        <a:srgbClr val="7C154D"/>
      </a:accent5>
      <a:accent6>
        <a:srgbClr val="39C1CD"/>
      </a:accent6>
      <a:hlink>
        <a:srgbClr val="467886"/>
      </a:hlink>
      <a:folHlink>
        <a:srgbClr val="96607D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5E545-C7E4-4937-89EC-C03939104281}">
  <dimension ref="A1:N15"/>
  <sheetViews>
    <sheetView topLeftCell="D1" zoomScaleNormal="100" workbookViewId="0">
      <selection activeCell="K4" sqref="K4"/>
    </sheetView>
  </sheetViews>
  <sheetFormatPr baseColWidth="10" defaultRowHeight="14.5" x14ac:dyDescent="0.35"/>
  <cols>
    <col min="2" max="4" width="14.54296875" bestFit="1" customWidth="1"/>
    <col min="5" max="5" width="14.08984375" bestFit="1" customWidth="1"/>
    <col min="6" max="6" width="13.453125" bestFit="1" customWidth="1"/>
    <col min="11" max="11" width="15.453125" customWidth="1"/>
    <col min="14" max="14" width="12.81640625" bestFit="1" customWidth="1"/>
  </cols>
  <sheetData>
    <row r="1" spans="1:14" x14ac:dyDescent="0.35">
      <c r="B1" s="1" t="s">
        <v>47</v>
      </c>
      <c r="C1" s="1" t="s">
        <v>48</v>
      </c>
      <c r="D1" s="1" t="s">
        <v>49</v>
      </c>
      <c r="F1" t="s">
        <v>97</v>
      </c>
    </row>
    <row r="2" spans="1:14" x14ac:dyDescent="0.35">
      <c r="A2" s="1" t="s">
        <v>94</v>
      </c>
      <c r="B2" s="42">
        <f>B5/1000000</f>
        <v>2.0695804917797993</v>
      </c>
      <c r="C2" s="47">
        <f t="shared" ref="C2:D2" si="0">C5/1000000</f>
        <v>1.7779254491193692</v>
      </c>
      <c r="D2" s="42">
        <f t="shared" si="0"/>
        <v>2.1404929913135451</v>
      </c>
      <c r="F2" s="2">
        <v>1000000</v>
      </c>
      <c r="K2" s="1" t="s">
        <v>94</v>
      </c>
      <c r="L2" s="1" t="s">
        <v>95</v>
      </c>
      <c r="M2" t="s">
        <v>100</v>
      </c>
      <c r="N2" t="s">
        <v>101</v>
      </c>
    </row>
    <row r="3" spans="1:14" x14ac:dyDescent="0.35">
      <c r="A3" s="1" t="s">
        <v>95</v>
      </c>
      <c r="B3" s="42">
        <v>268.86148700000001</v>
      </c>
      <c r="C3" s="42">
        <v>557.10423600000001</v>
      </c>
      <c r="D3" s="47">
        <v>243.30137300000001</v>
      </c>
      <c r="F3" s="42">
        <v>3586</v>
      </c>
      <c r="J3" s="1" t="s">
        <v>47</v>
      </c>
      <c r="K3" s="42">
        <f>B2</f>
        <v>2.0695804917797993</v>
      </c>
      <c r="L3" s="42">
        <v>268.86148700000001</v>
      </c>
      <c r="M3" s="3">
        <f>(K3-K4)/K4</f>
        <v>0.16404233529864304</v>
      </c>
      <c r="N3" s="3">
        <f>K3-K4</f>
        <v>0.29165504266043007</v>
      </c>
    </row>
    <row r="4" spans="1:14" x14ac:dyDescent="0.35">
      <c r="B4" s="43"/>
      <c r="C4" s="43"/>
      <c r="D4" s="43"/>
      <c r="J4" s="1" t="s">
        <v>48</v>
      </c>
      <c r="K4" s="74">
        <f>C2</f>
        <v>1.7779254491193692</v>
      </c>
      <c r="L4" s="42">
        <v>557.10423600000001</v>
      </c>
    </row>
    <row r="5" spans="1:14" x14ac:dyDescent="0.35">
      <c r="B5" s="42">
        <f>dezentral!B26</f>
        <v>2069580.4917797993</v>
      </c>
      <c r="C5" s="42">
        <f>'NT-WN_3_77'!B29</f>
        <v>1777925.4491193693</v>
      </c>
      <c r="D5" s="42">
        <f>'kalte NW'!B30</f>
        <v>2140492.991313545</v>
      </c>
      <c r="J5" t="s">
        <v>128</v>
      </c>
      <c r="K5" s="74">
        <f>'[1]Kostenposten_8.2.2'!$D$9/1000000</f>
        <v>1.777925449119369</v>
      </c>
      <c r="L5" s="42">
        <v>546.77647300000001</v>
      </c>
      <c r="M5" s="3">
        <f>(K8-K4)/K4</f>
        <v>0.20392730323634239</v>
      </c>
      <c r="N5" s="3">
        <f>K8-K4</f>
        <v>0.36256754219417586</v>
      </c>
    </row>
    <row r="6" spans="1:14" x14ac:dyDescent="0.35">
      <c r="B6" s="75" t="s">
        <v>125</v>
      </c>
      <c r="C6" s="75"/>
      <c r="D6" s="75"/>
      <c r="J6" t="s">
        <v>129</v>
      </c>
      <c r="K6" s="42">
        <f>[2]Zusammenfassung!$K$4</f>
        <v>1.7569054221193687</v>
      </c>
      <c r="L6" s="42">
        <v>521.04030799999998</v>
      </c>
    </row>
    <row r="7" spans="1:14" x14ac:dyDescent="0.35">
      <c r="A7" t="s">
        <v>118</v>
      </c>
      <c r="B7" s="3">
        <f>B5-C5</f>
        <v>291655.04266043007</v>
      </c>
      <c r="C7" t="s">
        <v>5</v>
      </c>
      <c r="D7" s="3">
        <f>D5-C5</f>
        <v>362567.54219417577</v>
      </c>
      <c r="F7" s="3">
        <f>D2-C2</f>
        <v>0.36256754219417586</v>
      </c>
      <c r="J7" t="s">
        <v>130</v>
      </c>
      <c r="K7" s="42">
        <f>[3]Zusammenfassung!$K$4</f>
        <v>1.728968557994369</v>
      </c>
      <c r="L7" s="42">
        <v>487.02710100000002</v>
      </c>
    </row>
    <row r="8" spans="1:14" x14ac:dyDescent="0.35">
      <c r="B8" s="45">
        <f>B7/C5</f>
        <v>0.16404233529864304</v>
      </c>
      <c r="C8" t="s">
        <v>5</v>
      </c>
      <c r="D8" s="45">
        <f>D7/C5</f>
        <v>0.20392730323634234</v>
      </c>
      <c r="E8" s="3"/>
      <c r="F8" s="3">
        <f>C3-D3</f>
        <v>313.802863</v>
      </c>
      <c r="J8" s="1" t="s">
        <v>49</v>
      </c>
      <c r="K8" s="42">
        <f>D2</f>
        <v>2.1404929913135451</v>
      </c>
      <c r="L8" s="42">
        <v>243.30137300000001</v>
      </c>
    </row>
    <row r="9" spans="1:14" x14ac:dyDescent="0.35">
      <c r="B9" s="75" t="s">
        <v>117</v>
      </c>
      <c r="C9" s="75"/>
      <c r="D9" s="75"/>
    </row>
    <row r="10" spans="1:14" x14ac:dyDescent="0.35">
      <c r="B10" s="3">
        <f>B3-D3</f>
        <v>25.560113999999999</v>
      </c>
      <c r="C10" s="3">
        <f>C3-D3</f>
        <v>313.802863</v>
      </c>
      <c r="D10" t="s">
        <v>5</v>
      </c>
    </row>
    <row r="11" spans="1:14" x14ac:dyDescent="0.35">
      <c r="B11" s="45">
        <f>B10/D3</f>
        <v>0.10505536275785833</v>
      </c>
      <c r="C11" s="45">
        <f>C10/D3</f>
        <v>1.2897702102157886</v>
      </c>
      <c r="D11" t="s">
        <v>5</v>
      </c>
      <c r="E11" s="3"/>
    </row>
    <row r="13" spans="1:14" x14ac:dyDescent="0.35">
      <c r="A13" s="75" t="s">
        <v>99</v>
      </c>
      <c r="B13" s="75"/>
      <c r="C13" s="75"/>
      <c r="D13" s="75"/>
    </row>
    <row r="14" spans="1:14" x14ac:dyDescent="0.35">
      <c r="A14" t="s">
        <v>96</v>
      </c>
      <c r="B14" s="3">
        <f>F3-B3</f>
        <v>3317.1385129999999</v>
      </c>
      <c r="C14" s="3">
        <f>F3-C3</f>
        <v>3028.8957639999999</v>
      </c>
      <c r="D14" s="3">
        <f>F3-D3</f>
        <v>3342.6986269999998</v>
      </c>
      <c r="F14" s="2"/>
    </row>
    <row r="15" spans="1:14" x14ac:dyDescent="0.35">
      <c r="A15" t="s">
        <v>98</v>
      </c>
      <c r="B15">
        <f>(B2-F2)/B14</f>
        <v>-301.46402584651679</v>
      </c>
      <c r="C15">
        <f>C2/C14</f>
        <v>5.8698799418947887E-4</v>
      </c>
      <c r="D15">
        <f>D2/D14</f>
        <v>6.4034878107889482E-4</v>
      </c>
    </row>
  </sheetData>
  <mergeCells count="3">
    <mergeCell ref="A13:D13"/>
    <mergeCell ref="B6:D6"/>
    <mergeCell ref="B9:D9"/>
  </mergeCells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4C0F-6734-4579-B89E-086B8618A834}">
  <dimension ref="B1:M46"/>
  <sheetViews>
    <sheetView workbookViewId="0">
      <selection activeCell="I8" sqref="I8"/>
    </sheetView>
  </sheetViews>
  <sheetFormatPr baseColWidth="10" defaultRowHeight="14.5" x14ac:dyDescent="0.35"/>
  <cols>
    <col min="3" max="4" width="13" bestFit="1" customWidth="1"/>
    <col min="5" max="5" width="14.54296875" bestFit="1" customWidth="1"/>
    <col min="6" max="6" width="13" bestFit="1" customWidth="1"/>
    <col min="11" max="11" width="13.7265625" customWidth="1"/>
    <col min="12" max="12" width="16.7265625" bestFit="1" customWidth="1"/>
    <col min="13" max="13" width="15.453125" customWidth="1"/>
  </cols>
  <sheetData>
    <row r="1" spans="2:13" x14ac:dyDescent="0.35">
      <c r="B1" t="s">
        <v>14</v>
      </c>
    </row>
    <row r="2" spans="2:13" x14ac:dyDescent="0.35">
      <c r="I2" t="s">
        <v>127</v>
      </c>
    </row>
    <row r="3" spans="2:13" x14ac:dyDescent="0.35">
      <c r="B3" t="s">
        <v>13</v>
      </c>
      <c r="C3">
        <v>25</v>
      </c>
      <c r="D3" t="s">
        <v>15</v>
      </c>
      <c r="H3">
        <v>2.5</v>
      </c>
      <c r="I3" s="73">
        <v>146736.92000000001</v>
      </c>
    </row>
    <row r="4" spans="2:13" x14ac:dyDescent="0.35">
      <c r="B4" t="s">
        <v>82</v>
      </c>
      <c r="C4" t="s">
        <v>83</v>
      </c>
      <c r="H4">
        <v>5</v>
      </c>
      <c r="I4" s="73">
        <v>144131.19</v>
      </c>
    </row>
    <row r="5" spans="2:13" x14ac:dyDescent="0.35">
      <c r="H5">
        <v>7.5</v>
      </c>
      <c r="I5" s="73">
        <v>141702.39999999999</v>
      </c>
    </row>
    <row r="6" spans="2:13" x14ac:dyDescent="0.35">
      <c r="B6" s="1" t="s">
        <v>61</v>
      </c>
      <c r="H6">
        <v>10</v>
      </c>
      <c r="I6" s="73">
        <v>139266.76</v>
      </c>
    </row>
    <row r="7" spans="2:13" x14ac:dyDescent="0.35">
      <c r="C7" t="s">
        <v>47</v>
      </c>
      <c r="D7" t="s">
        <v>48</v>
      </c>
      <c r="E7" t="s">
        <v>49</v>
      </c>
      <c r="H7">
        <v>12.5</v>
      </c>
      <c r="I7" s="73">
        <v>136824.22</v>
      </c>
    </row>
    <row r="8" spans="2:13" x14ac:dyDescent="0.35">
      <c r="B8" t="s">
        <v>11</v>
      </c>
      <c r="C8" s="2" cm="1">
        <f t="array" ref="C8:E8">D40:F40</f>
        <v>289881.59328429529</v>
      </c>
      <c r="D8" s="2">
        <v>643808.23650000012</v>
      </c>
      <c r="E8" s="2">
        <v>257330.43434875214</v>
      </c>
      <c r="H8">
        <v>20</v>
      </c>
    </row>
    <row r="9" spans="2:13" x14ac:dyDescent="0.35">
      <c r="B9" t="s">
        <v>6</v>
      </c>
      <c r="C9" s="2" cm="1">
        <f t="array" ref="C9:E9">K41:M41</f>
        <v>-95649.101504495964</v>
      </c>
      <c r="D9" s="2">
        <v>-79965.973020948237</v>
      </c>
      <c r="E9" s="2">
        <v>-89764.19303520731</v>
      </c>
    </row>
    <row r="11" spans="2:13" x14ac:dyDescent="0.35">
      <c r="B11" s="1" t="s">
        <v>45</v>
      </c>
    </row>
    <row r="12" spans="2:13" x14ac:dyDescent="0.35">
      <c r="B12" s="1" t="s">
        <v>46</v>
      </c>
      <c r="G12" s="1" t="s">
        <v>41</v>
      </c>
      <c r="I12" t="s">
        <v>54</v>
      </c>
    </row>
    <row r="13" spans="2:13" x14ac:dyDescent="0.35">
      <c r="D13" s="76" t="s">
        <v>123</v>
      </c>
      <c r="E13" s="76"/>
      <c r="F13" s="76"/>
      <c r="I13" t="s">
        <v>55</v>
      </c>
    </row>
    <row r="14" spans="2:13" x14ac:dyDescent="0.35">
      <c r="B14" t="s">
        <v>44</v>
      </c>
      <c r="D14" s="38">
        <f>[4]Netzstrom_PV_Strom!$B$4</f>
        <v>66069.878811235394</v>
      </c>
      <c r="E14" s="38">
        <f>I3</f>
        <v>146736.92000000001</v>
      </c>
      <c r="F14" s="38">
        <f>[4]Netzstrom_PV_Strom!$F$4</f>
        <v>58650.811247578851</v>
      </c>
      <c r="I14" t="s">
        <v>59</v>
      </c>
      <c r="K14" s="38">
        <f>[4]Netzstrom_PV_Strom!$C$4</f>
        <v>49237.671936835155</v>
      </c>
      <c r="L14" s="38">
        <f>[4]Netzstrom_PV_Strom!$E$4</f>
        <v>41164.404932023172</v>
      </c>
      <c r="M14" s="38">
        <f>[4]Netzstrom_PV_Strom!$G$4</f>
        <v>46208.273980854181</v>
      </c>
    </row>
    <row r="15" spans="2:13" x14ac:dyDescent="0.35">
      <c r="D15" t="s">
        <v>47</v>
      </c>
      <c r="E15" t="s">
        <v>48</v>
      </c>
      <c r="F15" t="s">
        <v>49</v>
      </c>
      <c r="K15" t="s">
        <v>47</v>
      </c>
      <c r="L15" t="s">
        <v>48</v>
      </c>
      <c r="M15" t="s">
        <v>49</v>
      </c>
    </row>
    <row r="16" spans="2:13" x14ac:dyDescent="0.35">
      <c r="B16" s="44" t="s">
        <v>50</v>
      </c>
      <c r="D16" s="18" t="s">
        <v>38</v>
      </c>
      <c r="E16" s="18" t="s">
        <v>38</v>
      </c>
      <c r="F16" s="18" t="s">
        <v>38</v>
      </c>
      <c r="I16" s="18" t="s">
        <v>57</v>
      </c>
      <c r="J16" s="18" t="s">
        <v>58</v>
      </c>
    </row>
    <row r="17" spans="2:13" x14ac:dyDescent="0.35">
      <c r="B17">
        <v>2025</v>
      </c>
      <c r="C17">
        <v>22.71</v>
      </c>
      <c r="D17" s="3">
        <f>$C17*$D$14/100</f>
        <v>15004.469478031557</v>
      </c>
      <c r="E17" s="3">
        <f>$C17*$E$14/100</f>
        <v>33323.954532000003</v>
      </c>
      <c r="F17" s="3">
        <f>$C17*$F$14/100</f>
        <v>13319.599234325156</v>
      </c>
      <c r="H17">
        <v>2025</v>
      </c>
      <c r="I17">
        <v>8.83</v>
      </c>
      <c r="J17">
        <f t="shared" ref="J17:J38" si="0">I17/100</f>
        <v>8.8300000000000003E-2</v>
      </c>
      <c r="K17" s="3">
        <f>$J$43*K$14</f>
        <v>4347.6864320225441</v>
      </c>
      <c r="L17" s="3">
        <f>$J$43*L$14</f>
        <v>3634.8169554976462</v>
      </c>
      <c r="M17" s="3">
        <f>$J$43*M$14</f>
        <v>4080.1905925094243</v>
      </c>
    </row>
    <row r="18" spans="2:13" x14ac:dyDescent="0.35">
      <c r="B18">
        <v>2026</v>
      </c>
      <c r="C18">
        <v>21.37</v>
      </c>
      <c r="D18" s="3">
        <f t="shared" ref="D18:D38" si="1">$C18*$D$14/100</f>
        <v>14119.133101961004</v>
      </c>
      <c r="E18" s="3">
        <f t="shared" ref="E18:E38" si="2">$C18*$E$14/100</f>
        <v>31357.679804000003</v>
      </c>
      <c r="F18" s="3">
        <f t="shared" ref="F18:F38" si="3">$C18*$F$14/100</f>
        <v>12533.6783636076</v>
      </c>
      <c r="H18">
        <v>2026</v>
      </c>
      <c r="I18">
        <v>8.83</v>
      </c>
      <c r="J18">
        <f t="shared" si="0"/>
        <v>8.8300000000000003E-2</v>
      </c>
      <c r="K18" s="3">
        <f t="shared" ref="K18:M38" si="4">$J$43*K$14</f>
        <v>4347.6864320225441</v>
      </c>
      <c r="L18" s="3">
        <f t="shared" si="4"/>
        <v>3634.8169554976462</v>
      </c>
      <c r="M18" s="3">
        <f t="shared" si="4"/>
        <v>4080.1905925094243</v>
      </c>
    </row>
    <row r="19" spans="2:13" x14ac:dyDescent="0.35">
      <c r="B19">
        <v>2027</v>
      </c>
      <c r="C19">
        <v>20.53</v>
      </c>
      <c r="D19" s="3">
        <f t="shared" si="1"/>
        <v>13564.146119946628</v>
      </c>
      <c r="E19" s="3">
        <f t="shared" si="2"/>
        <v>30125.089676000007</v>
      </c>
      <c r="F19" s="3">
        <f t="shared" si="3"/>
        <v>12041.011549127938</v>
      </c>
      <c r="H19">
        <v>2027</v>
      </c>
      <c r="I19">
        <v>8.83</v>
      </c>
      <c r="J19">
        <f t="shared" si="0"/>
        <v>8.8300000000000003E-2</v>
      </c>
      <c r="K19" s="3">
        <f t="shared" si="4"/>
        <v>4347.6864320225441</v>
      </c>
      <c r="L19" s="3">
        <f t="shared" si="4"/>
        <v>3634.8169554976462</v>
      </c>
      <c r="M19" s="3">
        <f t="shared" si="4"/>
        <v>4080.1905925094243</v>
      </c>
    </row>
    <row r="20" spans="2:13" x14ac:dyDescent="0.35">
      <c r="B20">
        <v>2028</v>
      </c>
      <c r="C20">
        <v>20.190000000000001</v>
      </c>
      <c r="D20" s="3">
        <f t="shared" si="1"/>
        <v>13339.508531988426</v>
      </c>
      <c r="E20" s="3">
        <f t="shared" si="2"/>
        <v>29626.184148000004</v>
      </c>
      <c r="F20" s="3">
        <f t="shared" si="3"/>
        <v>11841.598790886172</v>
      </c>
      <c r="H20">
        <v>2028</v>
      </c>
      <c r="I20">
        <v>8.83</v>
      </c>
      <c r="J20">
        <f t="shared" si="0"/>
        <v>8.8300000000000003E-2</v>
      </c>
      <c r="K20" s="3">
        <f t="shared" si="4"/>
        <v>4347.6864320225441</v>
      </c>
      <c r="L20" s="3">
        <f t="shared" si="4"/>
        <v>3634.8169554976462</v>
      </c>
      <c r="M20" s="3">
        <f t="shared" si="4"/>
        <v>4080.1905925094243</v>
      </c>
    </row>
    <row r="21" spans="2:13" x14ac:dyDescent="0.35">
      <c r="B21">
        <v>2029</v>
      </c>
      <c r="C21">
        <v>20.13</v>
      </c>
      <c r="D21" s="3">
        <f t="shared" si="1"/>
        <v>13299.866604701683</v>
      </c>
      <c r="E21" s="3">
        <f t="shared" si="2"/>
        <v>29538.141995999998</v>
      </c>
      <c r="F21" s="3">
        <f t="shared" si="3"/>
        <v>11806.408304137622</v>
      </c>
      <c r="H21">
        <v>2029</v>
      </c>
      <c r="I21">
        <v>8.83</v>
      </c>
      <c r="J21">
        <f t="shared" si="0"/>
        <v>8.8300000000000003E-2</v>
      </c>
      <c r="K21" s="3">
        <f t="shared" si="4"/>
        <v>4347.6864320225441</v>
      </c>
      <c r="L21" s="3">
        <f t="shared" si="4"/>
        <v>3634.8169554976462</v>
      </c>
      <c r="M21" s="3">
        <f t="shared" si="4"/>
        <v>4080.1905925094243</v>
      </c>
    </row>
    <row r="22" spans="2:13" x14ac:dyDescent="0.35">
      <c r="B22">
        <v>2030</v>
      </c>
      <c r="C22">
        <v>20.22</v>
      </c>
      <c r="D22" s="3">
        <f t="shared" si="1"/>
        <v>13359.329495631797</v>
      </c>
      <c r="E22" s="3">
        <f t="shared" si="2"/>
        <v>29670.205224000001</v>
      </c>
      <c r="F22" s="3">
        <f t="shared" si="3"/>
        <v>11859.194034260443</v>
      </c>
      <c r="H22">
        <v>2030</v>
      </c>
      <c r="I22">
        <v>8.83</v>
      </c>
      <c r="J22">
        <f t="shared" si="0"/>
        <v>8.8300000000000003E-2</v>
      </c>
      <c r="K22" s="3">
        <f t="shared" si="4"/>
        <v>4347.6864320225441</v>
      </c>
      <c r="L22" s="3">
        <f t="shared" si="4"/>
        <v>3634.8169554976462</v>
      </c>
      <c r="M22" s="3">
        <f t="shared" si="4"/>
        <v>4080.1905925094243</v>
      </c>
    </row>
    <row r="23" spans="2:13" x14ac:dyDescent="0.35">
      <c r="B23">
        <v>2031</v>
      </c>
      <c r="C23">
        <f>C22-0.02</f>
        <v>20.2</v>
      </c>
      <c r="D23" s="3">
        <f t="shared" si="1"/>
        <v>13346.115519869549</v>
      </c>
      <c r="E23" s="3">
        <f t="shared" si="2"/>
        <v>29640.857840000001</v>
      </c>
      <c r="F23" s="3">
        <f t="shared" si="3"/>
        <v>11847.463872010927</v>
      </c>
      <c r="H23">
        <v>2031</v>
      </c>
      <c r="I23">
        <v>8.83</v>
      </c>
      <c r="J23">
        <f t="shared" si="0"/>
        <v>8.8300000000000003E-2</v>
      </c>
      <c r="K23" s="3">
        <f t="shared" si="4"/>
        <v>4347.6864320225441</v>
      </c>
      <c r="L23" s="3">
        <f t="shared" si="4"/>
        <v>3634.8169554976462</v>
      </c>
      <c r="M23" s="3">
        <f t="shared" si="4"/>
        <v>4080.1905925094243</v>
      </c>
    </row>
    <row r="24" spans="2:13" x14ac:dyDescent="0.35">
      <c r="B24">
        <v>2032</v>
      </c>
      <c r="C24">
        <f>C23-0.02</f>
        <v>20.18</v>
      </c>
      <c r="D24" s="3">
        <f t="shared" si="1"/>
        <v>13332.901544107304</v>
      </c>
      <c r="E24" s="3">
        <f t="shared" si="2"/>
        <v>29611.510456000004</v>
      </c>
      <c r="F24" s="3">
        <f t="shared" si="3"/>
        <v>11835.733709761413</v>
      </c>
      <c r="H24">
        <v>2032</v>
      </c>
      <c r="I24">
        <v>8.83</v>
      </c>
      <c r="J24">
        <f t="shared" si="0"/>
        <v>8.8300000000000003E-2</v>
      </c>
      <c r="K24" s="3">
        <f t="shared" si="4"/>
        <v>4347.6864320225441</v>
      </c>
      <c r="L24" s="3">
        <f t="shared" si="4"/>
        <v>3634.8169554976462</v>
      </c>
      <c r="M24" s="3">
        <f t="shared" si="4"/>
        <v>4080.1905925094243</v>
      </c>
    </row>
    <row r="25" spans="2:13" x14ac:dyDescent="0.35">
      <c r="B25">
        <v>2033</v>
      </c>
      <c r="C25">
        <f>C24-0.02</f>
        <v>20.16</v>
      </c>
      <c r="D25" s="3">
        <f t="shared" si="1"/>
        <v>13319.687568345056</v>
      </c>
      <c r="E25" s="3">
        <f t="shared" si="2"/>
        <v>29582.163072000003</v>
      </c>
      <c r="F25" s="3">
        <f t="shared" si="3"/>
        <v>11824.003547511897</v>
      </c>
      <c r="H25">
        <v>2033</v>
      </c>
      <c r="I25">
        <v>8.83</v>
      </c>
      <c r="J25">
        <f t="shared" si="0"/>
        <v>8.8300000000000003E-2</v>
      </c>
      <c r="K25" s="3">
        <f t="shared" si="4"/>
        <v>4347.6864320225441</v>
      </c>
      <c r="L25" s="3">
        <f t="shared" si="4"/>
        <v>3634.8169554976462</v>
      </c>
      <c r="M25" s="3">
        <f t="shared" si="4"/>
        <v>4080.1905925094243</v>
      </c>
    </row>
    <row r="26" spans="2:13" x14ac:dyDescent="0.35">
      <c r="B26">
        <v>2034</v>
      </c>
      <c r="C26">
        <f>C25-0.02</f>
        <v>20.14</v>
      </c>
      <c r="D26" s="3">
        <f t="shared" si="1"/>
        <v>13306.473592582808</v>
      </c>
      <c r="E26" s="3">
        <f t="shared" si="2"/>
        <v>29552.815688000006</v>
      </c>
      <c r="F26" s="3">
        <f t="shared" si="3"/>
        <v>11812.273385262381</v>
      </c>
      <c r="H26">
        <v>2034</v>
      </c>
      <c r="I26">
        <v>8.83</v>
      </c>
      <c r="J26">
        <f t="shared" si="0"/>
        <v>8.8300000000000003E-2</v>
      </c>
      <c r="K26" s="3">
        <f t="shared" si="4"/>
        <v>4347.6864320225441</v>
      </c>
      <c r="L26" s="3">
        <f t="shared" si="4"/>
        <v>3634.8169554976462</v>
      </c>
      <c r="M26" s="3">
        <f t="shared" si="4"/>
        <v>4080.1905925094243</v>
      </c>
    </row>
    <row r="27" spans="2:13" x14ac:dyDescent="0.35">
      <c r="B27">
        <v>2035</v>
      </c>
      <c r="C27">
        <v>20.12</v>
      </c>
      <c r="D27" s="3">
        <f t="shared" si="1"/>
        <v>13293.259616820564</v>
      </c>
      <c r="E27" s="3">
        <f t="shared" si="2"/>
        <v>29523.468304000002</v>
      </c>
      <c r="F27" s="3">
        <f t="shared" si="3"/>
        <v>11800.543223012864</v>
      </c>
      <c r="G27" t="s">
        <v>56</v>
      </c>
      <c r="H27">
        <v>2035</v>
      </c>
      <c r="I27">
        <v>4</v>
      </c>
      <c r="J27">
        <f>I27/100</f>
        <v>0.04</v>
      </c>
      <c r="K27" s="3">
        <f t="shared" si="4"/>
        <v>4347.6864320225441</v>
      </c>
      <c r="L27" s="3">
        <f t="shared" si="4"/>
        <v>3634.8169554976462</v>
      </c>
      <c r="M27" s="3">
        <f t="shared" si="4"/>
        <v>4080.1905925094243</v>
      </c>
    </row>
    <row r="28" spans="2:13" x14ac:dyDescent="0.35">
      <c r="B28">
        <v>2036</v>
      </c>
      <c r="C28">
        <f>C27-0.204</f>
        <v>19.916</v>
      </c>
      <c r="D28" s="3">
        <f t="shared" si="1"/>
        <v>13158.477064045643</v>
      </c>
      <c r="E28" s="3">
        <f t="shared" si="2"/>
        <v>29224.124987200004</v>
      </c>
      <c r="F28" s="3">
        <f t="shared" si="3"/>
        <v>11680.895568067805</v>
      </c>
      <c r="H28">
        <v>2036</v>
      </c>
      <c r="I28">
        <v>4</v>
      </c>
      <c r="J28">
        <f t="shared" si="0"/>
        <v>0.04</v>
      </c>
      <c r="K28" s="3">
        <f t="shared" si="4"/>
        <v>4347.6864320225441</v>
      </c>
      <c r="L28" s="3">
        <f t="shared" si="4"/>
        <v>3634.8169554976462</v>
      </c>
      <c r="M28" s="3">
        <f t="shared" si="4"/>
        <v>4080.1905925094243</v>
      </c>
    </row>
    <row r="29" spans="2:13" x14ac:dyDescent="0.35">
      <c r="B29">
        <v>2037</v>
      </c>
      <c r="C29">
        <f t="shared" ref="C29:C31" si="5">C28-0.204</f>
        <v>19.712</v>
      </c>
      <c r="D29" s="3">
        <f t="shared" si="1"/>
        <v>13023.694511270722</v>
      </c>
      <c r="E29" s="3">
        <f t="shared" si="2"/>
        <v>28924.781670400003</v>
      </c>
      <c r="F29" s="3">
        <f t="shared" si="3"/>
        <v>11561.247913122743</v>
      </c>
      <c r="H29">
        <v>2037</v>
      </c>
      <c r="I29">
        <v>4</v>
      </c>
      <c r="J29">
        <f t="shared" si="0"/>
        <v>0.04</v>
      </c>
      <c r="K29" s="3">
        <f t="shared" si="4"/>
        <v>4347.6864320225441</v>
      </c>
      <c r="L29" s="3">
        <f t="shared" si="4"/>
        <v>3634.8169554976462</v>
      </c>
      <c r="M29" s="3">
        <f t="shared" si="4"/>
        <v>4080.1905925094243</v>
      </c>
    </row>
    <row r="30" spans="2:13" x14ac:dyDescent="0.35">
      <c r="B30">
        <v>2038</v>
      </c>
      <c r="C30">
        <f t="shared" si="5"/>
        <v>19.507999999999999</v>
      </c>
      <c r="D30" s="3">
        <f t="shared" si="1"/>
        <v>12888.911958495801</v>
      </c>
      <c r="E30" s="3">
        <f t="shared" si="2"/>
        <v>28625.438353599999</v>
      </c>
      <c r="F30" s="3">
        <f t="shared" si="3"/>
        <v>11441.600258177681</v>
      </c>
      <c r="H30">
        <v>2038</v>
      </c>
      <c r="I30">
        <v>4</v>
      </c>
      <c r="J30">
        <f t="shared" si="0"/>
        <v>0.04</v>
      </c>
      <c r="K30" s="3">
        <f t="shared" si="4"/>
        <v>4347.6864320225441</v>
      </c>
      <c r="L30" s="3">
        <f t="shared" si="4"/>
        <v>3634.8169554976462</v>
      </c>
      <c r="M30" s="3">
        <f t="shared" si="4"/>
        <v>4080.1905925094243</v>
      </c>
    </row>
    <row r="31" spans="2:13" x14ac:dyDescent="0.35">
      <c r="B31">
        <v>2039</v>
      </c>
      <c r="C31">
        <f t="shared" si="5"/>
        <v>19.303999999999998</v>
      </c>
      <c r="D31" s="3">
        <f t="shared" si="1"/>
        <v>12754.12940572088</v>
      </c>
      <c r="E31" s="3">
        <f t="shared" si="2"/>
        <v>28326.095036800001</v>
      </c>
      <c r="F31" s="3">
        <f t="shared" si="3"/>
        <v>11321.952603232621</v>
      </c>
      <c r="H31">
        <v>2039</v>
      </c>
      <c r="I31">
        <v>4</v>
      </c>
      <c r="J31">
        <f t="shared" si="0"/>
        <v>0.04</v>
      </c>
      <c r="K31" s="3">
        <f t="shared" si="4"/>
        <v>4347.6864320225441</v>
      </c>
      <c r="L31" s="3">
        <f t="shared" si="4"/>
        <v>3634.8169554976462</v>
      </c>
      <c r="M31" s="3">
        <f t="shared" si="4"/>
        <v>4080.1905925094243</v>
      </c>
    </row>
    <row r="32" spans="2:13" x14ac:dyDescent="0.35">
      <c r="B32">
        <v>2040</v>
      </c>
      <c r="C32">
        <v>19.100000000000001</v>
      </c>
      <c r="D32" s="3">
        <f t="shared" si="1"/>
        <v>12619.346852945961</v>
      </c>
      <c r="E32" s="3">
        <f t="shared" si="2"/>
        <v>28026.751720000004</v>
      </c>
      <c r="F32" s="3">
        <f t="shared" si="3"/>
        <v>11202.304948287561</v>
      </c>
      <c r="H32">
        <v>2040</v>
      </c>
      <c r="I32">
        <v>4</v>
      </c>
      <c r="J32">
        <f t="shared" si="0"/>
        <v>0.04</v>
      </c>
      <c r="K32" s="3">
        <f t="shared" si="4"/>
        <v>4347.6864320225441</v>
      </c>
      <c r="L32" s="3">
        <f t="shared" si="4"/>
        <v>3634.8169554976462</v>
      </c>
      <c r="M32" s="3">
        <f t="shared" si="4"/>
        <v>4080.1905925094243</v>
      </c>
    </row>
    <row r="33" spans="2:13" x14ac:dyDescent="0.35">
      <c r="B33">
        <v>2045</v>
      </c>
      <c r="C33">
        <v>19.22</v>
      </c>
      <c r="D33" s="3">
        <f t="shared" si="1"/>
        <v>12698.630707519442</v>
      </c>
      <c r="E33" s="3">
        <f t="shared" si="2"/>
        <v>28202.836024000004</v>
      </c>
      <c r="F33" s="3">
        <f t="shared" si="3"/>
        <v>11272.685921784656</v>
      </c>
      <c r="H33">
        <v>2045</v>
      </c>
      <c r="I33">
        <v>4</v>
      </c>
      <c r="J33">
        <f t="shared" si="0"/>
        <v>0.04</v>
      </c>
      <c r="K33" s="3">
        <f t="shared" si="4"/>
        <v>4347.6864320225441</v>
      </c>
      <c r="L33" s="3">
        <f t="shared" si="4"/>
        <v>3634.8169554976462</v>
      </c>
      <c r="M33" s="3">
        <f t="shared" si="4"/>
        <v>4080.1905925094243</v>
      </c>
    </row>
    <row r="34" spans="2:13" x14ac:dyDescent="0.35">
      <c r="B34">
        <v>2046</v>
      </c>
      <c r="C34">
        <f>C33-0.004</f>
        <v>19.215999999999998</v>
      </c>
      <c r="D34" s="3">
        <f t="shared" si="1"/>
        <v>12695.987912366991</v>
      </c>
      <c r="E34" s="3">
        <f t="shared" si="2"/>
        <v>28196.966547200002</v>
      </c>
      <c r="F34" s="3">
        <f t="shared" si="3"/>
        <v>11270.339889334749</v>
      </c>
      <c r="H34">
        <v>2046</v>
      </c>
      <c r="I34">
        <v>4</v>
      </c>
      <c r="J34">
        <f t="shared" si="0"/>
        <v>0.04</v>
      </c>
      <c r="K34" s="3">
        <f t="shared" si="4"/>
        <v>4347.6864320225441</v>
      </c>
      <c r="L34" s="3">
        <f t="shared" si="4"/>
        <v>3634.8169554976462</v>
      </c>
      <c r="M34" s="3">
        <f t="shared" si="4"/>
        <v>4080.1905925094243</v>
      </c>
    </row>
    <row r="35" spans="2:13" x14ac:dyDescent="0.35">
      <c r="B35">
        <v>2047</v>
      </c>
      <c r="C35">
        <f t="shared" ref="C35:C37" si="6">C34-0.004</f>
        <v>19.211999999999996</v>
      </c>
      <c r="D35" s="3">
        <f t="shared" si="1"/>
        <v>12693.345117214541</v>
      </c>
      <c r="E35" s="3">
        <f t="shared" si="2"/>
        <v>28191.097070399999</v>
      </c>
      <c r="F35" s="3">
        <f t="shared" si="3"/>
        <v>11267.993856884847</v>
      </c>
      <c r="H35">
        <v>2047</v>
      </c>
      <c r="I35">
        <v>4</v>
      </c>
      <c r="J35">
        <f t="shared" si="0"/>
        <v>0.04</v>
      </c>
      <c r="K35" s="3">
        <f t="shared" si="4"/>
        <v>4347.6864320225441</v>
      </c>
      <c r="L35" s="3">
        <f t="shared" si="4"/>
        <v>3634.8169554976462</v>
      </c>
      <c r="M35" s="3">
        <f t="shared" si="4"/>
        <v>4080.1905925094243</v>
      </c>
    </row>
    <row r="36" spans="2:13" x14ac:dyDescent="0.35">
      <c r="B36">
        <v>2048</v>
      </c>
      <c r="C36">
        <f t="shared" si="6"/>
        <v>19.207999999999995</v>
      </c>
      <c r="D36" s="3">
        <f t="shared" si="1"/>
        <v>12690.70232206209</v>
      </c>
      <c r="E36" s="3">
        <f t="shared" si="2"/>
        <v>28185.227593599997</v>
      </c>
      <c r="F36" s="3">
        <f t="shared" si="3"/>
        <v>11265.647824434944</v>
      </c>
      <c r="H36">
        <v>2048</v>
      </c>
      <c r="I36">
        <v>4</v>
      </c>
      <c r="J36">
        <f t="shared" si="0"/>
        <v>0.04</v>
      </c>
      <c r="K36" s="3">
        <f t="shared" si="4"/>
        <v>4347.6864320225441</v>
      </c>
      <c r="L36" s="3">
        <f t="shared" si="4"/>
        <v>3634.8169554976462</v>
      </c>
      <c r="M36" s="3">
        <f t="shared" si="4"/>
        <v>4080.1905925094243</v>
      </c>
    </row>
    <row r="37" spans="2:13" x14ac:dyDescent="0.35">
      <c r="B37">
        <v>2049</v>
      </c>
      <c r="C37">
        <f t="shared" si="6"/>
        <v>19.203999999999994</v>
      </c>
      <c r="D37" s="3">
        <f t="shared" si="1"/>
        <v>12688.059526909641</v>
      </c>
      <c r="E37" s="3">
        <f t="shared" si="2"/>
        <v>28179.358116799995</v>
      </c>
      <c r="F37" s="3">
        <f t="shared" si="3"/>
        <v>11263.301791985039</v>
      </c>
      <c r="H37">
        <v>2049</v>
      </c>
      <c r="I37">
        <v>4</v>
      </c>
      <c r="J37">
        <f t="shared" si="0"/>
        <v>0.04</v>
      </c>
      <c r="K37" s="3">
        <f t="shared" si="4"/>
        <v>4347.6864320225441</v>
      </c>
      <c r="L37" s="3">
        <f t="shared" si="4"/>
        <v>3634.8169554976462</v>
      </c>
      <c r="M37" s="3">
        <f t="shared" si="4"/>
        <v>4080.1905925094243</v>
      </c>
    </row>
    <row r="38" spans="2:13" x14ac:dyDescent="0.35">
      <c r="B38">
        <v>2050</v>
      </c>
      <c r="C38">
        <v>19.2</v>
      </c>
      <c r="D38" s="3">
        <f t="shared" si="1"/>
        <v>12685.416731757196</v>
      </c>
      <c r="E38" s="3">
        <f t="shared" si="2"/>
        <v>28173.48864</v>
      </c>
      <c r="F38" s="3">
        <f t="shared" si="3"/>
        <v>11260.955759535138</v>
      </c>
      <c r="H38">
        <v>2050</v>
      </c>
      <c r="I38">
        <v>4</v>
      </c>
      <c r="J38">
        <f t="shared" si="0"/>
        <v>0.04</v>
      </c>
      <c r="K38" s="3">
        <f t="shared" si="4"/>
        <v>4347.6864320225441</v>
      </c>
      <c r="L38" s="3">
        <f t="shared" si="4"/>
        <v>3634.8169554976462</v>
      </c>
      <c r="M38" s="3">
        <f t="shared" si="4"/>
        <v>4080.1905925094243</v>
      </c>
    </row>
    <row r="40" spans="2:13" x14ac:dyDescent="0.35">
      <c r="C40" t="s">
        <v>51</v>
      </c>
      <c r="D40" s="3">
        <f>SUM(D17:D38)</f>
        <v>289881.59328429529</v>
      </c>
      <c r="E40" s="3">
        <f>SUM(E17:E38)</f>
        <v>643808.23650000012</v>
      </c>
      <c r="F40" s="3">
        <f>SUM(F17:F38)</f>
        <v>257330.43434875214</v>
      </c>
      <c r="J40" t="s">
        <v>51</v>
      </c>
      <c r="K40" s="3">
        <f>SUM(K17:K38)</f>
        <v>95649.101504495964</v>
      </c>
      <c r="L40" s="3">
        <f>SUM(L17:L38)</f>
        <v>79965.973020948237</v>
      </c>
      <c r="M40" s="3">
        <f>SUM(M17:M38)</f>
        <v>89764.19303520731</v>
      </c>
    </row>
    <row r="41" spans="2:13" x14ac:dyDescent="0.35">
      <c r="J41" t="s">
        <v>60</v>
      </c>
      <c r="K41" s="3">
        <f>K40*(-1)</f>
        <v>-95649.101504495964</v>
      </c>
      <c r="L41" s="3">
        <f t="shared" ref="L41:M41" si="7">L40*(-1)</f>
        <v>-79965.973020948237</v>
      </c>
      <c r="M41" s="3">
        <f t="shared" si="7"/>
        <v>-89764.19303520731</v>
      </c>
    </row>
    <row r="42" spans="2:13" x14ac:dyDescent="0.35">
      <c r="B42" s="77" t="s">
        <v>84</v>
      </c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</row>
    <row r="43" spans="2:13" x14ac:dyDescent="0.35">
      <c r="B43" s="40">
        <v>2021</v>
      </c>
      <c r="C43" s="40">
        <v>25.93</v>
      </c>
      <c r="D43" s="41">
        <f>$C43*$D$14/100</f>
        <v>17131.919575753338</v>
      </c>
      <c r="E43" s="41">
        <f>$C43*$E$14/100</f>
        <v>38048.883356000006</v>
      </c>
      <c r="F43" s="41">
        <f>$C43*$D$14/100</f>
        <v>17131.919575753338</v>
      </c>
      <c r="G43" s="40"/>
      <c r="H43" s="40">
        <v>2021</v>
      </c>
      <c r="I43" s="40">
        <v>8.83</v>
      </c>
      <c r="J43" s="40">
        <f>I43/100</f>
        <v>8.8300000000000003E-2</v>
      </c>
      <c r="K43" s="41">
        <f t="shared" ref="K43:M46" si="8">$J$43*K$14</f>
        <v>4347.6864320225441</v>
      </c>
      <c r="L43" s="41">
        <f t="shared" si="8"/>
        <v>3634.8169554976462</v>
      </c>
      <c r="M43" s="41">
        <f t="shared" si="8"/>
        <v>4080.1905925094243</v>
      </c>
    </row>
    <row r="44" spans="2:13" x14ac:dyDescent="0.35">
      <c r="B44" s="40">
        <v>2022</v>
      </c>
      <c r="C44" s="40">
        <v>27.12</v>
      </c>
      <c r="D44" s="41">
        <f>$C44*$D$14/100</f>
        <v>17918.15113360704</v>
      </c>
      <c r="E44" s="41">
        <f>$C44*$E$14/100</f>
        <v>39795.052704000002</v>
      </c>
      <c r="F44" s="41">
        <f>$C44*$D$14/100</f>
        <v>17918.15113360704</v>
      </c>
      <c r="G44" s="40"/>
      <c r="H44" s="40">
        <v>2022</v>
      </c>
      <c r="I44" s="40">
        <v>8.83</v>
      </c>
      <c r="J44" s="40">
        <f>I44/100</f>
        <v>8.8300000000000003E-2</v>
      </c>
      <c r="K44" s="41">
        <f t="shared" si="8"/>
        <v>4347.6864320225441</v>
      </c>
      <c r="L44" s="41">
        <f t="shared" si="8"/>
        <v>3634.8169554976462</v>
      </c>
      <c r="M44" s="41">
        <f t="shared" si="8"/>
        <v>4080.1905925094243</v>
      </c>
    </row>
    <row r="45" spans="2:13" x14ac:dyDescent="0.35">
      <c r="B45" s="40">
        <v>2023</v>
      </c>
      <c r="C45" s="40">
        <v>24.43</v>
      </c>
      <c r="D45" s="41">
        <f>$C45*$D$14/100</f>
        <v>16140.871393584806</v>
      </c>
      <c r="E45" s="41">
        <f>$C45*$E$14/100</f>
        <v>35847.829556000004</v>
      </c>
      <c r="F45" s="41">
        <f>$C45*$D$14/100</f>
        <v>16140.871393584806</v>
      </c>
      <c r="G45" s="40"/>
      <c r="H45" s="40">
        <v>2023</v>
      </c>
      <c r="I45" s="40">
        <v>8.83</v>
      </c>
      <c r="J45" s="40">
        <f>I45/100</f>
        <v>8.8300000000000003E-2</v>
      </c>
      <c r="K45" s="41">
        <f t="shared" si="8"/>
        <v>4347.6864320225441</v>
      </c>
      <c r="L45" s="41">
        <f t="shared" si="8"/>
        <v>3634.8169554976462</v>
      </c>
      <c r="M45" s="41">
        <f t="shared" si="8"/>
        <v>4080.1905925094243</v>
      </c>
    </row>
    <row r="46" spans="2:13" x14ac:dyDescent="0.35">
      <c r="B46" s="40">
        <v>2024</v>
      </c>
      <c r="C46" s="40">
        <v>24.62</v>
      </c>
      <c r="D46" s="41">
        <f>$C46*$D$14/100</f>
        <v>16266.404163326155</v>
      </c>
      <c r="E46" s="41">
        <f>$C46*$E$14/100</f>
        <v>36126.629704000006</v>
      </c>
      <c r="F46" s="41">
        <f>$C46*$D$14/100</f>
        <v>16266.404163326155</v>
      </c>
      <c r="G46" s="40"/>
      <c r="H46" s="40">
        <v>2024</v>
      </c>
      <c r="I46" s="40">
        <v>8.83</v>
      </c>
      <c r="J46" s="40">
        <f>I46/100</f>
        <v>8.8300000000000003E-2</v>
      </c>
      <c r="K46" s="41">
        <f t="shared" si="8"/>
        <v>4347.6864320225441</v>
      </c>
      <c r="L46" s="41">
        <f t="shared" si="8"/>
        <v>3634.8169554976462</v>
      </c>
      <c r="M46" s="41">
        <f t="shared" si="8"/>
        <v>4080.1905925094243</v>
      </c>
    </row>
  </sheetData>
  <mergeCells count="2">
    <mergeCell ref="D13:F13"/>
    <mergeCell ref="B42:M42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590C2-65B1-4381-A0FC-3F8F0BA4C507}">
  <dimension ref="A1:K42"/>
  <sheetViews>
    <sheetView zoomScale="130" zoomScaleNormal="130" workbookViewId="0">
      <selection activeCell="D13" sqref="D13"/>
    </sheetView>
  </sheetViews>
  <sheetFormatPr baseColWidth="10" defaultRowHeight="14.5" x14ac:dyDescent="0.35"/>
  <cols>
    <col min="2" max="2" width="20.36328125" customWidth="1"/>
    <col min="3" max="4" width="14" bestFit="1" customWidth="1"/>
    <col min="5" max="5" width="13.54296875" customWidth="1"/>
    <col min="6" max="6" width="13" bestFit="1" customWidth="1"/>
    <col min="7" max="7" width="13.1796875" bestFit="1" customWidth="1"/>
    <col min="8" max="8" width="31.90625" bestFit="1" customWidth="1"/>
    <col min="9" max="9" width="17" bestFit="1" customWidth="1"/>
    <col min="10" max="10" width="12.54296875" bestFit="1" customWidth="1"/>
    <col min="11" max="11" width="19.81640625" bestFit="1" customWidth="1"/>
  </cols>
  <sheetData>
    <row r="1" spans="1:11" x14ac:dyDescent="0.35">
      <c r="H1" t="s">
        <v>113</v>
      </c>
    </row>
    <row r="2" spans="1:11" x14ac:dyDescent="0.35">
      <c r="B2" s="42" t="str" cm="1">
        <f t="array" ref="B2:B9">dezentral!C30:C37</f>
        <v>dezentral</v>
      </c>
      <c r="C2" s="42" t="str" cm="1">
        <f t="array" ref="C2:C9">'kalte NW'!C32:C39</f>
        <v>KNW</v>
      </c>
      <c r="D2" s="42" t="str" cm="1">
        <f t="array" ref="D2:D9">'NT-WN_3_77'!C32:C39</f>
        <v>NT-WN</v>
      </c>
      <c r="G2" s="42" t="s">
        <v>114</v>
      </c>
      <c r="I2" s="42" t="s">
        <v>47</v>
      </c>
      <c r="J2" s="42" t="s">
        <v>111</v>
      </c>
      <c r="K2" s="42" t="s">
        <v>48</v>
      </c>
    </row>
    <row r="3" spans="1:11" x14ac:dyDescent="0.35">
      <c r="A3" t="str" cm="1">
        <f t="array" ref="A3:A7">dezentral!B31:B35</f>
        <v>Sanierung</v>
      </c>
      <c r="B3" s="2">
        <v>1580000</v>
      </c>
      <c r="C3" s="2">
        <v>1580000</v>
      </c>
      <c r="D3" s="2">
        <v>630000</v>
      </c>
      <c r="E3" s="2"/>
      <c r="G3" s="2">
        <v>0.32923427140105138</v>
      </c>
      <c r="H3" t="s">
        <v>105</v>
      </c>
      <c r="I3" s="2">
        <f t="shared" ref="I3:K7" si="0">B3/B$9</f>
        <v>0.76343974359810018</v>
      </c>
      <c r="J3" s="2">
        <f t="shared" si="0"/>
        <v>0.73814771008916502</v>
      </c>
      <c r="K3" s="2">
        <f t="shared" si="0"/>
        <v>0.35434556623960117</v>
      </c>
    </row>
    <row r="4" spans="1:11" x14ac:dyDescent="0.35">
      <c r="A4" t="str">
        <v>Wärmeverteilung- und Speicherung</v>
      </c>
      <c r="B4" s="2">
        <v>0</v>
      </c>
      <c r="C4" s="2">
        <v>81346.2</v>
      </c>
      <c r="D4" s="2">
        <v>296127.68564031721</v>
      </c>
      <c r="E4" s="2"/>
      <c r="G4" s="2">
        <v>0.15475457591026892</v>
      </c>
      <c r="H4" t="s">
        <v>107</v>
      </c>
      <c r="I4" s="2">
        <f t="shared" si="0"/>
        <v>0</v>
      </c>
      <c r="J4" s="2">
        <f t="shared" si="0"/>
        <v>3.8003488135731164E-2</v>
      </c>
      <c r="K4" s="2">
        <f t="shared" si="0"/>
        <v>0.16655798801181082</v>
      </c>
    </row>
    <row r="5" spans="1:11" x14ac:dyDescent="0.35">
      <c r="A5" t="str">
        <v>Wärmeerzeugung</v>
      </c>
      <c r="B5" s="2">
        <v>247848</v>
      </c>
      <c r="C5" s="2">
        <v>243744</v>
      </c>
      <c r="D5" s="2">
        <v>255780.5</v>
      </c>
      <c r="E5" s="2"/>
      <c r="G5" s="2">
        <v>0.1414249948836401</v>
      </c>
      <c r="H5" t="s">
        <v>106</v>
      </c>
      <c r="I5" s="2">
        <f t="shared" si="0"/>
        <v>0.11975760352614045</v>
      </c>
      <c r="J5" s="2">
        <f t="shared" si="0"/>
        <v>0.11387283256200852</v>
      </c>
      <c r="K5" s="2">
        <f t="shared" si="0"/>
        <v>0.14386458111991793</v>
      </c>
    </row>
    <row r="6" spans="1:11" x14ac:dyDescent="0.35">
      <c r="A6" t="str">
        <v>Energiekosten</v>
      </c>
      <c r="B6" s="2">
        <v>194232.49177979934</v>
      </c>
      <c r="C6" s="2">
        <v>167566.24131354483</v>
      </c>
      <c r="D6" s="2">
        <v>563842.26347905188</v>
      </c>
      <c r="E6" s="2"/>
      <c r="G6" s="2">
        <v>0.36433024895385607</v>
      </c>
      <c r="H6" t="s">
        <v>10</v>
      </c>
      <c r="I6" s="2">
        <f t="shared" si="0"/>
        <v>9.3851141596702589E-2</v>
      </c>
      <c r="J6" s="2">
        <f t="shared" si="0"/>
        <v>7.8283947666988332E-2</v>
      </c>
      <c r="K6" s="2">
        <f t="shared" si="0"/>
        <v>0.31713493035286194</v>
      </c>
    </row>
    <row r="7" spans="1:11" x14ac:dyDescent="0.35">
      <c r="A7" t="str">
        <v>Instandhaltungskosten</v>
      </c>
      <c r="B7" s="2">
        <v>47500</v>
      </c>
      <c r="C7" s="2">
        <v>67836.55</v>
      </c>
      <c r="D7" s="2">
        <v>32175</v>
      </c>
      <c r="E7" s="2"/>
      <c r="G7" s="2">
        <v>1.0255908851183545E-2</v>
      </c>
      <c r="H7" t="s">
        <v>109</v>
      </c>
      <c r="I7" s="2">
        <f t="shared" si="0"/>
        <v>2.2951511279056806E-2</v>
      </c>
      <c r="J7" s="2">
        <f t="shared" si="0"/>
        <v>3.1692021546107056E-2</v>
      </c>
      <c r="K7" s="2">
        <f t="shared" si="0"/>
        <v>1.8096934275808201E-2</v>
      </c>
    </row>
    <row r="8" spans="1:11" x14ac:dyDescent="0.35">
      <c r="B8" t="str">
        <v xml:space="preserve"> </v>
      </c>
      <c r="C8" t="str">
        <v xml:space="preserve"> </v>
      </c>
      <c r="D8" t="str">
        <v xml:space="preserve"> </v>
      </c>
    </row>
    <row r="9" spans="1:11" x14ac:dyDescent="0.35">
      <c r="A9" t="str">
        <f>dezentral!B37</f>
        <v>Kontrollsumme</v>
      </c>
      <c r="B9" s="2">
        <v>2069580.4917797993</v>
      </c>
      <c r="C9" s="2">
        <v>2140492.9913135446</v>
      </c>
      <c r="D9" s="2">
        <v>1777925.449119369</v>
      </c>
      <c r="E9" s="2"/>
      <c r="H9" t="s">
        <v>108</v>
      </c>
      <c r="I9" s="42">
        <f>SUM(I3:I7)</f>
        <v>1</v>
      </c>
      <c r="J9" s="42">
        <f t="shared" ref="J9:K9" si="1">SUM(J3:J7)</f>
        <v>1</v>
      </c>
      <c r="K9" s="42">
        <f t="shared" si="1"/>
        <v>1</v>
      </c>
    </row>
    <row r="10" spans="1:11" x14ac:dyDescent="0.35">
      <c r="C10" s="2">
        <f>C9-B9</f>
        <v>70912.499533745227</v>
      </c>
    </row>
    <row r="11" spans="1:11" x14ac:dyDescent="0.35">
      <c r="A11" t="s">
        <v>115</v>
      </c>
      <c r="B11" t="s">
        <v>116</v>
      </c>
      <c r="C11" t="s">
        <v>48</v>
      </c>
      <c r="D11" t="s">
        <v>111</v>
      </c>
    </row>
    <row r="12" spans="1:11" x14ac:dyDescent="0.35">
      <c r="B12" s="46">
        <f>ROUND(B9,-4)</f>
        <v>2070000</v>
      </c>
      <c r="C12" s="46">
        <f>ROUND(D9,-4)</f>
        <v>1780000</v>
      </c>
      <c r="D12" s="46">
        <f>ROUND(C9,-4)</f>
        <v>2140000</v>
      </c>
    </row>
    <row r="13" spans="1:11" x14ac:dyDescent="0.35">
      <c r="I13" s="45"/>
      <c r="J13" s="45"/>
      <c r="K13" s="45"/>
    </row>
    <row r="14" spans="1:11" x14ac:dyDescent="0.35">
      <c r="I14" s="45"/>
      <c r="J14" s="45"/>
      <c r="K14" s="45"/>
    </row>
    <row r="15" spans="1:11" x14ac:dyDescent="0.35">
      <c r="I15" s="45"/>
      <c r="J15" s="45"/>
      <c r="K15" s="45"/>
    </row>
    <row r="16" spans="1:11" x14ac:dyDescent="0.35">
      <c r="I16" s="45"/>
      <c r="J16" s="45"/>
      <c r="K16" s="45"/>
    </row>
    <row r="17" spans="7:11" x14ac:dyDescent="0.35">
      <c r="I17" s="45"/>
      <c r="J17" s="45"/>
      <c r="K17" s="45"/>
    </row>
    <row r="28" spans="7:11" x14ac:dyDescent="0.35">
      <c r="G28" t="s">
        <v>124</v>
      </c>
    </row>
    <row r="29" spans="7:11" x14ac:dyDescent="0.35">
      <c r="G29" s="2">
        <v>195000</v>
      </c>
      <c r="H29" s="2">
        <v>168000</v>
      </c>
    </row>
    <row r="30" spans="7:11" x14ac:dyDescent="0.35">
      <c r="G30" s="2">
        <v>47500</v>
      </c>
      <c r="H30" s="2">
        <v>67800</v>
      </c>
    </row>
    <row r="32" spans="7:11" x14ac:dyDescent="0.35">
      <c r="G32" s="42">
        <f>SUM(G29:G30)</f>
        <v>242500</v>
      </c>
      <c r="H32" s="42">
        <f>SUM(H29:H30)</f>
        <v>235800</v>
      </c>
    </row>
    <row r="34" spans="2:5" x14ac:dyDescent="0.35">
      <c r="C34" s="42" t="s">
        <v>47</v>
      </c>
      <c r="D34" s="42" t="s">
        <v>111</v>
      </c>
      <c r="E34" s="42" t="s">
        <v>48</v>
      </c>
    </row>
    <row r="35" spans="2:5" x14ac:dyDescent="0.35">
      <c r="B35" t="s">
        <v>105</v>
      </c>
      <c r="C35" s="2" cm="1">
        <f t="array" ref="C35:E39">B3:D7</f>
        <v>1580000</v>
      </c>
      <c r="D35" s="2">
        <v>1580000</v>
      </c>
      <c r="E35" s="2">
        <v>630000</v>
      </c>
    </row>
    <row r="36" spans="2:5" x14ac:dyDescent="0.35">
      <c r="B36" s="4" t="s">
        <v>107</v>
      </c>
      <c r="C36" s="48">
        <v>0</v>
      </c>
      <c r="D36" s="48">
        <v>81346.2</v>
      </c>
      <c r="E36" s="48">
        <v>296127.68564031721</v>
      </c>
    </row>
    <row r="37" spans="2:5" x14ac:dyDescent="0.35">
      <c r="B37" t="s">
        <v>106</v>
      </c>
      <c r="C37" s="2">
        <v>247848</v>
      </c>
      <c r="D37" s="2">
        <v>243744</v>
      </c>
      <c r="E37" s="2">
        <v>255780.5</v>
      </c>
    </row>
    <row r="38" spans="2:5" x14ac:dyDescent="0.35">
      <c r="B38" t="s">
        <v>10</v>
      </c>
      <c r="C38" s="2">
        <v>194232.49177979934</v>
      </c>
      <c r="D38" s="2">
        <v>167566.24131354483</v>
      </c>
      <c r="E38" s="2">
        <v>563842.26347905188</v>
      </c>
    </row>
    <row r="39" spans="2:5" x14ac:dyDescent="0.35">
      <c r="B39" t="s">
        <v>109</v>
      </c>
      <c r="C39" s="2">
        <v>47500</v>
      </c>
      <c r="D39" s="2">
        <v>67836.55</v>
      </c>
      <c r="E39" s="2">
        <v>32175</v>
      </c>
    </row>
    <row r="41" spans="2:5" x14ac:dyDescent="0.35">
      <c r="C41" s="42" t="s">
        <v>47</v>
      </c>
      <c r="D41" s="42" t="s">
        <v>111</v>
      </c>
      <c r="E41" s="42" t="s">
        <v>48</v>
      </c>
    </row>
    <row r="42" spans="2:5" x14ac:dyDescent="0.35">
      <c r="B42" t="s">
        <v>106</v>
      </c>
      <c r="C42" s="2">
        <v>247848</v>
      </c>
      <c r="D42" s="2">
        <v>243744</v>
      </c>
      <c r="E42" s="2">
        <v>251901.11850488459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zoomScale="115" zoomScaleNormal="115" workbookViewId="0">
      <selection activeCell="E9" sqref="E9"/>
    </sheetView>
  </sheetViews>
  <sheetFormatPr baseColWidth="10" defaultColWidth="9.1796875" defaultRowHeight="14.5" x14ac:dyDescent="0.35"/>
  <cols>
    <col min="1" max="1" width="2.7265625" customWidth="1"/>
    <col min="2" max="2" width="52.26953125" style="19" customWidth="1"/>
    <col min="3" max="3" width="13.1796875" style="9" bestFit="1" customWidth="1"/>
    <col min="5" max="5" width="13.7265625" customWidth="1"/>
    <col min="7" max="7" width="2.7265625" customWidth="1"/>
    <col min="8" max="8" width="25.26953125" customWidth="1"/>
    <col min="9" max="9" width="13.1796875" style="6" customWidth="1"/>
    <col min="10" max="10" width="2.7265625" customWidth="1"/>
    <col min="11" max="11" width="20.7265625" style="16" customWidth="1"/>
    <col min="12" max="12" width="11.54296875" style="6" bestFit="1" customWidth="1"/>
  </cols>
  <sheetData>
    <row r="1" spans="1:19" ht="15" thickBot="1" x14ac:dyDescent="0.4">
      <c r="A1" t="s">
        <v>40</v>
      </c>
      <c r="B1" s="78" t="s">
        <v>8</v>
      </c>
      <c r="C1" s="79"/>
      <c r="D1" s="79"/>
      <c r="E1" s="79"/>
      <c r="F1" s="79"/>
      <c r="G1" s="80"/>
      <c r="H1" s="78" t="s">
        <v>9</v>
      </c>
      <c r="I1" s="79"/>
      <c r="J1" s="79"/>
      <c r="K1" s="79"/>
      <c r="L1" s="80"/>
    </row>
    <row r="2" spans="1:19" ht="15" thickBot="1" x14ac:dyDescent="0.4">
      <c r="B2" s="21" t="s">
        <v>0</v>
      </c>
      <c r="C2" s="15" t="s">
        <v>1</v>
      </c>
      <c r="G2" s="20"/>
      <c r="H2" s="1" t="s">
        <v>12</v>
      </c>
      <c r="I2" s="35" t="s">
        <v>1</v>
      </c>
      <c r="K2" s="1" t="s">
        <v>10</v>
      </c>
      <c r="L2" s="35" t="s">
        <v>1</v>
      </c>
    </row>
    <row r="3" spans="1:19" x14ac:dyDescent="0.35">
      <c r="G3" s="20"/>
      <c r="H3" t="s">
        <v>43</v>
      </c>
      <c r="I3" s="9" t="s">
        <v>33</v>
      </c>
      <c r="K3"/>
      <c r="L3" s="9"/>
    </row>
    <row r="4" spans="1:19" s="12" customFormat="1" x14ac:dyDescent="0.35">
      <c r="B4" s="22"/>
      <c r="C4" s="13" t="s">
        <v>38</v>
      </c>
      <c r="D4" s="14" t="s">
        <v>39</v>
      </c>
      <c r="E4" s="14" t="s">
        <v>32</v>
      </c>
      <c r="G4" s="23"/>
      <c r="I4" s="9" t="s">
        <v>38</v>
      </c>
      <c r="J4"/>
      <c r="K4"/>
      <c r="L4" s="13" t="s">
        <v>38</v>
      </c>
      <c r="N4"/>
      <c r="O4"/>
      <c r="P4"/>
      <c r="Q4"/>
      <c r="R4"/>
      <c r="S4"/>
    </row>
    <row r="5" spans="1:19" x14ac:dyDescent="0.35">
      <c r="B5" s="24" t="s">
        <v>2</v>
      </c>
      <c r="G5" s="20"/>
      <c r="I5" s="36"/>
      <c r="J5" s="11"/>
      <c r="K5" s="37" t="s">
        <v>11</v>
      </c>
      <c r="L5" s="7" cm="1">
        <f t="array" ref="L5:L6">'Allgemeine Parameter'!C8:C9</f>
        <v>289881.59328429529</v>
      </c>
    </row>
    <row r="6" spans="1:19" x14ac:dyDescent="0.35">
      <c r="B6" s="53" t="s">
        <v>36</v>
      </c>
      <c r="C6" s="52">
        <f>D6*E6</f>
        <v>98267.999999999985</v>
      </c>
      <c r="D6">
        <f>[5]dezentral!$C$8</f>
        <v>86.199999999999989</v>
      </c>
      <c r="E6" s="25">
        <v>1140</v>
      </c>
      <c r="F6" s="26" t="s">
        <v>37</v>
      </c>
      <c r="G6" s="20" t="s">
        <v>33</v>
      </c>
      <c r="K6" t="s">
        <v>6</v>
      </c>
      <c r="L6" s="7">
        <v>-95649.101504495964</v>
      </c>
      <c r="N6">
        <v>130</v>
      </c>
      <c r="O6" t="s">
        <v>62</v>
      </c>
    </row>
    <row r="7" spans="1:19" x14ac:dyDescent="0.35">
      <c r="G7" s="20" t="s">
        <v>33</v>
      </c>
      <c r="K7"/>
    </row>
    <row r="8" spans="1:19" x14ac:dyDescent="0.35">
      <c r="B8" s="24" t="s">
        <v>4</v>
      </c>
      <c r="G8" s="20"/>
      <c r="K8"/>
    </row>
    <row r="9" spans="1:19" x14ac:dyDescent="0.35">
      <c r="B9" s="19" t="s">
        <v>5</v>
      </c>
      <c r="C9" s="9" t="s">
        <v>5</v>
      </c>
      <c r="G9" s="20"/>
      <c r="K9"/>
    </row>
    <row r="10" spans="1:19" x14ac:dyDescent="0.35">
      <c r="B10" s="51" t="s">
        <v>3</v>
      </c>
      <c r="C10" s="52"/>
      <c r="G10" s="20"/>
      <c r="K10"/>
    </row>
    <row r="11" spans="1:19" x14ac:dyDescent="0.35">
      <c r="B11" s="53" t="s">
        <v>35</v>
      </c>
      <c r="C11" s="52"/>
      <c r="F11" t="s">
        <v>31</v>
      </c>
      <c r="G11" s="20" t="s">
        <v>33</v>
      </c>
      <c r="H11" t="s">
        <v>30</v>
      </c>
      <c r="I11" s="6" t="s">
        <v>53</v>
      </c>
      <c r="K11"/>
    </row>
    <row r="12" spans="1:19" x14ac:dyDescent="0.35">
      <c r="B12" s="53" t="s">
        <v>16</v>
      </c>
      <c r="C12" s="52">
        <f>D12*E12</f>
        <v>27600</v>
      </c>
      <c r="D12">
        <v>20</v>
      </c>
      <c r="E12" s="25">
        <v>1380</v>
      </c>
      <c r="F12" s="26" t="s">
        <v>29</v>
      </c>
      <c r="G12" s="20" t="s">
        <v>33</v>
      </c>
      <c r="I12" s="7">
        <v>350</v>
      </c>
      <c r="K12"/>
    </row>
    <row r="13" spans="1:19" x14ac:dyDescent="0.35">
      <c r="B13" s="53" t="s">
        <v>28</v>
      </c>
      <c r="C13" s="52">
        <f t="shared" ref="C13:C15" si="0">D13*E13</f>
        <v>43350</v>
      </c>
      <c r="D13">
        <v>50</v>
      </c>
      <c r="E13" s="25">
        <v>867</v>
      </c>
      <c r="F13" s="26" t="s">
        <v>29</v>
      </c>
      <c r="G13" s="20" t="s">
        <v>33</v>
      </c>
      <c r="I13" s="7">
        <v>533</v>
      </c>
      <c r="K13"/>
    </row>
    <row r="14" spans="1:19" x14ac:dyDescent="0.35">
      <c r="B14" s="53" t="s">
        <v>27</v>
      </c>
      <c r="C14" s="52">
        <f t="shared" si="0"/>
        <v>51030</v>
      </c>
      <c r="D14">
        <v>70</v>
      </c>
      <c r="E14" s="25">
        <v>729</v>
      </c>
      <c r="F14" s="26" t="s">
        <v>29</v>
      </c>
      <c r="G14" s="20" t="s">
        <v>33</v>
      </c>
      <c r="I14" s="7">
        <v>667</v>
      </c>
      <c r="K14"/>
    </row>
    <row r="15" spans="1:19" x14ac:dyDescent="0.35">
      <c r="B15" s="53" t="s">
        <v>26</v>
      </c>
      <c r="C15" s="52">
        <f t="shared" si="0"/>
        <v>27600</v>
      </c>
      <c r="D15">
        <v>20</v>
      </c>
      <c r="E15" s="25">
        <v>1380</v>
      </c>
      <c r="F15" s="26" t="s">
        <v>29</v>
      </c>
      <c r="G15" s="20" t="s">
        <v>34</v>
      </c>
      <c r="I15" s="7">
        <v>350</v>
      </c>
      <c r="K15"/>
    </row>
    <row r="16" spans="1:19" x14ac:dyDescent="0.35">
      <c r="G16" s="20"/>
      <c r="K16"/>
    </row>
    <row r="17" spans="1:19" x14ac:dyDescent="0.35">
      <c r="B17" s="58" t="s">
        <v>7</v>
      </c>
      <c r="C17" s="59"/>
      <c r="G17" s="20"/>
      <c r="K17"/>
    </row>
    <row r="18" spans="1:19" x14ac:dyDescent="0.35">
      <c r="B18" s="60" t="s">
        <v>121</v>
      </c>
      <c r="C18" s="59"/>
      <c r="G18" s="20"/>
      <c r="K18"/>
    </row>
    <row r="19" spans="1:19" x14ac:dyDescent="0.35">
      <c r="B19" s="60" t="s">
        <v>17</v>
      </c>
      <c r="C19" s="59">
        <v>420000</v>
      </c>
      <c r="G19" s="20"/>
      <c r="K19"/>
    </row>
    <row r="20" spans="1:19" x14ac:dyDescent="0.35">
      <c r="B20" s="60" t="s">
        <v>18</v>
      </c>
      <c r="C20" s="59">
        <v>170000</v>
      </c>
      <c r="G20" s="20"/>
      <c r="K20"/>
    </row>
    <row r="21" spans="1:19" x14ac:dyDescent="0.35">
      <c r="B21" s="60" t="s">
        <v>19</v>
      </c>
      <c r="C21" s="59">
        <v>790000</v>
      </c>
      <c r="G21" s="20"/>
      <c r="K21"/>
    </row>
    <row r="22" spans="1:19" x14ac:dyDescent="0.35">
      <c r="B22" s="60" t="s">
        <v>20</v>
      </c>
      <c r="C22" s="59">
        <v>200000</v>
      </c>
      <c r="G22" s="20"/>
      <c r="K22"/>
    </row>
    <row r="23" spans="1:19" x14ac:dyDescent="0.35">
      <c r="G23" s="20"/>
      <c r="H23" t="s">
        <v>78</v>
      </c>
      <c r="I23" s="39">
        <f>SUM(I5:I22)</f>
        <v>1900</v>
      </c>
      <c r="K23"/>
    </row>
    <row r="24" spans="1:19" s="27" customFormat="1" ht="15" thickBot="1" x14ac:dyDescent="0.4">
      <c r="B24" s="19"/>
      <c r="C24" s="6"/>
      <c r="D24"/>
      <c r="E24"/>
      <c r="F24"/>
      <c r="G24" s="20"/>
      <c r="H24" t="s">
        <v>79</v>
      </c>
      <c r="I24" s="8">
        <f>I23*'Allgemeine Parameter'!C3</f>
        <v>47500</v>
      </c>
      <c r="J24"/>
      <c r="K24"/>
      <c r="L24" s="6"/>
      <c r="M24"/>
      <c r="N24"/>
      <c r="O24"/>
      <c r="P24"/>
      <c r="Q24"/>
      <c r="R24"/>
      <c r="S24"/>
    </row>
    <row r="25" spans="1:19" s="31" customFormat="1" ht="15" thickBot="1" x14ac:dyDescent="0.4">
      <c r="A25" s="30"/>
      <c r="B25" s="30" t="s">
        <v>52</v>
      </c>
      <c r="C25" s="10"/>
      <c r="G25" s="32"/>
      <c r="I25" s="5"/>
      <c r="L25" s="5"/>
      <c r="M25"/>
      <c r="N25"/>
      <c r="O25"/>
      <c r="P25"/>
      <c r="Q25"/>
      <c r="R25"/>
      <c r="S25"/>
    </row>
    <row r="26" spans="1:19" s="27" customFormat="1" ht="15" thickBot="1" x14ac:dyDescent="0.4">
      <c r="A26" s="28"/>
      <c r="B26" s="33">
        <f>SUM(C26,I26,L26)</f>
        <v>2069580.4917797993</v>
      </c>
      <c r="C26" s="17">
        <f>SUM(C1:C23)</f>
        <v>1827848</v>
      </c>
      <c r="G26" s="29"/>
      <c r="I26" s="57">
        <f>SUM(I24)</f>
        <v>47500</v>
      </c>
      <c r="L26" s="54">
        <f>SUM(L5:L6)</f>
        <v>194232.49177979934</v>
      </c>
      <c r="M26"/>
      <c r="N26"/>
      <c r="O26"/>
      <c r="P26"/>
      <c r="Q26"/>
      <c r="R26"/>
      <c r="S26"/>
    </row>
    <row r="27" spans="1:19" x14ac:dyDescent="0.35">
      <c r="B27"/>
      <c r="C27" s="34"/>
      <c r="I27"/>
      <c r="K27"/>
      <c r="L27"/>
    </row>
    <row r="28" spans="1:19" x14ac:dyDescent="0.35">
      <c r="B28" t="s">
        <v>80</v>
      </c>
      <c r="C28" s="34"/>
      <c r="I28"/>
      <c r="K28"/>
      <c r="L28"/>
    </row>
    <row r="29" spans="1:19" x14ac:dyDescent="0.35">
      <c r="B29"/>
      <c r="C29" s="34"/>
      <c r="I29"/>
      <c r="K29"/>
      <c r="L29"/>
    </row>
    <row r="30" spans="1:19" x14ac:dyDescent="0.35">
      <c r="B30" s="1" t="s">
        <v>112</v>
      </c>
      <c r="C30" s="34" t="s">
        <v>47</v>
      </c>
      <c r="I30"/>
      <c r="K30"/>
      <c r="L30"/>
    </row>
    <row r="31" spans="1:19" x14ac:dyDescent="0.35">
      <c r="B31" s="60" t="s">
        <v>105</v>
      </c>
      <c r="C31" s="63">
        <f>SUM(C19:C22)</f>
        <v>1580000</v>
      </c>
      <c r="I31"/>
      <c r="K31"/>
      <c r="L31"/>
    </row>
    <row r="32" spans="1:19" x14ac:dyDescent="0.35">
      <c r="B32" s="49" t="s">
        <v>107</v>
      </c>
      <c r="C32" s="64">
        <v>0</v>
      </c>
      <c r="I32"/>
      <c r="K32"/>
      <c r="L32"/>
    </row>
    <row r="33" spans="2:3" customFormat="1" x14ac:dyDescent="0.35">
      <c r="B33" s="53" t="s">
        <v>106</v>
      </c>
      <c r="C33" s="65">
        <f>SUM(C12:C15,C6)</f>
        <v>247848</v>
      </c>
    </row>
    <row r="34" spans="2:3" customFormat="1" x14ac:dyDescent="0.35">
      <c r="B34" s="66" t="s">
        <v>10</v>
      </c>
      <c r="C34" s="67">
        <f>SUM(L26)</f>
        <v>194232.49177979934</v>
      </c>
    </row>
    <row r="35" spans="2:3" customFormat="1" x14ac:dyDescent="0.35">
      <c r="B35" s="55" t="s">
        <v>109</v>
      </c>
      <c r="C35" s="56">
        <f>SUM(I26)</f>
        <v>47500</v>
      </c>
    </row>
    <row r="36" spans="2:3" customFormat="1" ht="15" thickBot="1" x14ac:dyDescent="0.4">
      <c r="B36" s="19"/>
      <c r="C36" s="9" t="s">
        <v>33</v>
      </c>
    </row>
    <row r="37" spans="2:3" customFormat="1" ht="15" thickBot="1" x14ac:dyDescent="0.4">
      <c r="B37" t="s">
        <v>108</v>
      </c>
      <c r="C37" s="33">
        <f>SUM(C31:C35)</f>
        <v>2069580.4917797993</v>
      </c>
    </row>
  </sheetData>
  <mergeCells count="2">
    <mergeCell ref="B1:G1"/>
    <mergeCell ref="H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05C22-774F-487B-8758-21CEEC91D1E4}">
  <dimension ref="A1:S41"/>
  <sheetViews>
    <sheetView topLeftCell="A15" zoomScaleNormal="100" workbookViewId="0">
      <selection activeCell="I33" sqref="I33"/>
    </sheetView>
  </sheetViews>
  <sheetFormatPr baseColWidth="10" defaultColWidth="9.1796875" defaultRowHeight="14.5" x14ac:dyDescent="0.35"/>
  <cols>
    <col min="1" max="1" width="2.7265625" customWidth="1"/>
    <col min="2" max="2" width="52.26953125" style="19" customWidth="1"/>
    <col min="3" max="3" width="13.1796875" style="9" bestFit="1" customWidth="1"/>
    <col min="5" max="5" width="13.7265625" customWidth="1"/>
    <col min="7" max="7" width="2.7265625" customWidth="1"/>
    <col min="8" max="8" width="25.26953125" customWidth="1"/>
    <col min="9" max="9" width="13.1796875" style="6" customWidth="1"/>
    <col min="10" max="10" width="2.7265625" customWidth="1"/>
    <col min="11" max="11" width="20.7265625" style="16" customWidth="1"/>
    <col min="12" max="12" width="11.54296875" style="6" bestFit="1" customWidth="1"/>
  </cols>
  <sheetData>
    <row r="1" spans="1:19" ht="15" thickBot="1" x14ac:dyDescent="0.4">
      <c r="A1" t="s">
        <v>40</v>
      </c>
      <c r="B1" s="78" t="s">
        <v>8</v>
      </c>
      <c r="C1" s="79"/>
      <c r="D1" s="79"/>
      <c r="E1" s="79"/>
      <c r="F1" s="79"/>
      <c r="G1" s="80"/>
      <c r="H1" s="78" t="s">
        <v>9</v>
      </c>
      <c r="I1" s="79"/>
      <c r="J1" s="79"/>
      <c r="K1" s="79"/>
      <c r="L1" s="80"/>
    </row>
    <row r="2" spans="1:19" ht="15" thickBot="1" x14ac:dyDescent="0.4">
      <c r="B2" s="21" t="s">
        <v>0</v>
      </c>
      <c r="C2" s="15" t="s">
        <v>1</v>
      </c>
      <c r="G2" s="20"/>
      <c r="H2" s="1" t="s">
        <v>12</v>
      </c>
      <c r="I2" s="35" t="s">
        <v>1</v>
      </c>
      <c r="K2" s="1" t="s">
        <v>10</v>
      </c>
      <c r="L2" s="35" t="s">
        <v>1</v>
      </c>
    </row>
    <row r="3" spans="1:19" x14ac:dyDescent="0.35">
      <c r="G3" s="20"/>
      <c r="H3" t="s">
        <v>43</v>
      </c>
      <c r="I3" s="9" t="s">
        <v>33</v>
      </c>
      <c r="K3"/>
      <c r="L3" s="9"/>
    </row>
    <row r="4" spans="1:19" s="12" customFormat="1" x14ac:dyDescent="0.35">
      <c r="B4" s="22"/>
      <c r="C4" s="13" t="s">
        <v>38</v>
      </c>
      <c r="D4" s="14" t="s">
        <v>39</v>
      </c>
      <c r="E4" s="14" t="s">
        <v>32</v>
      </c>
      <c r="G4" s="23"/>
      <c r="I4" s="9" t="s">
        <v>38</v>
      </c>
      <c r="J4"/>
      <c r="K4"/>
      <c r="L4" s="13" t="s">
        <v>38</v>
      </c>
      <c r="N4"/>
      <c r="O4"/>
      <c r="P4"/>
      <c r="Q4"/>
      <c r="R4"/>
      <c r="S4"/>
    </row>
    <row r="5" spans="1:19" x14ac:dyDescent="0.35">
      <c r="B5" s="24" t="s">
        <v>2</v>
      </c>
      <c r="G5" s="20"/>
      <c r="H5" t="s">
        <v>30</v>
      </c>
      <c r="I5" s="6" t="s">
        <v>53</v>
      </c>
      <c r="J5" s="11"/>
      <c r="K5" s="37" t="s">
        <v>11</v>
      </c>
      <c r="L5" s="7" cm="1">
        <f t="array" ref="L5:L6">'Allgemeine Parameter'!E8:E9</f>
        <v>257330.43434875214</v>
      </c>
    </row>
    <row r="6" spans="1:19" x14ac:dyDescent="0.35">
      <c r="B6" s="53" t="s">
        <v>36</v>
      </c>
      <c r="C6" s="52">
        <f>D6*E6</f>
        <v>94164</v>
      </c>
      <c r="D6">
        <f>[5]K_NW!$F$10</f>
        <v>82.6</v>
      </c>
      <c r="E6" s="25">
        <v>1140</v>
      </c>
      <c r="F6" s="26" t="s">
        <v>37</v>
      </c>
      <c r="G6" s="20" t="s">
        <v>33</v>
      </c>
      <c r="K6" t="s">
        <v>6</v>
      </c>
      <c r="L6" s="7">
        <v>-89764.19303520731</v>
      </c>
      <c r="N6" t="s">
        <v>63</v>
      </c>
    </row>
    <row r="7" spans="1:19" x14ac:dyDescent="0.35">
      <c r="G7" s="20" t="s">
        <v>33</v>
      </c>
      <c r="K7"/>
    </row>
    <row r="8" spans="1:19" x14ac:dyDescent="0.35">
      <c r="B8" s="24" t="s">
        <v>4</v>
      </c>
      <c r="D8" s="18" t="s">
        <v>87</v>
      </c>
      <c r="E8" s="18" t="s">
        <v>65</v>
      </c>
      <c r="G8" s="20"/>
      <c r="H8" t="s">
        <v>4</v>
      </c>
      <c r="K8"/>
    </row>
    <row r="9" spans="1:19" x14ac:dyDescent="0.35">
      <c r="B9" s="49" t="s">
        <v>93</v>
      </c>
      <c r="C9" s="50">
        <f>D9*E9</f>
        <v>36573</v>
      </c>
      <c r="D9">
        <f>7+66</f>
        <v>73</v>
      </c>
      <c r="E9">
        <v>501</v>
      </c>
      <c r="F9" s="26" t="s">
        <v>86</v>
      </c>
      <c r="G9" s="20" t="s">
        <v>33</v>
      </c>
      <c r="H9" t="s">
        <v>90</v>
      </c>
      <c r="K9"/>
    </row>
    <row r="10" spans="1:19" x14ac:dyDescent="0.35">
      <c r="B10" s="49" t="s">
        <v>88</v>
      </c>
      <c r="C10" s="50">
        <f>D10*E10</f>
        <v>15282</v>
      </c>
      <c r="D10">
        <f>27+15+12</f>
        <v>54</v>
      </c>
      <c r="E10">
        <v>283</v>
      </c>
      <c r="F10" s="26" t="s">
        <v>86</v>
      </c>
      <c r="G10" s="20" t="s">
        <v>33</v>
      </c>
      <c r="H10" t="s">
        <v>92</v>
      </c>
      <c r="K10"/>
    </row>
    <row r="11" spans="1:19" x14ac:dyDescent="0.35">
      <c r="B11" s="49"/>
      <c r="C11" s="50"/>
      <c r="D11" t="s">
        <v>39</v>
      </c>
      <c r="E11" s="18" t="s">
        <v>32</v>
      </c>
      <c r="F11" s="26"/>
      <c r="G11" s="20"/>
      <c r="H11" s="42">
        <f>SUM(C9:C12)</f>
        <v>81346.2</v>
      </c>
      <c r="I11" s="8">
        <f>H11*0.01</f>
        <v>813.46199999999999</v>
      </c>
      <c r="K11"/>
    </row>
    <row r="12" spans="1:19" x14ac:dyDescent="0.35">
      <c r="B12" s="49" t="s">
        <v>89</v>
      </c>
      <c r="C12" s="50">
        <f>D12*E12</f>
        <v>29491.199999999997</v>
      </c>
      <c r="D12">
        <v>160</v>
      </c>
      <c r="E12" s="4">
        <v>184.32</v>
      </c>
      <c r="F12" s="26" t="s">
        <v>72</v>
      </c>
      <c r="G12" s="20" t="s">
        <v>33</v>
      </c>
      <c r="K12"/>
    </row>
    <row r="13" spans="1:19" x14ac:dyDescent="0.35">
      <c r="B13" s="19" t="s">
        <v>5</v>
      </c>
      <c r="C13" s="9" t="s">
        <v>5</v>
      </c>
      <c r="G13" s="20"/>
      <c r="K13"/>
    </row>
    <row r="14" spans="1:19" x14ac:dyDescent="0.35">
      <c r="B14" s="51" t="s">
        <v>120</v>
      </c>
      <c r="C14" s="52"/>
      <c r="E14" s="18" t="s">
        <v>32</v>
      </c>
      <c r="F14" t="s">
        <v>31</v>
      </c>
      <c r="G14" s="20" t="s">
        <v>33</v>
      </c>
      <c r="K14"/>
      <c r="N14" t="s">
        <v>85</v>
      </c>
    </row>
    <row r="15" spans="1:19" x14ac:dyDescent="0.35">
      <c r="B15" s="53" t="s">
        <v>16</v>
      </c>
      <c r="C15" s="52">
        <f>D15*E15</f>
        <v>27600</v>
      </c>
      <c r="D15">
        <v>20</v>
      </c>
      <c r="E15" s="25">
        <v>1380</v>
      </c>
      <c r="F15" s="26" t="s">
        <v>29</v>
      </c>
      <c r="G15" s="20" t="s">
        <v>33</v>
      </c>
      <c r="I15" s="7">
        <v>350</v>
      </c>
      <c r="K15"/>
      <c r="N15" s="19" t="s">
        <v>16</v>
      </c>
      <c r="O15">
        <v>20</v>
      </c>
    </row>
    <row r="16" spans="1:19" x14ac:dyDescent="0.35">
      <c r="B16" s="53" t="s">
        <v>28</v>
      </c>
      <c r="C16" s="52">
        <f t="shared" ref="C16:C18" si="0">D16*E16</f>
        <v>43350</v>
      </c>
      <c r="D16">
        <v>50</v>
      </c>
      <c r="E16" s="25">
        <v>867</v>
      </c>
      <c r="F16" s="26" t="s">
        <v>29</v>
      </c>
      <c r="G16" s="20" t="s">
        <v>33</v>
      </c>
      <c r="I16" s="7">
        <v>533</v>
      </c>
      <c r="K16"/>
      <c r="N16" s="19" t="s">
        <v>28</v>
      </c>
      <c r="O16">
        <v>50</v>
      </c>
    </row>
    <row r="17" spans="1:19" x14ac:dyDescent="0.35">
      <c r="B17" s="53" t="s">
        <v>27</v>
      </c>
      <c r="C17" s="52">
        <f t="shared" si="0"/>
        <v>51030</v>
      </c>
      <c r="D17">
        <v>70</v>
      </c>
      <c r="E17" s="25">
        <v>729</v>
      </c>
      <c r="F17" s="26" t="s">
        <v>29</v>
      </c>
      <c r="G17" s="20" t="s">
        <v>33</v>
      </c>
      <c r="I17" s="7">
        <v>667</v>
      </c>
      <c r="K17"/>
      <c r="N17" s="19" t="s">
        <v>27</v>
      </c>
      <c r="O17">
        <v>70</v>
      </c>
    </row>
    <row r="18" spans="1:19" x14ac:dyDescent="0.35">
      <c r="B18" s="53" t="s">
        <v>26</v>
      </c>
      <c r="C18" s="52">
        <f t="shared" si="0"/>
        <v>27600</v>
      </c>
      <c r="D18">
        <v>20</v>
      </c>
      <c r="E18" s="25">
        <v>1380</v>
      </c>
      <c r="F18" s="26" t="s">
        <v>29</v>
      </c>
      <c r="G18" s="20" t="s">
        <v>34</v>
      </c>
      <c r="I18" s="7">
        <v>350</v>
      </c>
      <c r="K18"/>
      <c r="N18" s="19" t="s">
        <v>26</v>
      </c>
      <c r="O18">
        <v>20</v>
      </c>
    </row>
    <row r="19" spans="1:19" x14ac:dyDescent="0.35">
      <c r="B19" s="19" t="s">
        <v>122</v>
      </c>
      <c r="C19" s="9" t="s">
        <v>5</v>
      </c>
      <c r="G19" s="20"/>
      <c r="K19"/>
    </row>
    <row r="20" spans="1:19" x14ac:dyDescent="0.35">
      <c r="B20" s="72">
        <f>SUM(C15:C18)</f>
        <v>149580</v>
      </c>
      <c r="G20" s="20"/>
      <c r="K20"/>
      <c r="O20">
        <f>SUM(O15:O18)</f>
        <v>160</v>
      </c>
    </row>
    <row r="21" spans="1:19" x14ac:dyDescent="0.35">
      <c r="B21" s="58" t="s">
        <v>7</v>
      </c>
      <c r="C21" s="59"/>
      <c r="G21" s="20"/>
      <c r="K21"/>
    </row>
    <row r="22" spans="1:19" x14ac:dyDescent="0.35">
      <c r="B22" s="60" t="s">
        <v>121</v>
      </c>
      <c r="C22" s="59"/>
      <c r="G22" s="20"/>
      <c r="K22"/>
    </row>
    <row r="23" spans="1:19" x14ac:dyDescent="0.35">
      <c r="B23" s="60" t="s">
        <v>17</v>
      </c>
      <c r="C23" s="59">
        <v>420000</v>
      </c>
      <c r="G23" s="20"/>
      <c r="K23"/>
    </row>
    <row r="24" spans="1:19" x14ac:dyDescent="0.35">
      <c r="B24" s="60" t="s">
        <v>18</v>
      </c>
      <c r="C24" s="59">
        <v>170000</v>
      </c>
      <c r="G24" s="20"/>
      <c r="K24"/>
    </row>
    <row r="25" spans="1:19" x14ac:dyDescent="0.35">
      <c r="B25" s="60" t="s">
        <v>19</v>
      </c>
      <c r="C25" s="59">
        <v>790000</v>
      </c>
      <c r="G25" s="20"/>
      <c r="K25"/>
    </row>
    <row r="26" spans="1:19" x14ac:dyDescent="0.35">
      <c r="B26" s="60" t="s">
        <v>20</v>
      </c>
      <c r="C26" s="59">
        <v>200000</v>
      </c>
      <c r="G26" s="20"/>
      <c r="K26"/>
    </row>
    <row r="27" spans="1:19" x14ac:dyDescent="0.35">
      <c r="G27" s="20"/>
      <c r="H27" t="s">
        <v>78</v>
      </c>
      <c r="I27" s="39">
        <f>SUM(I5:I26)</f>
        <v>2713.462</v>
      </c>
      <c r="K27"/>
    </row>
    <row r="28" spans="1:19" s="27" customFormat="1" ht="15" thickBot="1" x14ac:dyDescent="0.4">
      <c r="B28" s="19"/>
      <c r="C28" s="6"/>
      <c r="D28"/>
      <c r="E28"/>
      <c r="F28"/>
      <c r="G28" s="20"/>
      <c r="H28" t="s">
        <v>79</v>
      </c>
      <c r="I28" s="8">
        <f>I27*'Allgemeine Parameter'!C3</f>
        <v>67836.55</v>
      </c>
      <c r="J28"/>
      <c r="K28"/>
      <c r="L28" s="6"/>
      <c r="M28"/>
      <c r="N28"/>
      <c r="O28"/>
      <c r="P28"/>
      <c r="Q28"/>
      <c r="R28"/>
      <c r="S28"/>
    </row>
    <row r="29" spans="1:19" s="31" customFormat="1" ht="15" thickBot="1" x14ac:dyDescent="0.4">
      <c r="A29" s="30"/>
      <c r="B29" s="30" t="s">
        <v>52</v>
      </c>
      <c r="C29" s="10"/>
      <c r="G29" s="32"/>
      <c r="I29" s="5"/>
      <c r="L29" s="5"/>
      <c r="M29"/>
      <c r="N29"/>
      <c r="O29"/>
      <c r="P29"/>
      <c r="Q29"/>
      <c r="R29"/>
      <c r="S29"/>
    </row>
    <row r="30" spans="1:19" s="27" customFormat="1" ht="15" thickBot="1" x14ac:dyDescent="0.4">
      <c r="A30" s="28"/>
      <c r="B30" s="33">
        <f>SUM(C30,I30,L30)</f>
        <v>2140492.991313545</v>
      </c>
      <c r="C30" s="17">
        <f>SUM(C1:C27)</f>
        <v>1905090.2</v>
      </c>
      <c r="G30" s="29"/>
      <c r="I30" s="57">
        <f>SUM(I28)</f>
        <v>67836.55</v>
      </c>
      <c r="L30" s="54">
        <f>SUM(L5:L6)</f>
        <v>167566.24131354483</v>
      </c>
      <c r="M30"/>
      <c r="N30"/>
      <c r="O30"/>
      <c r="P30"/>
      <c r="Q30"/>
      <c r="R30"/>
      <c r="S30"/>
    </row>
    <row r="31" spans="1:19" ht="15" thickBot="1" x14ac:dyDescent="0.4">
      <c r="B31"/>
      <c r="C31" s="34"/>
      <c r="I31"/>
      <c r="K31"/>
      <c r="L31"/>
    </row>
    <row r="32" spans="1:19" x14ac:dyDescent="0.35">
      <c r="B32" s="61" t="s">
        <v>110</v>
      </c>
      <c r="C32" s="62" t="s">
        <v>111</v>
      </c>
      <c r="I32"/>
      <c r="K32"/>
      <c r="L32"/>
    </row>
    <row r="33" spans="2:12" x14ac:dyDescent="0.35">
      <c r="B33" s="60" t="s">
        <v>105</v>
      </c>
      <c r="C33" s="63">
        <f>SUM(C23:C26)</f>
        <v>1580000</v>
      </c>
      <c r="E33" s="4" t="s">
        <v>91</v>
      </c>
      <c r="F33" s="25"/>
      <c r="H33" s="3"/>
      <c r="I33"/>
      <c r="K33"/>
      <c r="L33"/>
    </row>
    <row r="34" spans="2:12" x14ac:dyDescent="0.35">
      <c r="B34" s="49" t="s">
        <v>107</v>
      </c>
      <c r="C34" s="64">
        <f>SUM(C9:C12)</f>
        <v>81346.2</v>
      </c>
      <c r="I34"/>
      <c r="K34"/>
      <c r="L34"/>
    </row>
    <row r="35" spans="2:12" x14ac:dyDescent="0.35">
      <c r="B35" s="53" t="s">
        <v>106</v>
      </c>
      <c r="C35" s="65">
        <f>SUM(C15:C18,C6)</f>
        <v>243744</v>
      </c>
      <c r="I35"/>
      <c r="K35"/>
      <c r="L35"/>
    </row>
    <row r="36" spans="2:12" x14ac:dyDescent="0.35">
      <c r="B36" s="66" t="s">
        <v>10</v>
      </c>
      <c r="C36" s="67">
        <f>SUM(L30)</f>
        <v>167566.24131354483</v>
      </c>
      <c r="I36"/>
      <c r="K36"/>
      <c r="L36"/>
    </row>
    <row r="37" spans="2:12" x14ac:dyDescent="0.35">
      <c r="B37" s="55" t="s">
        <v>109</v>
      </c>
      <c r="C37" s="56">
        <f>SUM(I30)</f>
        <v>67836.55</v>
      </c>
      <c r="I37"/>
      <c r="K37"/>
      <c r="L37"/>
    </row>
    <row r="38" spans="2:12" ht="15" thickBot="1" x14ac:dyDescent="0.4">
      <c r="C38" s="9" t="s">
        <v>33</v>
      </c>
      <c r="I38"/>
      <c r="K38"/>
      <c r="L38"/>
    </row>
    <row r="39" spans="2:12" ht="15" thickBot="1" x14ac:dyDescent="0.4">
      <c r="B39" s="28" t="s">
        <v>108</v>
      </c>
      <c r="C39" s="68">
        <f>SUM(C33:C37)</f>
        <v>2140492.9913135446</v>
      </c>
      <c r="I39"/>
      <c r="K39"/>
      <c r="L39"/>
    </row>
    <row r="40" spans="2:12" x14ac:dyDescent="0.35">
      <c r="I40"/>
      <c r="K40"/>
      <c r="L40"/>
    </row>
    <row r="41" spans="2:12" x14ac:dyDescent="0.35">
      <c r="I41"/>
      <c r="K41"/>
      <c r="L41"/>
    </row>
  </sheetData>
  <mergeCells count="2">
    <mergeCell ref="B1:G1"/>
    <mergeCell ref="H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FB241-9669-439D-99A8-3E2AD756299A}">
  <dimension ref="A1:S40"/>
  <sheetViews>
    <sheetView tabSelected="1" topLeftCell="A6" zoomScale="130" zoomScaleNormal="130" workbookViewId="0">
      <selection activeCell="D17" sqref="D17"/>
    </sheetView>
  </sheetViews>
  <sheetFormatPr baseColWidth="10" defaultColWidth="9.1796875" defaultRowHeight="14.5" x14ac:dyDescent="0.35"/>
  <cols>
    <col min="1" max="1" width="2.7265625" customWidth="1"/>
    <col min="2" max="2" width="52.26953125" style="19" customWidth="1"/>
    <col min="3" max="3" width="13.1796875" style="9" bestFit="1" customWidth="1"/>
    <col min="5" max="5" width="13.7265625" customWidth="1"/>
    <col min="7" max="7" width="2.7265625" customWidth="1"/>
    <col min="8" max="8" width="25.26953125" customWidth="1"/>
    <col min="9" max="9" width="13.1796875" style="6" customWidth="1"/>
    <col min="10" max="10" width="2.7265625" customWidth="1"/>
    <col min="11" max="11" width="20.7265625" style="16" customWidth="1"/>
    <col min="12" max="12" width="13" style="6" bestFit="1" customWidth="1"/>
  </cols>
  <sheetData>
    <row r="1" spans="1:19" ht="15" thickBot="1" x14ac:dyDescent="0.4">
      <c r="A1" t="s">
        <v>40</v>
      </c>
      <c r="B1" s="78" t="s">
        <v>8</v>
      </c>
      <c r="C1" s="79"/>
      <c r="D1" s="79"/>
      <c r="E1" s="79"/>
      <c r="F1" s="79"/>
      <c r="G1" s="80"/>
      <c r="H1" s="78" t="s">
        <v>9</v>
      </c>
      <c r="I1" s="79"/>
      <c r="J1" s="79"/>
      <c r="K1" s="79"/>
      <c r="L1" s="80"/>
    </row>
    <row r="2" spans="1:19" ht="15" thickBot="1" x14ac:dyDescent="0.4">
      <c r="B2" s="21" t="s">
        <v>0</v>
      </c>
      <c r="C2" s="15" t="s">
        <v>1</v>
      </c>
      <c r="G2" s="20"/>
      <c r="H2" s="1" t="s">
        <v>12</v>
      </c>
      <c r="I2" s="35" t="s">
        <v>1</v>
      </c>
      <c r="K2" s="1" t="s">
        <v>10</v>
      </c>
      <c r="L2" s="35" t="s">
        <v>1</v>
      </c>
    </row>
    <row r="3" spans="1:19" x14ac:dyDescent="0.35">
      <c r="G3" s="20"/>
      <c r="H3" t="s">
        <v>43</v>
      </c>
      <c r="I3" s="9" t="s">
        <v>33</v>
      </c>
      <c r="K3"/>
      <c r="L3" s="9"/>
    </row>
    <row r="4" spans="1:19" s="12" customFormat="1" x14ac:dyDescent="0.35">
      <c r="B4" s="22"/>
      <c r="C4" s="13" t="s">
        <v>38</v>
      </c>
      <c r="D4" s="14" t="s">
        <v>39</v>
      </c>
      <c r="E4" s="14" t="s">
        <v>32</v>
      </c>
      <c r="G4" s="23"/>
      <c r="I4" s="9" t="s">
        <v>38</v>
      </c>
      <c r="J4"/>
      <c r="K4"/>
      <c r="L4" s="13" t="s">
        <v>38</v>
      </c>
      <c r="N4"/>
      <c r="O4"/>
      <c r="P4"/>
      <c r="Q4"/>
      <c r="R4"/>
      <c r="S4"/>
    </row>
    <row r="5" spans="1:19" x14ac:dyDescent="0.35">
      <c r="B5" s="24" t="s">
        <v>2</v>
      </c>
      <c r="G5" s="20"/>
      <c r="I5" s="36"/>
      <c r="J5" s="11"/>
      <c r="K5" s="37" t="s">
        <v>11</v>
      </c>
      <c r="L5" s="7" cm="1">
        <f t="array" ref="L5:L6">'Allgemeine Parameter'!D8:D9</f>
        <v>643808.23650000012</v>
      </c>
    </row>
    <row r="6" spans="1:19" x14ac:dyDescent="0.35">
      <c r="B6" s="53" t="s">
        <v>36</v>
      </c>
      <c r="C6" s="52">
        <f>D6*E6</f>
        <v>113772</v>
      </c>
      <c r="D6">
        <v>99.8</v>
      </c>
      <c r="E6" s="25">
        <v>1140</v>
      </c>
      <c r="F6" s="26" t="s">
        <v>37</v>
      </c>
      <c r="G6" s="20" t="s">
        <v>33</v>
      </c>
      <c r="K6" t="s">
        <v>6</v>
      </c>
      <c r="L6" s="7">
        <v>-79965.973020948237</v>
      </c>
    </row>
    <row r="7" spans="1:19" x14ac:dyDescent="0.35">
      <c r="G7" s="20" t="s">
        <v>33</v>
      </c>
      <c r="K7"/>
    </row>
    <row r="8" spans="1:19" x14ac:dyDescent="0.35">
      <c r="B8" s="70" t="s">
        <v>81</v>
      </c>
      <c r="C8" s="50"/>
      <c r="D8" s="18" t="s">
        <v>87</v>
      </c>
      <c r="E8" s="18" t="s">
        <v>65</v>
      </c>
      <c r="G8" s="20"/>
      <c r="K8"/>
    </row>
    <row r="9" spans="1:19" x14ac:dyDescent="0.35">
      <c r="B9" s="49" t="s">
        <v>64</v>
      </c>
      <c r="C9" s="50">
        <f>D9*E9</f>
        <v>18615</v>
      </c>
      <c r="D9">
        <f>7+66</f>
        <v>73</v>
      </c>
      <c r="E9" s="25">
        <v>255</v>
      </c>
      <c r="F9" s="26" t="s">
        <v>72</v>
      </c>
      <c r="G9" s="20" t="s">
        <v>33</v>
      </c>
      <c r="K9"/>
    </row>
    <row r="10" spans="1:19" x14ac:dyDescent="0.35">
      <c r="B10" s="49" t="s">
        <v>75</v>
      </c>
      <c r="C10" s="50">
        <f>D10*E10</f>
        <v>131902.08029767123</v>
      </c>
      <c r="D10">
        <f>27+15</f>
        <v>42</v>
      </c>
      <c r="E10" s="25">
        <v>3140.5257213731243</v>
      </c>
      <c r="F10" s="26" t="s">
        <v>72</v>
      </c>
      <c r="G10" s="20" t="s">
        <v>33</v>
      </c>
      <c r="K10"/>
    </row>
    <row r="11" spans="1:19" x14ac:dyDescent="0.35">
      <c r="B11" s="49" t="s">
        <v>76</v>
      </c>
      <c r="C11" s="50">
        <f>D11*E11</f>
        <v>40529.005342645993</v>
      </c>
      <c r="D11">
        <v>12</v>
      </c>
      <c r="E11" s="2">
        <v>3377.4171118871664</v>
      </c>
      <c r="F11" s="26" t="s">
        <v>72</v>
      </c>
      <c r="G11" s="20" t="s">
        <v>33</v>
      </c>
      <c r="K11"/>
    </row>
    <row r="12" spans="1:19" x14ac:dyDescent="0.35">
      <c r="B12" s="49"/>
      <c r="C12" s="50"/>
      <c r="D12" s="18" t="s">
        <v>67</v>
      </c>
      <c r="E12" s="18" t="s">
        <v>66</v>
      </c>
      <c r="F12" s="26"/>
      <c r="G12" s="20"/>
      <c r="K12"/>
    </row>
    <row r="13" spans="1:19" x14ac:dyDescent="0.35">
      <c r="B13" s="49" t="s">
        <v>68</v>
      </c>
      <c r="C13" s="50">
        <f>D13*E13</f>
        <v>48844.799999999996</v>
      </c>
      <c r="D13">
        <v>0.24</v>
      </c>
      <c r="E13" s="25">
        <v>203520</v>
      </c>
      <c r="F13" s="26" t="s">
        <v>72</v>
      </c>
      <c r="G13" s="20" t="s">
        <v>33</v>
      </c>
      <c r="K13"/>
    </row>
    <row r="14" spans="1:19" x14ac:dyDescent="0.35">
      <c r="B14" s="49" t="s">
        <v>69</v>
      </c>
      <c r="C14" s="50">
        <f>D14*E14</f>
        <v>44236.799999999996</v>
      </c>
      <c r="D14">
        <v>0.24</v>
      </c>
      <c r="E14" s="25">
        <v>184320</v>
      </c>
      <c r="F14" s="26" t="s">
        <v>72</v>
      </c>
      <c r="G14" s="20" t="s">
        <v>33</v>
      </c>
      <c r="K14"/>
    </row>
    <row r="15" spans="1:19" x14ac:dyDescent="0.35">
      <c r="B15" s="24" t="s">
        <v>3</v>
      </c>
      <c r="D15" t="s">
        <v>39</v>
      </c>
      <c r="E15" s="18" t="s">
        <v>32</v>
      </c>
      <c r="F15" t="s">
        <v>31</v>
      </c>
      <c r="G15" s="20" t="s">
        <v>33</v>
      </c>
      <c r="H15" t="s">
        <v>30</v>
      </c>
      <c r="I15" s="6" t="s">
        <v>53</v>
      </c>
      <c r="K15"/>
    </row>
    <row r="16" spans="1:19" x14ac:dyDescent="0.35">
      <c r="B16" s="53" t="s">
        <v>42</v>
      </c>
      <c r="C16" s="71">
        <f>D16*E16</f>
        <v>134559.20000000001</v>
      </c>
      <c r="D16">
        <f>240-D17</f>
        <v>236.9</v>
      </c>
      <c r="E16" s="25">
        <v>568</v>
      </c>
      <c r="F16" s="26" t="s">
        <v>70</v>
      </c>
      <c r="G16" s="20" t="s">
        <v>33</v>
      </c>
      <c r="I16">
        <v>937</v>
      </c>
      <c r="K16"/>
      <c r="N16" t="s">
        <v>71</v>
      </c>
    </row>
    <row r="17" spans="1:19" x14ac:dyDescent="0.35">
      <c r="B17" s="53" t="s">
        <v>126</v>
      </c>
      <c r="C17" s="71">
        <f>D17*E17</f>
        <v>7449.3</v>
      </c>
      <c r="D17">
        <v>3.1</v>
      </c>
      <c r="E17" s="25">
        <v>2403</v>
      </c>
      <c r="F17" s="26"/>
      <c r="G17" s="20"/>
      <c r="I17">
        <v>350</v>
      </c>
      <c r="K17"/>
    </row>
    <row r="18" spans="1:19" x14ac:dyDescent="0.35">
      <c r="B18" s="49" t="s">
        <v>102</v>
      </c>
      <c r="C18" s="50">
        <v>12000</v>
      </c>
      <c r="F18" s="26" t="s">
        <v>103</v>
      </c>
      <c r="G18" s="20" t="s">
        <v>33</v>
      </c>
      <c r="K18"/>
      <c r="O18" t="s">
        <v>73</v>
      </c>
    </row>
    <row r="19" spans="1:19" x14ac:dyDescent="0.35">
      <c r="G19" s="20"/>
      <c r="K19"/>
      <c r="O19" t="s">
        <v>74</v>
      </c>
    </row>
    <row r="20" spans="1:19" x14ac:dyDescent="0.35">
      <c r="B20" s="58" t="s">
        <v>7</v>
      </c>
      <c r="C20" s="59"/>
      <c r="G20" s="20"/>
      <c r="K20"/>
    </row>
    <row r="21" spans="1:19" x14ac:dyDescent="0.35">
      <c r="B21" s="60" t="s">
        <v>21</v>
      </c>
      <c r="C21" s="59"/>
      <c r="G21" s="20"/>
      <c r="K21"/>
    </row>
    <row r="22" spans="1:19" x14ac:dyDescent="0.35">
      <c r="B22" s="60" t="s">
        <v>22</v>
      </c>
      <c r="C22" s="69">
        <v>110000</v>
      </c>
      <c r="G22" s="20"/>
      <c r="I22" s="7"/>
      <c r="K22"/>
    </row>
    <row r="23" spans="1:19" x14ac:dyDescent="0.35">
      <c r="B23" s="60" t="s">
        <v>23</v>
      </c>
      <c r="C23" s="69">
        <v>30000</v>
      </c>
      <c r="G23" s="20"/>
      <c r="I23" s="7"/>
      <c r="K23"/>
    </row>
    <row r="24" spans="1:19" x14ac:dyDescent="0.35">
      <c r="B24" s="60" t="s">
        <v>24</v>
      </c>
      <c r="C24" s="69">
        <v>440000</v>
      </c>
      <c r="G24" s="20"/>
      <c r="I24" s="7"/>
      <c r="K24"/>
    </row>
    <row r="25" spans="1:19" x14ac:dyDescent="0.35">
      <c r="B25" s="60" t="s">
        <v>25</v>
      </c>
      <c r="C25" s="69">
        <v>50000</v>
      </c>
      <c r="G25" s="20"/>
      <c r="I25" s="7"/>
      <c r="K25"/>
    </row>
    <row r="26" spans="1:19" x14ac:dyDescent="0.35">
      <c r="G26" s="20"/>
      <c r="H26" t="s">
        <v>78</v>
      </c>
      <c r="I26" s="6">
        <f>SUM(I5:I25)</f>
        <v>1287</v>
      </c>
      <c r="K26"/>
    </row>
    <row r="27" spans="1:19" s="27" customFormat="1" ht="15" thickBot="1" x14ac:dyDescent="0.4">
      <c r="B27" s="19"/>
      <c r="C27" s="6"/>
      <c r="D27"/>
      <c r="E27"/>
      <c r="F27"/>
      <c r="G27" s="20"/>
      <c r="H27" t="s">
        <v>77</v>
      </c>
      <c r="I27" s="6">
        <f>I26*'Allgemeine Parameter'!C3</f>
        <v>32175</v>
      </c>
      <c r="J27"/>
      <c r="K27"/>
      <c r="L27" s="6"/>
      <c r="M27"/>
      <c r="N27"/>
      <c r="O27"/>
      <c r="P27"/>
      <c r="Q27"/>
      <c r="R27"/>
      <c r="S27"/>
    </row>
    <row r="28" spans="1:19" s="31" customFormat="1" ht="15" thickBot="1" x14ac:dyDescent="0.4">
      <c r="A28" s="30"/>
      <c r="B28" s="30" t="s">
        <v>52</v>
      </c>
      <c r="C28" s="10"/>
      <c r="G28" s="32"/>
      <c r="I28" s="5"/>
      <c r="L28" s="5"/>
      <c r="M28"/>
      <c r="N28"/>
      <c r="O28"/>
      <c r="P28"/>
      <c r="Q28"/>
      <c r="R28"/>
      <c r="S28"/>
    </row>
    <row r="29" spans="1:19" s="27" customFormat="1" ht="15" thickBot="1" x14ac:dyDescent="0.4">
      <c r="A29" s="28"/>
      <c r="B29" s="33">
        <f>SUM(C29,I29,L29)</f>
        <v>1777925.4491193693</v>
      </c>
      <c r="C29" s="17">
        <f>SUM(C1:C26)</f>
        <v>1181908.1856403174</v>
      </c>
      <c r="G29" s="29"/>
      <c r="I29" s="57">
        <f>SUM(I27)</f>
        <v>32175</v>
      </c>
      <c r="L29" s="54">
        <f>SUM(L5:L6)</f>
        <v>563842.26347905188</v>
      </c>
      <c r="M29"/>
      <c r="N29"/>
      <c r="O29"/>
      <c r="P29"/>
      <c r="Q29"/>
      <c r="R29"/>
      <c r="S29"/>
    </row>
    <row r="30" spans="1:19" x14ac:dyDescent="0.35">
      <c r="B30"/>
      <c r="C30" s="34"/>
      <c r="I30"/>
      <c r="K30"/>
      <c r="L30"/>
    </row>
    <row r="31" spans="1:19" x14ac:dyDescent="0.35">
      <c r="B31"/>
      <c r="C31" s="34"/>
      <c r="H31" s="25"/>
      <c r="I31"/>
      <c r="K31"/>
      <c r="L31" s="42">
        <f>'kalte NW'!L30</f>
        <v>167566.24131354483</v>
      </c>
      <c r="M31" s="81" t="s">
        <v>119</v>
      </c>
    </row>
    <row r="32" spans="1:19" x14ac:dyDescent="0.35">
      <c r="B32" s="1" t="s">
        <v>104</v>
      </c>
      <c r="C32" s="34" t="s">
        <v>48</v>
      </c>
      <c r="H32" s="3"/>
      <c r="I32"/>
      <c r="K32"/>
      <c r="L32" s="3">
        <f>L29-L31</f>
        <v>396276.02216550708</v>
      </c>
      <c r="M32" s="81"/>
    </row>
    <row r="33" spans="2:13" x14ac:dyDescent="0.35">
      <c r="B33" s="60" t="s">
        <v>105</v>
      </c>
      <c r="C33" s="63">
        <f>SUM(C22:C25)</f>
        <v>630000</v>
      </c>
      <c r="I33"/>
      <c r="K33"/>
      <c r="L33" s="3">
        <f>L32/25</f>
        <v>15851.040886620283</v>
      </c>
      <c r="M33" s="81"/>
    </row>
    <row r="34" spans="2:13" x14ac:dyDescent="0.35">
      <c r="B34" s="49" t="s">
        <v>107</v>
      </c>
      <c r="C34" s="64">
        <f>SUM(C18,C9:C14)</f>
        <v>296127.68564031721</v>
      </c>
      <c r="I34"/>
      <c r="K34"/>
      <c r="L34"/>
    </row>
    <row r="35" spans="2:13" x14ac:dyDescent="0.35">
      <c r="B35" s="53" t="s">
        <v>106</v>
      </c>
      <c r="C35" s="65">
        <f>SUM(C6,C16:C17)</f>
        <v>255780.5</v>
      </c>
      <c r="I35"/>
      <c r="K35"/>
      <c r="L35"/>
    </row>
    <row r="36" spans="2:13" x14ac:dyDescent="0.35">
      <c r="B36" s="66" t="s">
        <v>10</v>
      </c>
      <c r="C36" s="67">
        <f>SUM(L29)</f>
        <v>563842.26347905188</v>
      </c>
      <c r="I36"/>
      <c r="K36"/>
      <c r="L36"/>
    </row>
    <row r="37" spans="2:13" x14ac:dyDescent="0.35">
      <c r="B37" s="55" t="s">
        <v>109</v>
      </c>
      <c r="C37" s="56">
        <f>SUM(I29)</f>
        <v>32175</v>
      </c>
      <c r="I37"/>
      <c r="K37"/>
      <c r="L37"/>
    </row>
    <row r="38" spans="2:13" ht="15" thickBot="1" x14ac:dyDescent="0.4">
      <c r="C38" s="9" t="s">
        <v>33</v>
      </c>
      <c r="I38"/>
      <c r="K38"/>
      <c r="L38"/>
    </row>
    <row r="39" spans="2:13" ht="15" thickBot="1" x14ac:dyDescent="0.4">
      <c r="B39" t="s">
        <v>108</v>
      </c>
      <c r="C39" s="33">
        <f>SUM(C33:C37)</f>
        <v>1777925.449119369</v>
      </c>
      <c r="I39"/>
      <c r="K39"/>
      <c r="L39"/>
    </row>
    <row r="40" spans="2:13" x14ac:dyDescent="0.35">
      <c r="B40"/>
      <c r="C40" s="34"/>
      <c r="I40"/>
      <c r="K40"/>
      <c r="L40"/>
    </row>
  </sheetData>
  <mergeCells count="3">
    <mergeCell ref="B1:G1"/>
    <mergeCell ref="H1:L1"/>
    <mergeCell ref="M31:M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Zusammenfassung</vt:lpstr>
      <vt:lpstr>Allgemeine Parameter</vt:lpstr>
      <vt:lpstr>Kostenposten_8.2.2</vt:lpstr>
      <vt:lpstr>dezentral</vt:lpstr>
      <vt:lpstr>kalte NW</vt:lpstr>
      <vt:lpstr>NT-WN_3_77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Josephine Barnic</dc:creator>
  <cp:lastModifiedBy>Barnic, Lara Joséphine</cp:lastModifiedBy>
  <dcterms:created xsi:type="dcterms:W3CDTF">2015-06-05T18:19:34Z</dcterms:created>
  <dcterms:modified xsi:type="dcterms:W3CDTF">2025-01-09T20:38:53Z</dcterms:modified>
</cp:coreProperties>
</file>