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1_Kosten/"/>
    </mc:Choice>
  </mc:AlternateContent>
  <xr:revisionPtr revIDLastSave="1582" documentId="11_AD4DB114E441178AC67DF4879E90C19A693EDF21" xr6:coauthVersionLast="47" xr6:coauthVersionMax="47" xr10:uidLastSave="{234A2641-9930-4A0C-BCA5-E07C94F02B4C}"/>
  <bookViews>
    <workbookView xWindow="-110" yWindow="-110" windowWidth="19420" windowHeight="10300" firstSheet="1" activeTab="5" xr2:uid="{00000000-000D-0000-FFFF-FFFF00000000}"/>
  </bookViews>
  <sheets>
    <sheet name="Zusammenfassung" sheetId="8" r:id="rId1"/>
    <sheet name="Allgemeine Parameter" sheetId="4" r:id="rId2"/>
    <sheet name="Kostenposten_8.2.2" sheetId="9" r:id="rId3"/>
    <sheet name="dezentral" sheetId="1" r:id="rId4"/>
    <sheet name="kalte NW" sheetId="7" r:id="rId5"/>
    <sheet name="NT-WN_3_77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6" l="1"/>
  <c r="C17" i="6"/>
  <c r="D16" i="6"/>
  <c r="F8" i="8" l="1"/>
  <c r="H32" i="9"/>
  <c r="G32" i="9"/>
  <c r="I11" i="7" l="1"/>
  <c r="H11" i="7"/>
  <c r="K17" i="4" l="1"/>
  <c r="F22" i="4"/>
  <c r="F23" i="4"/>
  <c r="F30" i="4"/>
  <c r="F31" i="4"/>
  <c r="F38" i="4"/>
  <c r="E17" i="4"/>
  <c r="M14" i="4"/>
  <c r="M17" i="4" s="1"/>
  <c r="L14" i="4"/>
  <c r="L17" i="4" s="1"/>
  <c r="K14" i="4"/>
  <c r="F14" i="4"/>
  <c r="F24" i="4" s="1"/>
  <c r="E14" i="4"/>
  <c r="F37" i="4" l="1"/>
  <c r="F28" i="4"/>
  <c r="F34" i="4"/>
  <c r="F26" i="4"/>
  <c r="F18" i="4"/>
  <c r="F29" i="4"/>
  <c r="F21" i="4"/>
  <c r="F36" i="4"/>
  <c r="F20" i="4"/>
  <c r="F35" i="4"/>
  <c r="F27" i="4"/>
  <c r="F19" i="4"/>
  <c r="F17" i="4"/>
  <c r="F33" i="4"/>
  <c r="F25" i="4"/>
  <c r="F32" i="4"/>
  <c r="D14" i="4"/>
  <c r="D17" i="4" s="1"/>
  <c r="C33" i="7"/>
  <c r="C31" i="1"/>
  <c r="D10" i="7"/>
  <c r="C11" i="8"/>
  <c r="C10" i="8"/>
  <c r="B11" i="8"/>
  <c r="B10" i="8"/>
  <c r="C33" i="1"/>
  <c r="A9" i="9"/>
  <c r="A3" i="9" a="1"/>
  <c r="A3" i="9" s="1"/>
  <c r="C35" i="1"/>
  <c r="C33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1"/>
  <c r="D6" i="7" l="1"/>
  <c r="D14" i="8" l="1"/>
  <c r="C14" i="8"/>
  <c r="B14" i="8"/>
  <c r="C10" i="7" l="1"/>
  <c r="D9" i="7"/>
  <c r="C9" i="7" s="1"/>
  <c r="O20" i="7"/>
  <c r="I27" i="7"/>
  <c r="I28" i="7" s="1"/>
  <c r="I30" i="7" s="1"/>
  <c r="C37" i="7" s="1"/>
  <c r="I23" i="1"/>
  <c r="I26" i="6"/>
  <c r="I27" i="6" s="1"/>
  <c r="I29" i="6" s="1"/>
  <c r="C37" i="6" s="1"/>
  <c r="I24" i="1"/>
  <c r="I26" i="1" s="1"/>
  <c r="C14" i="6"/>
  <c r="C11" i="6"/>
  <c r="D10" i="6"/>
  <c r="C10" i="6" s="1"/>
  <c r="D9" i="6"/>
  <c r="C13" i="6" l="1"/>
  <c r="C9" i="6"/>
  <c r="C34" i="6" s="1"/>
  <c r="C18" i="7" l="1"/>
  <c r="C17" i="7"/>
  <c r="C16" i="7"/>
  <c r="C15" i="7"/>
  <c r="C6" i="7"/>
  <c r="C16" i="6"/>
  <c r="C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0" i="7" l="1"/>
  <c r="C35" i="7"/>
  <c r="C29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0" i="7" s="1"/>
  <c r="L29" i="6"/>
  <c r="C36" i="6" s="1"/>
  <c r="C12" i="7"/>
  <c r="B29" i="6" l="1"/>
  <c r="C5" i="8" s="1"/>
  <c r="C39" i="6"/>
  <c r="D2" i="9" s="1" a="1"/>
  <c r="L31" i="6"/>
  <c r="L32" i="6" s="1"/>
  <c r="L33" i="6" s="1"/>
  <c r="C36" i="7"/>
  <c r="L5" i="1" a="1"/>
  <c r="L5" i="1" s="1"/>
  <c r="L26" i="1" s="1"/>
  <c r="C30" i="7"/>
  <c r="B30" i="7" s="1"/>
  <c r="C34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39" i="7"/>
  <c r="C2" i="9" s="1" a="1"/>
  <c r="D5" i="8"/>
  <c r="B2" i="8" l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B15" i="8"/>
  <c r="K3" i="8"/>
  <c r="C15" i="8"/>
  <c r="K4" i="8"/>
  <c r="K5" i="8"/>
  <c r="D15" i="8"/>
  <c r="C2" i="9"/>
  <c r="C10" i="9"/>
  <c r="J3" i="9"/>
  <c r="J5" i="9"/>
  <c r="D12" i="9"/>
  <c r="J6" i="9"/>
  <c r="J7" i="9"/>
  <c r="J4" i="9"/>
  <c r="I9" i="9" l="1"/>
  <c r="M5" i="8"/>
  <c r="N5" i="8"/>
  <c r="N3" i="8"/>
  <c r="M3" i="8"/>
  <c r="J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<sst xmlns="http://schemas.openxmlformats.org/spreadsheetml/2006/main" count="317" uniqueCount="127">
  <si>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</si>
  <si>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</si>
  <si>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</si>
  <si>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</si>
  <si>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</si>
  <si>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</si>
  <si>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</si>
  <si>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</si>
  <si>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</si>
  <si>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</si>
  <si>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</si>
  <si>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</si>
  <si>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</si>
  <si>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</si>
  <si>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</si>
  <si>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</si>
  <si>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</si>
  <si>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</si>
  <si>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</si>
  <si>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</si>
  <si>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</si>
  <si>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</si>
  <si>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</si>
  <si>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</si>
  <si>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</si>
  <si>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</si>
  <si>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</si>
  <si>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</si>
  <si>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</si>
  <si>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</si>
  <si>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</si>
  <si>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</si>
  <si>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</si>
  <si>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</si>
  <si>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</si>
  <si>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</si>
  <si>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</si>
  <si>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</si>
  <si>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</si>
  <si>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</si>
  <si>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</si>
  <si>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</si>
  <si>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</si>
  <si>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</si>
  <si>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</si>
  <si>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</si>
  <si>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</si>
  <si>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</si>
  <si>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</si>
  <si>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</si>
  <si>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</si>
  <si>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</si>
  <si>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</si>
  <si>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</si>
  <si>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</si>
  <si>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</si>
  <si>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</si>
  <si>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</si>
  <si>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</si>
  <si>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</si>
  <si>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</si>
  <si>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</si>
  <si>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</si>
  <si>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</si>
  <si>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</si>
  <si>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</si>
  <si>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</si>
  <si>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</si>
  <si>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</si>
  <si>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</si>
  <si>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</si>
  <si>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</si>
  <si>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</si>
  <si>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</si>
  <si>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</si>
  <si>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</si>
  <si>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</si>
  <si>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</si>
  <si>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</si>
  <si>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</si>
  <si>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</si>
  <si>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</si>
  <si>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</si>
  <si>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</si>
  <si>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</si>
  <si>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</si>
  <si>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</si>
  <si>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</si>
  <si>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</si>
  <si>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</si>
  <si>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</si>
  <si>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</si>
  <si>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</si>
  <si>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</si>
  <si>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</si>
  <si>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</si>
  <si>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</si>
  <si>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</si>
  <si>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</si>
  <si>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</si>
  <si>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</si>
  <si>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</si>
  <si>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</si>
  <si>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</si>
  <si>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</si>
  <si>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</si>
  <si>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</si>
  <si>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</si>
  <si>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</si>
  <si>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</si>
  <si>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</si>
  <si>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</si>
  <si>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</si>
  <si>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</si>
  <si>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</si>
  <si>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</si>
  <si>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</si>
  <si>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</si>
  <si>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</si>
  <si>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</si>
  <si>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</si>
  <si>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</si>
  <si>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</si>
  <si>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</si>
  <si>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</si>
  <si>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</si>
  <si>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>WW-WP Abwärme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</si>
</sst>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0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8AF01F-20EA-4922-B236-FFBBD3D75E7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8B5F861-61C4-4F4B-9924-CCCC4990A93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F3B7E3E-6B39-4C13-B851-D8D54E7C133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1.79304692801349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791380-9059-41BB-A723-DB651D08B2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B88797A-D9FA-4174-A902-DF5088E65B8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914F889-7A43-4B16-B24A-88D57B543CF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1.79304692801349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81346.2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257747.5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167566.24131354483</c:v>
                </c:pt>
                <c:pt idx="2">
                  <c:v>576996.74237317289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67836.55</c:v>
                </c:pt>
                <c:pt idx="2">
                  <c:v>32175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0.73814771008916502</c:v>
                </c:pt>
                <c:pt idx="2">
                  <c:v>0.35135722894769666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3.8003488135731164E-2</c:v>
                </c:pt>
                <c:pt idx="2">
                  <c:v>0.16515333816075631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0.11387283256200852</c:v>
                </c:pt>
                <c:pt idx="2">
                  <c:v>0.14374832915586738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7.8283947666988332E-2</c:v>
                </c:pt>
                <c:pt idx="2">
                  <c:v>0.32179678811442231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3.1692021546107056E-2</c:v>
                </c:pt>
                <c:pt idx="2">
                  <c:v>1.7944315621257364E-2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694083</xdr:colOff>
      <xdr:row>6</xdr:row>
      <xdr:rowOff>63982</xdr:rowOff>
    </xdr:from>
    <xdr:to>
      <xdr:col>14</xdr:col>
      <xdr:colOff>576608</xdr:colOff>
      <xdr:row>21</xdr:row>
      <xdr:rowOff>106500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14</xdr:col>
      <xdr:colOff>301625</xdr:colOff>
      <xdr:row>37</xdr:row>
      <xdr:rowOff>169518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D4">
            <v>149735.09182771994</v>
          </cell>
          <cell r="E4">
            <v>41164.404932023172</v>
          </cell>
          <cell r="F4">
            <v>58650.811247578851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opLeftCell="D1" zoomScaleNormal="100" workbookViewId="0">
      <selection activeCell="H8" sqref="H8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1.79304692801349</v>
      </c>
      <c r="D2" s="42">
        <f t="shared" si="0"/>
        <v>2.1404929913135451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0.15422550266025656</v>
      </c>
      <c r="N3" s="3">
        <f>K3-K4</f>
        <v>0.27653356376630933</v>
      </c>
    </row>
    <row r="4" spans="1:14" x14ac:dyDescent="0.35">
      <c r="B4" s="43"/>
      <c r="C4" s="43"/>
      <c r="D4" s="43"/>
      <c r="J4" s="1" t="s">
        <v>48</v>
      </c>
      <c r="K4" s="42">
        <f>C2</f>
        <v>1.79304692801349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'NT-WN_3_77'!B29</f>
        <v>1793046.92801349</v>
      </c>
      <c r="D5" s="42">
        <f>'kalte NW'!B30</f>
        <v>2140492.991313545</v>
      </c>
      <c r="J5" s="1" t="s">
        <v>49</v>
      </c>
      <c r="K5" s="42">
        <f>D2</f>
        <v>2.1404929913135451</v>
      </c>
      <c r="L5" s="42">
        <v>243.30137300000001</v>
      </c>
      <c r="M5" s="3">
        <f>(K5-K4)/K4</f>
        <v>0.19377410477760854</v>
      </c>
      <c r="N5" s="3">
        <f>K5-K4</f>
        <v>0.34744606330005512</v>
      </c>
    </row>
    <row r="6" spans="1:14" x14ac:dyDescent="0.35">
      <c r="B6" s="73" t="s">
        <v>125</v>
      </c>
      <c r="C6" s="73"/>
      <c r="D6" s="73"/>
    </row>
    <row r="7" spans="1:14" x14ac:dyDescent="0.35">
      <c r="A7" t="s">
        <v>118</v>
      </c>
      <c r="B7" s="3">
        <f>B5-C5</f>
        <v>276533.56376630929</v>
      </c>
      <c r="C7" t="s">
        <v>5</v>
      </c>
      <c r="D7" s="3">
        <f>D5-C5</f>
        <v>347446.06330005499</v>
      </c>
      <c r="F7" s="3">
        <f>D2-C2</f>
        <v>0.34744606330005512</v>
      </c>
    </row>
    <row r="8" spans="1:14" x14ac:dyDescent="0.35">
      <c r="B8" s="45">
        <f>B7/C5</f>
        <v>0.15422550266025653</v>
      </c>
      <c r="C8" t="s">
        <v>5</v>
      </c>
      <c r="D8" s="45">
        <f>D7/C5</f>
        <v>0.19377410477760845</v>
      </c>
      <c r="E8" s="3"/>
      <c r="F8" s="3">
        <f>C3-D3</f>
        <v>313.802863</v>
      </c>
    </row>
    <row r="9" spans="1:14" x14ac:dyDescent="0.35">
      <c r="B9" s="73" t="s">
        <v>117</v>
      </c>
      <c r="C9" s="73"/>
      <c r="D9" s="73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3" t="s">
        <v>99</v>
      </c>
      <c r="B13" s="73"/>
      <c r="C13" s="73"/>
      <c r="D13" s="73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5.919804006875325E-4</v>
      </c>
      <c r="D15">
        <f>D2/D14</f>
        <v>6.4034878107889482E-4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G8" sqref="G8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3" spans="2:13" x14ac:dyDescent="0.35">
      <c r="B3" t="s">
        <v>13</v>
      </c>
      <c r="C3">
        <v>25</v>
      </c>
      <c r="D3" t="s">
        <v>15</v>
      </c>
    </row>
    <row r="4" spans="2:13" x14ac:dyDescent="0.35">
      <c r="B4" t="s">
        <v>82</v>
      </c>
      <c r="C4" t="s">
        <v>83</v>
      </c>
    </row>
    <row r="6" spans="2:13" x14ac:dyDescent="0.35">
      <c r="B6" s="1" t="s">
        <v>61</v>
      </c>
    </row>
    <row r="7" spans="2:13" x14ac:dyDescent="0.35">
      <c r="C7" t="s">
        <v>47</v>
      </c>
      <c r="D7" t="s">
        <v>48</v>
      </c>
      <c r="E7" t="s">
        <v>49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656962.71539412113</v>
      </c>
      <c r="E8" s="2">
        <v>257330.43434875214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4" t="s">
        <v>123</v>
      </c>
      <c r="E13" s="74"/>
      <c r="F13" s="74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f>[1]Netzstrom_PV_Strom!$D$4</f>
        <v>149735.09182771994</v>
      </c>
      <c r="F14" s="38">
        <f>[1]Netzstrom_PV_Strom!$F$4</f>
        <v>58650.811247578851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34004.8393540752</v>
      </c>
      <c r="F17" s="3">
        <f>$C17*$F$14/100</f>
        <v>13319.599234325156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31998.389123583751</v>
      </c>
      <c r="F18" s="3">
        <f t="shared" ref="F18:F38" si="3">$C18*$F$14/100</f>
        <v>12533.6783636076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30740.614352230903</v>
      </c>
      <c r="F19" s="3">
        <f t="shared" si="3"/>
        <v>12041.011549127938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30231.51504001666</v>
      </c>
      <c r="F20" s="3">
        <f t="shared" si="3"/>
        <v>11841.598790886172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30141.673984920024</v>
      </c>
      <c r="F21" s="3">
        <f t="shared" si="3"/>
        <v>11806.408304137622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30276.435567564968</v>
      </c>
      <c r="F22" s="3">
        <f t="shared" si="3"/>
        <v>11859.194034260443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30246.488549199425</v>
      </c>
      <c r="F23" s="3">
        <f t="shared" si="3"/>
        <v>11847.463872010927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30216.541530833882</v>
      </c>
      <c r="F24" s="3">
        <f t="shared" si="3"/>
        <v>11835.733709761413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30186.594512468339</v>
      </c>
      <c r="F25" s="3">
        <f t="shared" si="3"/>
        <v>11824.003547511897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30156.647494102795</v>
      </c>
      <c r="F26" s="3">
        <f t="shared" si="3"/>
        <v>11812.273385262381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30126.700475737252</v>
      </c>
      <c r="F27" s="3">
        <f t="shared" si="3"/>
        <v>11800.543223012864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29821.240888408702</v>
      </c>
      <c r="F28" s="3">
        <f t="shared" si="3"/>
        <v>11680.895568067805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29515.781301080155</v>
      </c>
      <c r="F29" s="3">
        <f t="shared" si="3"/>
        <v>11561.247913122743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29210.321713751604</v>
      </c>
      <c r="F30" s="3">
        <f t="shared" si="3"/>
        <v>11441.600258177681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28904.862126423057</v>
      </c>
      <c r="F31" s="3">
        <f t="shared" si="3"/>
        <v>11321.952603232621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28599.40253909451</v>
      </c>
      <c r="F32" s="3">
        <f t="shared" si="3"/>
        <v>11202.304948287561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28779.084649287768</v>
      </c>
      <c r="F33" s="3">
        <f t="shared" si="3"/>
        <v>11272.685921784656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28773.095245614662</v>
      </c>
      <c r="F34" s="3">
        <f t="shared" si="3"/>
        <v>11270.339889334749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28767.105841941549</v>
      </c>
      <c r="F35" s="3">
        <f t="shared" si="3"/>
        <v>11267.993856884847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28761.116438268436</v>
      </c>
      <c r="F36" s="3">
        <f t="shared" si="3"/>
        <v>11265.647824434944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28755.127034595331</v>
      </c>
      <c r="F37" s="3">
        <f t="shared" si="3"/>
        <v>11263.301791985039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28749.137630922225</v>
      </c>
      <c r="F38" s="3">
        <f t="shared" si="3"/>
        <v>11260.955759535138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656962.71539412113</v>
      </c>
      <c r="F40" s="3">
        <f>SUM(F17:F38)</f>
        <v>257330.43434875214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5" t="s">
        <v>84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38826.309310927776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40608.156903677649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36580.282933511982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36864.779607984652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NW'!C32:C39</f>
        <v>KNW</v>
      </c>
      <c r="D2" s="42" t="str" cm="1">
        <f t="array" ref="D2:D9">'NT-WN_3_77'!C32:C39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0.73814771008916502</v>
      </c>
      <c r="K3" s="2">
        <f t="shared" si="0"/>
        <v>0.35135722894769666</v>
      </c>
    </row>
    <row r="4" spans="1:11" x14ac:dyDescent="0.35">
      <c r="A4" t="str">
        <v>Wärmeverteilung- und Speicherung</v>
      </c>
      <c r="B4" s="2">
        <v>0</v>
      </c>
      <c r="C4" s="2">
        <v>81346.2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3.8003488135731164E-2</v>
      </c>
      <c r="K4" s="2">
        <f t="shared" si="0"/>
        <v>0.16515333816075631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257747.5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0.11387283256200852</v>
      </c>
      <c r="K5" s="2">
        <f t="shared" si="0"/>
        <v>0.14374832915586738</v>
      </c>
    </row>
    <row r="6" spans="1:11" x14ac:dyDescent="0.35">
      <c r="A6" t="str">
        <v>Energiekosten</v>
      </c>
      <c r="B6" s="2">
        <v>194232.49177979934</v>
      </c>
      <c r="C6" s="2">
        <v>167566.24131354483</v>
      </c>
      <c r="D6" s="2">
        <v>576996.74237317289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7.8283947666988332E-2</v>
      </c>
      <c r="K6" s="2">
        <f t="shared" si="0"/>
        <v>0.32179678811442231</v>
      </c>
    </row>
    <row r="7" spans="1:11" x14ac:dyDescent="0.35">
      <c r="A7" t="str">
        <v>Instandhaltungskosten</v>
      </c>
      <c r="B7" s="2">
        <v>47500</v>
      </c>
      <c r="C7" s="2">
        <v>67836.55</v>
      </c>
      <c r="D7" s="2">
        <v>32175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3.1692021546107056E-2</v>
      </c>
      <c r="K7" s="2">
        <f t="shared" si="0"/>
        <v>1.7944315621257364E-2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2140492.9913135446</v>
      </c>
      <c r="D9" s="2">
        <v>1793046.92801349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1</v>
      </c>
    </row>
    <row r="10" spans="1:11" x14ac:dyDescent="0.35">
      <c r="C10" s="2">
        <f>C9-B9</f>
        <v>70912.499533745227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1790000</v>
      </c>
      <c r="D12" s="46">
        <f>ROUND(C9,-4)</f>
        <v>2140000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81346.2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257747.5</v>
      </c>
    </row>
    <row r="38" spans="2:5" x14ac:dyDescent="0.35">
      <c r="B38" t="s">
        <v>10</v>
      </c>
      <c r="C38" s="2">
        <v>194232.49177979934</v>
      </c>
      <c r="D38" s="2">
        <v>167566.24131354483</v>
      </c>
      <c r="E38" s="2">
        <v>576996.74237317289</v>
      </c>
    </row>
    <row r="39" spans="2:5" x14ac:dyDescent="0.35">
      <c r="B39" t="s">
        <v>109</v>
      </c>
      <c r="C39" s="2">
        <v>47500</v>
      </c>
      <c r="D39" s="2">
        <v>67836.55</v>
      </c>
      <c r="E39" s="2">
        <v>32175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E9" sqref="E9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6" t="s">
        <v>8</v>
      </c>
      <c r="C1" s="77"/>
      <c r="D1" s="77"/>
      <c r="E1" s="77"/>
      <c r="F1" s="77"/>
      <c r="G1" s="78"/>
      <c r="H1" s="76" t="s">
        <v>9</v>
      </c>
      <c r="I1" s="77"/>
      <c r="J1" s="77"/>
      <c r="K1" s="77"/>
      <c r="L1" s="78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[2]dezentral!$C$8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1"/>
  <sheetViews>
    <sheetView topLeftCell="A15" zoomScaleNormal="100" workbookViewId="0">
      <selection activeCell="I33" sqref="I3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6" t="s">
        <v>8</v>
      </c>
      <c r="C1" s="77"/>
      <c r="D1" s="77"/>
      <c r="E1" s="77"/>
      <c r="F1" s="77"/>
      <c r="G1" s="78"/>
      <c r="H1" s="76" t="s">
        <v>9</v>
      </c>
      <c r="I1" s="77"/>
      <c r="J1" s="77"/>
      <c r="K1" s="77"/>
      <c r="L1" s="78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257330.43434875214</v>
      </c>
    </row>
    <row r="6" spans="1:19" x14ac:dyDescent="0.35">
      <c r="B6" s="53" t="s">
        <v>36</v>
      </c>
      <c r="C6" s="52">
        <f>D6*E6</f>
        <v>94164</v>
      </c>
      <c r="D6">
        <f>[2]K_NW!$F$10</f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SUM(C9:C12)</f>
        <v>81346.2</v>
      </c>
      <c r="I11" s="8">
        <f>H11*0.01</f>
        <v>813.46199999999999</v>
      </c>
      <c r="K11"/>
    </row>
    <row r="12" spans="1:19" x14ac:dyDescent="0.35">
      <c r="B12" s="49" t="s">
        <v>89</v>
      </c>
      <c r="C12" s="50">
        <f>D12*E12</f>
        <v>29491.199999999997</v>
      </c>
      <c r="D12">
        <v>160</v>
      </c>
      <c r="E12" s="4">
        <v>184.32</v>
      </c>
      <c r="F12" s="26" t="s">
        <v>72</v>
      </c>
      <c r="G12" s="20" t="s">
        <v>33</v>
      </c>
      <c r="K12"/>
    </row>
    <row r="13" spans="1:19" x14ac:dyDescent="0.35">
      <c r="B13" s="19" t="s">
        <v>5</v>
      </c>
      <c r="C13" s="9" t="s">
        <v>5</v>
      </c>
      <c r="G13" s="20"/>
      <c r="K13"/>
    </row>
    <row r="14" spans="1:19" x14ac:dyDescent="0.35">
      <c r="B14" s="51" t="s">
        <v>120</v>
      </c>
      <c r="C14" s="52"/>
      <c r="E14" s="18" t="s">
        <v>32</v>
      </c>
      <c r="F14" t="s">
        <v>31</v>
      </c>
      <c r="G14" s="20" t="s">
        <v>33</v>
      </c>
      <c r="K14"/>
      <c r="N14" t="s">
        <v>85</v>
      </c>
    </row>
    <row r="15" spans="1:19" x14ac:dyDescent="0.35">
      <c r="B15" s="53" t="s">
        <v>16</v>
      </c>
      <c r="C15" s="52">
        <f>D15*E15</f>
        <v>27600</v>
      </c>
      <c r="D15">
        <v>20</v>
      </c>
      <c r="E15" s="25">
        <v>1380</v>
      </c>
      <c r="F15" s="26" t="s">
        <v>29</v>
      </c>
      <c r="G15" s="20" t="s">
        <v>33</v>
      </c>
      <c r="I15" s="7">
        <v>350</v>
      </c>
      <c r="K15"/>
      <c r="N15" s="19" t="s">
        <v>16</v>
      </c>
      <c r="O15">
        <v>20</v>
      </c>
    </row>
    <row r="16" spans="1:19" x14ac:dyDescent="0.35">
      <c r="B16" s="53" t="s">
        <v>28</v>
      </c>
      <c r="C16" s="52">
        <f t="shared" ref="C16:C18" si="0">D16*E16</f>
        <v>43350</v>
      </c>
      <c r="D16">
        <v>50</v>
      </c>
      <c r="E16" s="25">
        <v>867</v>
      </c>
      <c r="F16" s="26" t="s">
        <v>29</v>
      </c>
      <c r="G16" s="20" t="s">
        <v>33</v>
      </c>
      <c r="I16" s="7">
        <v>533</v>
      </c>
      <c r="K16"/>
      <c r="N16" s="19" t="s">
        <v>28</v>
      </c>
      <c r="O16">
        <v>50</v>
      </c>
    </row>
    <row r="17" spans="1:19" x14ac:dyDescent="0.35">
      <c r="B17" s="53" t="s">
        <v>27</v>
      </c>
      <c r="C17" s="52">
        <f t="shared" si="0"/>
        <v>51030</v>
      </c>
      <c r="D17">
        <v>70</v>
      </c>
      <c r="E17" s="25">
        <v>729</v>
      </c>
      <c r="F17" s="26" t="s">
        <v>29</v>
      </c>
      <c r="G17" s="20" t="s">
        <v>33</v>
      </c>
      <c r="I17" s="7">
        <v>667</v>
      </c>
      <c r="K17"/>
      <c r="N17" s="19" t="s">
        <v>27</v>
      </c>
      <c r="O17">
        <v>70</v>
      </c>
    </row>
    <row r="18" spans="1:19" x14ac:dyDescent="0.35">
      <c r="B18" s="53" t="s">
        <v>26</v>
      </c>
      <c r="C18" s="52">
        <f t="shared" si="0"/>
        <v>27600</v>
      </c>
      <c r="D18">
        <v>20</v>
      </c>
      <c r="E18" s="25">
        <v>1380</v>
      </c>
      <c r="F18" s="26" t="s">
        <v>29</v>
      </c>
      <c r="G18" s="20" t="s">
        <v>34</v>
      </c>
      <c r="I18" s="7">
        <v>350</v>
      </c>
      <c r="K18"/>
      <c r="N18" s="19" t="s">
        <v>26</v>
      </c>
      <c r="O18">
        <v>20</v>
      </c>
    </row>
    <row r="19" spans="1:19" x14ac:dyDescent="0.35">
      <c r="B19" s="19" t="s">
        <v>122</v>
      </c>
      <c r="C19" s="9" t="s">
        <v>5</v>
      </c>
      <c r="G19" s="20"/>
      <c r="K19"/>
    </row>
    <row r="20" spans="1:19" x14ac:dyDescent="0.35">
      <c r="B20" s="72">
        <f>SUM(C15:C18)</f>
        <v>149580</v>
      </c>
      <c r="G20" s="20"/>
      <c r="K20"/>
      <c r="O20">
        <f>SUM(O15:O18)</f>
        <v>160</v>
      </c>
    </row>
    <row r="21" spans="1:19" x14ac:dyDescent="0.35">
      <c r="B21" s="58" t="s">
        <v>7</v>
      </c>
      <c r="C21" s="59"/>
      <c r="G21" s="20"/>
      <c r="K21"/>
    </row>
    <row r="22" spans="1:19" x14ac:dyDescent="0.35">
      <c r="B22" s="60" t="s">
        <v>121</v>
      </c>
      <c r="C22" s="59"/>
      <c r="G22" s="20"/>
      <c r="K22"/>
    </row>
    <row r="23" spans="1:19" x14ac:dyDescent="0.35">
      <c r="B23" s="60" t="s">
        <v>17</v>
      </c>
      <c r="C23" s="59">
        <v>420000</v>
      </c>
      <c r="G23" s="20"/>
      <c r="K23"/>
    </row>
    <row r="24" spans="1:19" x14ac:dyDescent="0.35">
      <c r="B24" s="60" t="s">
        <v>18</v>
      </c>
      <c r="C24" s="59">
        <v>170000</v>
      </c>
      <c r="G24" s="20"/>
      <c r="K24"/>
    </row>
    <row r="25" spans="1:19" x14ac:dyDescent="0.35">
      <c r="B25" s="60" t="s">
        <v>19</v>
      </c>
      <c r="C25" s="59">
        <v>790000</v>
      </c>
      <c r="G25" s="20"/>
      <c r="K25"/>
    </row>
    <row r="26" spans="1:19" x14ac:dyDescent="0.35">
      <c r="B26" s="60" t="s">
        <v>20</v>
      </c>
      <c r="C26" s="59">
        <v>200000</v>
      </c>
      <c r="G26" s="20"/>
      <c r="K26"/>
    </row>
    <row r="27" spans="1:19" x14ac:dyDescent="0.35">
      <c r="G27" s="20"/>
      <c r="H27" t="s">
        <v>78</v>
      </c>
      <c r="I27" s="39">
        <f>SUM(I5:I26)</f>
        <v>2713.462</v>
      </c>
      <c r="K27"/>
    </row>
    <row r="28" spans="1:19" s="27" customFormat="1" ht="15" thickBot="1" x14ac:dyDescent="0.4">
      <c r="B28" s="19"/>
      <c r="C28" s="6"/>
      <c r="D28"/>
      <c r="E28"/>
      <c r="F28"/>
      <c r="G28" s="20"/>
      <c r="H28" t="s">
        <v>79</v>
      </c>
      <c r="I28" s="8">
        <f>I27*'Allgemeine Parameter'!C3</f>
        <v>67836.55</v>
      </c>
      <c r="J28"/>
      <c r="K28"/>
      <c r="L28" s="6"/>
      <c r="M28"/>
      <c r="N28"/>
      <c r="O28"/>
      <c r="P28"/>
      <c r="Q28"/>
      <c r="R28"/>
      <c r="S28"/>
    </row>
    <row r="29" spans="1:19" s="31" customFormat="1" ht="15" thickBot="1" x14ac:dyDescent="0.4">
      <c r="A29" s="30"/>
      <c r="B29" s="30" t="s">
        <v>52</v>
      </c>
      <c r="C29" s="10"/>
      <c r="G29" s="32"/>
      <c r="I29" s="5"/>
      <c r="L29" s="5"/>
      <c r="M29"/>
      <c r="N29"/>
      <c r="O29"/>
      <c r="P29"/>
      <c r="Q29"/>
      <c r="R29"/>
      <c r="S29"/>
    </row>
    <row r="30" spans="1:19" s="27" customFormat="1" ht="15" thickBot="1" x14ac:dyDescent="0.4">
      <c r="A30" s="28"/>
      <c r="B30" s="33">
        <f>SUM(C30,I30,L30)</f>
        <v>2140492.991313545</v>
      </c>
      <c r="C30" s="17">
        <f>SUM(C1:C27)</f>
        <v>1905090.2</v>
      </c>
      <c r="G30" s="29"/>
      <c r="I30" s="57">
        <f>SUM(I28)</f>
        <v>67836.55</v>
      </c>
      <c r="L30" s="54">
        <f>SUM(L5:L6)</f>
        <v>167566.24131354483</v>
      </c>
      <c r="M30"/>
      <c r="N30"/>
      <c r="O30"/>
      <c r="P30"/>
      <c r="Q30"/>
      <c r="R30"/>
      <c r="S30"/>
    </row>
    <row r="31" spans="1:19" ht="15" thickBot="1" x14ac:dyDescent="0.4">
      <c r="B31"/>
      <c r="C31" s="34"/>
      <c r="I31"/>
      <c r="K31"/>
      <c r="L31"/>
    </row>
    <row r="32" spans="1:19" x14ac:dyDescent="0.35">
      <c r="B32" s="61" t="s">
        <v>110</v>
      </c>
      <c r="C32" s="62" t="s">
        <v>111</v>
      </c>
      <c r="I32"/>
      <c r="K32"/>
      <c r="L32"/>
    </row>
    <row r="33" spans="2:12" x14ac:dyDescent="0.35">
      <c r="B33" s="60" t="s">
        <v>105</v>
      </c>
      <c r="C33" s="63">
        <f>SUM(C23:C26)</f>
        <v>1580000</v>
      </c>
      <c r="E33" s="4" t="s">
        <v>91</v>
      </c>
      <c r="F33" s="25"/>
      <c r="H33" s="3"/>
      <c r="I33"/>
      <c r="K33"/>
      <c r="L33"/>
    </row>
    <row r="34" spans="2:12" x14ac:dyDescent="0.35">
      <c r="B34" s="49" t="s">
        <v>107</v>
      </c>
      <c r="C34" s="64">
        <f>SUM(C9:C12)</f>
        <v>81346.2</v>
      </c>
      <c r="I34"/>
      <c r="K34"/>
      <c r="L34"/>
    </row>
    <row r="35" spans="2:12" x14ac:dyDescent="0.35">
      <c r="B35" s="53" t="s">
        <v>106</v>
      </c>
      <c r="C35" s="65">
        <f>SUM(C15:C18,C6)</f>
        <v>243744</v>
      </c>
      <c r="I35"/>
      <c r="K35"/>
      <c r="L35"/>
    </row>
    <row r="36" spans="2:12" x14ac:dyDescent="0.35">
      <c r="B36" s="66" t="s">
        <v>10</v>
      </c>
      <c r="C36" s="67">
        <f>SUM(L30)</f>
        <v>167566.24131354483</v>
      </c>
      <c r="I36"/>
      <c r="K36"/>
      <c r="L36"/>
    </row>
    <row r="37" spans="2:12" x14ac:dyDescent="0.35">
      <c r="B37" s="55" t="s">
        <v>109</v>
      </c>
      <c r="C37" s="56">
        <f>SUM(I30)</f>
        <v>67836.55</v>
      </c>
      <c r="I37"/>
      <c r="K37"/>
      <c r="L37"/>
    </row>
    <row r="38" spans="2:12" ht="15" thickBot="1" x14ac:dyDescent="0.4">
      <c r="C38" s="9" t="s">
        <v>33</v>
      </c>
      <c r="I38"/>
      <c r="K38"/>
      <c r="L38"/>
    </row>
    <row r="39" spans="2:12" ht="15" thickBot="1" x14ac:dyDescent="0.4">
      <c r="B39" s="28" t="s">
        <v>108</v>
      </c>
      <c r="C39" s="68">
        <f>SUM(C33:C37)</f>
        <v>2140492.9913135446</v>
      </c>
      <c r="I39"/>
      <c r="K39"/>
      <c r="L39"/>
    </row>
    <row r="40" spans="2:12" x14ac:dyDescent="0.35">
      <c r="I40"/>
      <c r="K40"/>
      <c r="L40"/>
    </row>
    <row r="41" spans="2:12" x14ac:dyDescent="0.35">
      <c r="I41"/>
      <c r="K41"/>
      <c r="L41"/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tabSelected="1" topLeftCell="A6" zoomScale="130" zoomScaleNormal="130" workbookViewId="0">
      <selection activeCell="E33" sqref="E3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6" t="s">
        <v>8</v>
      </c>
      <c r="C1" s="77"/>
      <c r="D1" s="77"/>
      <c r="E1" s="77"/>
      <c r="F1" s="77"/>
      <c r="G1" s="78"/>
      <c r="H1" s="76" t="s">
        <v>9</v>
      </c>
      <c r="I1" s="77"/>
      <c r="J1" s="77"/>
      <c r="K1" s="77"/>
      <c r="L1" s="78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656962.71539412113</v>
      </c>
    </row>
    <row r="6" spans="1:19" x14ac:dyDescent="0.35">
      <c r="B6" s="53" t="s">
        <v>36</v>
      </c>
      <c r="C6" s="52">
        <f>D6*E6</f>
        <v>112803</v>
      </c>
      <c r="D6">
        <v>98.95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D15" t="s">
        <v>39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133650.4</v>
      </c>
      <c r="D16">
        <f>240-4.7</f>
        <v>235.3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53" t="s">
        <v>126</v>
      </c>
      <c r="C17" s="71">
        <f>D17*E17</f>
        <v>11294.1</v>
      </c>
      <c r="D17">
        <v>4.7</v>
      </c>
      <c r="E17" s="25">
        <v>2403</v>
      </c>
      <c r="F17" s="26"/>
      <c r="G17" s="20"/>
      <c r="I17">
        <v>350</v>
      </c>
      <c r="K17"/>
    </row>
    <row r="18" spans="1:19" x14ac:dyDescent="0.35">
      <c r="B18" s="49" t="s">
        <v>102</v>
      </c>
      <c r="C18" s="50">
        <v>12000</v>
      </c>
      <c r="F18" s="26" t="s">
        <v>103</v>
      </c>
      <c r="G18" s="20" t="s">
        <v>33</v>
      </c>
      <c r="K18"/>
      <c r="O18" t="s">
        <v>73</v>
      </c>
    </row>
    <row r="19" spans="1:19" x14ac:dyDescent="0.35">
      <c r="G19" s="20"/>
      <c r="K19"/>
      <c r="O19" t="s">
        <v>74</v>
      </c>
    </row>
    <row r="20" spans="1:19" x14ac:dyDescent="0.35">
      <c r="B20" s="58" t="s">
        <v>7</v>
      </c>
      <c r="C20" s="59"/>
      <c r="G20" s="20"/>
      <c r="K20"/>
    </row>
    <row r="21" spans="1:19" x14ac:dyDescent="0.35">
      <c r="B21" s="60" t="s">
        <v>21</v>
      </c>
      <c r="C21" s="59"/>
      <c r="G21" s="20"/>
      <c r="K21"/>
    </row>
    <row r="22" spans="1:19" x14ac:dyDescent="0.35">
      <c r="B22" s="60" t="s">
        <v>22</v>
      </c>
      <c r="C22" s="69">
        <v>110000</v>
      </c>
      <c r="G22" s="20"/>
      <c r="I22" s="7"/>
      <c r="K22"/>
    </row>
    <row r="23" spans="1:19" x14ac:dyDescent="0.35">
      <c r="B23" s="60" t="s">
        <v>23</v>
      </c>
      <c r="C23" s="69">
        <v>30000</v>
      </c>
      <c r="G23" s="20"/>
      <c r="I23" s="7"/>
      <c r="K23"/>
    </row>
    <row r="24" spans="1:19" x14ac:dyDescent="0.35">
      <c r="B24" s="60" t="s">
        <v>24</v>
      </c>
      <c r="C24" s="69">
        <v>440000</v>
      </c>
      <c r="G24" s="20"/>
      <c r="I24" s="7"/>
      <c r="K24"/>
    </row>
    <row r="25" spans="1:19" x14ac:dyDescent="0.35">
      <c r="B25" s="60" t="s">
        <v>25</v>
      </c>
      <c r="C25" s="69">
        <v>50000</v>
      </c>
      <c r="G25" s="20"/>
      <c r="I25" s="7"/>
      <c r="K25"/>
    </row>
    <row r="26" spans="1:19" x14ac:dyDescent="0.35">
      <c r="G26" s="20"/>
      <c r="H26" t="s">
        <v>78</v>
      </c>
      <c r="I26" s="6">
        <f>SUM(I5:I25)</f>
        <v>1287</v>
      </c>
      <c r="K26"/>
    </row>
    <row r="27" spans="1:19" s="27" customFormat="1" ht="15" thickBot="1" x14ac:dyDescent="0.4">
      <c r="B27" s="19"/>
      <c r="C27" s="6"/>
      <c r="D27"/>
      <c r="E27"/>
      <c r="F27"/>
      <c r="G27" s="20"/>
      <c r="H27" t="s">
        <v>77</v>
      </c>
      <c r="I27" s="6">
        <f>I26*'Allgemeine Parameter'!C3</f>
        <v>32175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" thickBot="1" x14ac:dyDescent="0.4">
      <c r="A28" s="30"/>
      <c r="B28" s="30" t="s">
        <v>52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" thickBot="1" x14ac:dyDescent="0.4">
      <c r="A29" s="28"/>
      <c r="B29" s="33">
        <f>SUM(C29,I29,L29)</f>
        <v>1793046.92801349</v>
      </c>
      <c r="C29" s="17">
        <f>SUM(C1:C26)</f>
        <v>1183875.1856403172</v>
      </c>
      <c r="G29" s="29"/>
      <c r="I29" s="57">
        <f>SUM(I27)</f>
        <v>32175</v>
      </c>
      <c r="L29" s="54">
        <f>SUM(L5:L6)</f>
        <v>576996.74237317289</v>
      </c>
      <c r="M29"/>
      <c r="N29"/>
      <c r="O29"/>
      <c r="P29"/>
      <c r="Q29"/>
      <c r="R29"/>
      <c r="S29"/>
    </row>
    <row r="30" spans="1:19" x14ac:dyDescent="0.35">
      <c r="B30"/>
      <c r="C30" s="34"/>
      <c r="I30"/>
      <c r="K30"/>
      <c r="L30"/>
    </row>
    <row r="31" spans="1:19" x14ac:dyDescent="0.35">
      <c r="B31"/>
      <c r="C31" s="34"/>
      <c r="H31" s="25"/>
      <c r="I31"/>
      <c r="K31"/>
      <c r="L31" s="42">
        <f>'kalte NW'!L30</f>
        <v>167566.24131354483</v>
      </c>
      <c r="M31" s="79" t="s">
        <v>119</v>
      </c>
    </row>
    <row r="32" spans="1:19" x14ac:dyDescent="0.35">
      <c r="B32" s="1" t="s">
        <v>104</v>
      </c>
      <c r="C32" s="34" t="s">
        <v>48</v>
      </c>
      <c r="H32" s="3"/>
      <c r="I32"/>
      <c r="K32"/>
      <c r="L32" s="3">
        <f>L29-L31</f>
        <v>409430.50105962809</v>
      </c>
      <c r="M32" s="79"/>
    </row>
    <row r="33" spans="2:13" x14ac:dyDescent="0.35">
      <c r="B33" s="60" t="s">
        <v>105</v>
      </c>
      <c r="C33" s="63">
        <f>SUM(C22:C25)</f>
        <v>630000</v>
      </c>
      <c r="I33"/>
      <c r="K33"/>
      <c r="L33" s="3">
        <f>L32/25</f>
        <v>16377.220042385125</v>
      </c>
      <c r="M33" s="79"/>
    </row>
    <row r="34" spans="2:13" x14ac:dyDescent="0.35">
      <c r="B34" s="49" t="s">
        <v>107</v>
      </c>
      <c r="C34" s="64">
        <f>SUM(C18,C9:C14)</f>
        <v>296127.68564031721</v>
      </c>
      <c r="I34"/>
      <c r="K34"/>
      <c r="L34"/>
    </row>
    <row r="35" spans="2:13" x14ac:dyDescent="0.35">
      <c r="B35" s="53" t="s">
        <v>106</v>
      </c>
      <c r="C35" s="65">
        <f>SUM(C6,C16:C17)</f>
        <v>257747.5</v>
      </c>
      <c r="I35"/>
      <c r="K35"/>
      <c r="L35"/>
    </row>
    <row r="36" spans="2:13" x14ac:dyDescent="0.35">
      <c r="B36" s="66" t="s">
        <v>10</v>
      </c>
      <c r="C36" s="67">
        <f>SUM(L29)</f>
        <v>576996.74237317289</v>
      </c>
      <c r="I36"/>
      <c r="K36"/>
      <c r="L36"/>
    </row>
    <row r="37" spans="2:13" x14ac:dyDescent="0.35">
      <c r="B37" s="55" t="s">
        <v>109</v>
      </c>
      <c r="C37" s="56">
        <f>SUM(I29)</f>
        <v>32175</v>
      </c>
      <c r="I37"/>
      <c r="K37"/>
      <c r="L37"/>
    </row>
    <row r="38" spans="2:13" ht="15" thickBot="1" x14ac:dyDescent="0.4">
      <c r="C38" s="9" t="s">
        <v>33</v>
      </c>
      <c r="I38"/>
      <c r="K38"/>
      <c r="L38"/>
    </row>
    <row r="39" spans="2:13" ht="15" thickBot="1" x14ac:dyDescent="0.4">
      <c r="B39" t="s">
        <v>108</v>
      </c>
      <c r="C39" s="33">
        <f>SUM(C33:C37)</f>
        <v>1793046.92801349</v>
      </c>
      <c r="I39"/>
      <c r="K39"/>
      <c r="L39"/>
    </row>
    <row r="40" spans="2:13" x14ac:dyDescent="0.35">
      <c r="B40"/>
      <c r="C40" s="34"/>
      <c r="I40"/>
      <c r="K40"/>
      <c r="L40"/>
    </row>
  </sheetData>
  <mergeCells count="3">
    <mergeCell ref="B1:G1"/>
    <mergeCell ref="H1:L1"/>
    <mergeCell ref="M31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Zusammenfassung</vt:lpstr>
      <vt:lpstr>Allgemeine Parameter</vt:lpstr>
      <vt:lpstr>Kostenposten_8.2.2</vt:lpstr>
      <vt:lpstr>dezentral</vt:lpstr>
      <vt:lpstr>kalte NW</vt:lpstr>
      <vt:lpstr>NT-WN_3_77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2025-01-09T18:52:55Z</dcterms:modified>
</cp:coreProperties>
</file>