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fraunhofer-my.sharepoint.com/personal/lara_josephine_barnic_iee_fraunhofer_de/Documents/A_Bearbeitung/9_Parameterstudie_REP/9_1_Kosten/"/>
    </mc:Choice>
  </mc:AlternateContent>
  <xr:revisionPtr revIDLastSave="367" documentId="8_{4EB36911-4402-448D-AD50-79DED30F1E20}" xr6:coauthVersionLast="47" xr6:coauthVersionMax="47" xr10:uidLastSave="{972375D8-9D5F-47DA-BDA8-C96BDEBDFA9E}"/>
  <bookViews>
    <workbookView xWindow="-110" yWindow="-110" windowWidth="19420" windowHeight="10300" activeTab="2" xr2:uid="{3F92BEA5-F786-41E5-A6D4-74CA96FE7899}"/>
  </bookViews>
  <sheets>
    <sheet name="NT WN_12_5" sheetId="4" r:id="rId1"/>
    <sheet name="NT WN_10" sheetId="3" r:id="rId2"/>
    <sheet name="NT WN_3,77" sheetId="1" r:id="rId3"/>
    <sheet name="K_NW" sheetId="2"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4" i="4" l="1"/>
  <c r="C28" i="4"/>
  <c r="C26" i="4"/>
  <c r="C23" i="4"/>
  <c r="C24" i="4" s="1"/>
  <c r="E17" i="4"/>
  <c r="E18" i="4" s="1"/>
  <c r="E10" i="4"/>
  <c r="G3" i="4"/>
  <c r="F3" i="4"/>
  <c r="E3" i="4"/>
  <c r="D3" i="4"/>
  <c r="C29" i="3"/>
  <c r="C24" i="3"/>
  <c r="C24" i="1"/>
  <c r="C23" i="1"/>
  <c r="E34" i="3"/>
  <c r="C26" i="3"/>
  <c r="C23" i="3"/>
  <c r="E17" i="3"/>
  <c r="C28" i="3" s="1"/>
  <c r="E10" i="3"/>
  <c r="G3" i="3"/>
  <c r="F3" i="3"/>
  <c r="E3" i="3"/>
  <c r="D3" i="3"/>
  <c r="E35" i="4" l="1"/>
  <c r="F10" i="4"/>
  <c r="G10" i="4" s="1"/>
  <c r="C27" i="4"/>
  <c r="D33" i="4"/>
  <c r="D33" i="3"/>
  <c r="C27" i="3"/>
  <c r="E18" i="3"/>
  <c r="C26" i="1"/>
  <c r="C27" i="1" s="1"/>
  <c r="D34" i="1" s="1"/>
  <c r="D33" i="1"/>
  <c r="E18" i="1"/>
  <c r="F10" i="1" s="1"/>
  <c r="C8" i="2"/>
  <c r="D21" i="2"/>
  <c r="D19" i="2"/>
  <c r="D20" i="2"/>
  <c r="D18" i="2"/>
  <c r="E17" i="1"/>
  <c r="C28" i="1" s="1"/>
  <c r="G3" i="2"/>
  <c r="F3" i="2"/>
  <c r="E3" i="2"/>
  <c r="D3" i="2"/>
  <c r="E10" i="1"/>
  <c r="G3" i="1"/>
  <c r="F3" i="1"/>
  <c r="E3" i="1"/>
  <c r="D3" i="1"/>
  <c r="C29" i="4" l="1"/>
  <c r="D35" i="4" s="1"/>
  <c r="C8" i="4" s="1"/>
  <c r="D8" i="4" s="1"/>
  <c r="E8" i="4" s="1"/>
  <c r="D34" i="4"/>
  <c r="F10" i="3"/>
  <c r="G10" i="3" s="1"/>
  <c r="E35" i="3"/>
  <c r="D34" i="3"/>
  <c r="D35" i="3"/>
  <c r="C8" i="3" s="1"/>
  <c r="D8" i="3" s="1"/>
  <c r="E8" i="3" s="1"/>
  <c r="E34" i="1"/>
  <c r="E35" i="1"/>
  <c r="C29" i="1"/>
  <c r="D35" i="1" s="1"/>
  <c r="C8" i="1" s="1"/>
  <c r="D8" i="1" s="1"/>
  <c r="E8" i="1" s="1"/>
  <c r="D8" i="2"/>
  <c r="E8" i="2" s="1"/>
  <c r="F8" i="2" s="1"/>
  <c r="G8" i="2" s="1"/>
  <c r="G10" i="2"/>
  <c r="G10" i="1"/>
  <c r="E36" i="4" l="1"/>
  <c r="D36" i="4"/>
  <c r="F8" i="4"/>
  <c r="G8" i="4" s="1"/>
  <c r="E36" i="3"/>
  <c r="D36" i="3"/>
  <c r="F8" i="3"/>
  <c r="G8" i="3" s="1"/>
  <c r="F8" i="1"/>
  <c r="G8" i="1" s="1"/>
  <c r="E36" i="1"/>
  <c r="D36" i="1"/>
</calcChain>
</file>

<file path=xl/sharedStrings.xml><?xml version="1.0" encoding="utf-8"?>
<sst xmlns="http://schemas.openxmlformats.org/spreadsheetml/2006/main" count="165" uniqueCount="53">
  <si>
    <t>SONDENBERECHNUNG</t>
  </si>
  <si>
    <t>Verdampferleistung [kW]</t>
  </si>
  <si>
    <t>Sondenlänge [m]</t>
  </si>
  <si>
    <t>Anzahl Sonden</t>
  </si>
  <si>
    <t>Fläche Sondenfeld</t>
  </si>
  <si>
    <t>Freiflächennutzung</t>
  </si>
  <si>
    <t>Basis</t>
  </si>
  <si>
    <t>m Sondenlänge</t>
  </si>
  <si>
    <t>kW/m</t>
  </si>
  <si>
    <t>Fläche Sonde</t>
  </si>
  <si>
    <t>Fläche Rechteck</t>
  </si>
  <si>
    <t>Tatsächliche Fläche</t>
  </si>
  <si>
    <t>W/m</t>
  </si>
  <si>
    <t>Entzugsleistung nach VDI 4640 Entzugsleistungen nach Bdenart, gesättigt Stand - Kies bei 2.400 h/a Betriebsstunden</t>
  </si>
  <si>
    <t>Bei NT WN zentral: alle Werte an Q aufsummieren je Zeitschritt</t>
  </si>
  <si>
    <t>Idee Vorteil zentral: Dadurch dass Lastspitzen zu unterschiedlichen Zeitpunkten auftreten, muss die Sondenlänge nicht so groß sein und es kann an Kosten gespat ewrden. Dafür müssen aber die Nutzungszeiten bzw. Wärmebedarfe der Gebäude unterschiedlich genug sein.</t>
  </si>
  <si>
    <t>Max davon bestimmen</t>
  </si>
  <si>
    <t>97,5% Quantil</t>
  </si>
  <si>
    <t>Umweltwärmeanteil bestimmen (abhängig von COP)</t>
  </si>
  <si>
    <t>Q Heizlast 97,5%</t>
  </si>
  <si>
    <t>Q Umweltwärme bei 97,5 Perz.</t>
  </si>
  <si>
    <t>COP</t>
  </si>
  <si>
    <t>Umweltwärme</t>
  </si>
  <si>
    <t>COP bei -7 °C Außentemperautr</t>
  </si>
  <si>
    <t>Umfassend</t>
  </si>
  <si>
    <t>Bei K WN zentral: alle Werte an Q aufsummieren je Zeitschritt</t>
  </si>
  <si>
    <t>COP je Gebäude</t>
  </si>
  <si>
    <t>Umweltwärme (Verdampferleisung) berechnen je Gebäude Je Zeitschritt</t>
  </si>
  <si>
    <t>97,5 Quanteil davon je Gebäude</t>
  </si>
  <si>
    <t>TV: 58</t>
  </si>
  <si>
    <t>FVR: 63</t>
  </si>
  <si>
    <t>SB: 63</t>
  </si>
  <si>
    <t>SpS: 64</t>
  </si>
  <si>
    <t>summieren davon je Zeitshritt</t>
  </si>
  <si>
    <t>Entzugsleistung nach VDI 4640 Entzugsleistungen nach Bodenart, gesättigt Stand - Kies bei 2.400 h/a Betriebsstunden</t>
  </si>
  <si>
    <t>Bestimmung der Leistung der AB-WP</t>
  </si>
  <si>
    <t>kW</t>
  </si>
  <si>
    <t>Abwärme</t>
  </si>
  <si>
    <t xml:space="preserve">Leistung WP </t>
  </si>
  <si>
    <t>Bestimmenden Leistung der SW-WP</t>
  </si>
  <si>
    <t>Leistungsanforderung WP nach Abwärme</t>
  </si>
  <si>
    <t>Für Kostenbetrachtung</t>
  </si>
  <si>
    <t>Leistung der AB-WP</t>
  </si>
  <si>
    <t>Original-Leistungsanforderung SW-WP</t>
  </si>
  <si>
    <t>COP SW-WP</t>
  </si>
  <si>
    <t>Verbleibende Umweltwärme</t>
  </si>
  <si>
    <t>Leistung der SW-WP</t>
  </si>
  <si>
    <t>Verbleibende Umweltwärme durch Erdwärmesonden</t>
  </si>
  <si>
    <t>Sondenanzahl</t>
  </si>
  <si>
    <t>Neue Werte</t>
  </si>
  <si>
    <t>vorherige Werte</t>
  </si>
  <si>
    <t>Zusammenfassung</t>
  </si>
  <si>
    <t>Verdampferleistung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</si>
</sst>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0_-;\-* #,##0.0_-;_-* &quot;-&quot;??_-;_-@_-"/>
    <numFmt numFmtId="166" formatCode="0.0"/>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0" fontId="0" fillId="0" borderId="0" xfId="0" applyAlignment="1">
      <alignment vertical="center"/>
    </xf>
    <xf numFmtId="0" fontId="2" fillId="0" borderId="0" xfId="0" applyFont="1" applyAlignment="1">
      <alignment vertical="center"/>
    </xf>
    <xf numFmtId="164" fontId="0" fillId="0" borderId="0" xfId="0" applyNumberFormat="1" applyAlignment="1">
      <alignment vertical="center"/>
    </xf>
    <xf numFmtId="3" fontId="2" fillId="0" borderId="0" xfId="0" applyNumberFormat="1" applyFont="1"/>
    <xf numFmtId="165" fontId="2" fillId="0" borderId="0" xfId="0" applyNumberFormat="1" applyFont="1" applyAlignment="1">
      <alignment vertical="center"/>
    </xf>
    <xf numFmtId="9" fontId="0" fillId="0" borderId="0" xfId="2" applyFont="1" applyFill="1" applyAlignment="1">
      <alignment vertical="center"/>
    </xf>
    <xf numFmtId="164" fontId="0" fillId="0" borderId="0" xfId="1" applyNumberFormat="1" applyFont="1" applyFill="1" applyAlignment="1">
      <alignment vertical="center"/>
    </xf>
    <xf numFmtId="0" fontId="3" fillId="0" borderId="0" xfId="0" applyFont="1" applyAlignment="1">
      <alignment horizontal="justify" vertical="center"/>
    </xf>
    <xf numFmtId="2" fontId="0" fillId="0" borderId="0" xfId="0" applyNumberFormat="1"/>
    <xf numFmtId="164" fontId="2" fillId="0" borderId="0" xfId="1" applyNumberFormat="1" applyFont="1" applyAlignment="1">
      <alignment vertical="center"/>
    </xf>
    <xf numFmtId="166" fontId="0" fillId="0" borderId="0" xfId="0" applyNumberFormat="1"/>
    <xf numFmtId="0" fontId="0" fillId="0" borderId="0" xfId="0" applyAlignment="1">
      <alignment horizontal="right"/>
    </xf>
    <xf numFmtId="165" fontId="0" fillId="0" borderId="0" xfId="0" applyNumberFormat="1"/>
    <xf numFmtId="0" fontId="2" fillId="0" borderId="0" xfId="0" applyFont="1"/>
    <xf numFmtId="0" fontId="2" fillId="0" borderId="0" xfId="0" applyFont="1" applyAlignment="1">
      <alignment horizontal="center"/>
    </xf>
  </cellXfs>
  <cellStyles count="3">
    <cellStyle name="Komma" xfId="1" builtinId="3"/>
    <cellStyle name="Prozent" xfId="2"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0</xdr:colOff>
      <xdr:row>16</xdr:row>
      <xdr:rowOff>0</xdr:rowOff>
    </xdr:from>
    <xdr:to>
      <xdr:col>8</xdr:col>
      <xdr:colOff>82550</xdr:colOff>
      <xdr:row>18</xdr:row>
      <xdr:rowOff>38100</xdr:rowOff>
    </xdr:to>
    <xdr:pic>
      <xdr:nvPicPr>
        <xdr:cNvPr id="2" name="Grafik 1">
          <a:extLst>
            <a:ext uri="{FF2B5EF4-FFF2-40B4-BE49-F238E27FC236}">
              <a16:creationId xmlns:a16="http://schemas.microsoft.com/office/drawing/2014/main" id="{AE8B842F-7BDF-40DC-9E2A-971CEE2A89B7}"/>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572000" y="2946400"/>
          <a:ext cx="160655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16</xdr:row>
      <xdr:rowOff>0</xdr:rowOff>
    </xdr:from>
    <xdr:to>
      <xdr:col>8</xdr:col>
      <xdr:colOff>82550</xdr:colOff>
      <xdr:row>18</xdr:row>
      <xdr:rowOff>38100</xdr:rowOff>
    </xdr:to>
    <xdr:pic>
      <xdr:nvPicPr>
        <xdr:cNvPr id="2" name="Grafik 1">
          <a:extLst>
            <a:ext uri="{FF2B5EF4-FFF2-40B4-BE49-F238E27FC236}">
              <a16:creationId xmlns:a16="http://schemas.microsoft.com/office/drawing/2014/main" id="{41990BFA-D634-4BE5-87F5-41D1826FDFAA}"/>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572000" y="2946400"/>
          <a:ext cx="160655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16</xdr:row>
      <xdr:rowOff>0</xdr:rowOff>
    </xdr:from>
    <xdr:to>
      <xdr:col>8</xdr:col>
      <xdr:colOff>82550</xdr:colOff>
      <xdr:row>18</xdr:row>
      <xdr:rowOff>38100</xdr:rowOff>
    </xdr:to>
    <xdr:pic>
      <xdr:nvPicPr>
        <xdr:cNvPr id="2" name="Grafik 1">
          <a:extLst>
            <a:ext uri="{FF2B5EF4-FFF2-40B4-BE49-F238E27FC236}">
              <a16:creationId xmlns:a16="http://schemas.microsoft.com/office/drawing/2014/main" id="{F8836E6E-B9D6-11AA-5B47-861EFC2BA321}"/>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572000" y="3498850"/>
          <a:ext cx="160655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17</xdr:row>
      <xdr:rowOff>0</xdr:rowOff>
    </xdr:from>
    <xdr:to>
      <xdr:col>7</xdr:col>
      <xdr:colOff>82550</xdr:colOff>
      <xdr:row>19</xdr:row>
      <xdr:rowOff>38100</xdr:rowOff>
    </xdr:to>
    <xdr:pic>
      <xdr:nvPicPr>
        <xdr:cNvPr id="3" name="Grafik 2">
          <a:extLst>
            <a:ext uri="{FF2B5EF4-FFF2-40B4-BE49-F238E27FC236}">
              <a16:creationId xmlns:a16="http://schemas.microsoft.com/office/drawing/2014/main" id="{0CD13234-D7AA-0395-A6BA-451397129757}"/>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810000" y="3683000"/>
          <a:ext cx="160655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fraunhofer-my.sharepoint.com/personal/lara_josephine_barnic_iee_fraunhofer_de/Documents/A_Bearbeitung/6_Erneuerbare_Energien/6_Potenziale%20Erneuerbare%20ENergien.xlsx" TargetMode="External"/><Relationship Id="rId1" Type="http://schemas.openxmlformats.org/officeDocument/2006/relationships/externalLinkPath" Target="/personal/lara_josephine_barnic_iee_fraunhofer_de/Documents/A_Bearbeitung/6_Erneuerbare_Energien/6_Potenziale%20Erneuerbare%20ENergi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egebenheiten"/>
      <sheetName val="1_dez_LW-WP"/>
      <sheetName val="2_Geothermie"/>
      <sheetName val="2_Flusswasser-WP"/>
      <sheetName val="3_Abwärme"/>
      <sheetName val="3_Solarthermie"/>
      <sheetName val="Vgl_Temperaturniveaus"/>
    </sheetNames>
    <sheetDataSet>
      <sheetData sheetId="0">
        <row r="15">
          <cell r="A15">
            <v>1900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22647-46DC-4BEA-B55A-E3151EA806E9}">
  <dimension ref="B2:G36"/>
  <sheetViews>
    <sheetView topLeftCell="A22" zoomScale="130" zoomScaleNormal="130" workbookViewId="0">
      <selection activeCell="G34" sqref="G34"/>
    </sheetView>
  </sheetViews>
  <sheetFormatPr baseColWidth="10" defaultRowHeight="14.5" x14ac:dyDescent="0.35"/>
  <sheetData>
    <row r="2" spans="2:7" x14ac:dyDescent="0.35">
      <c r="B2">
        <v>100</v>
      </c>
      <c r="C2" t="s">
        <v>7</v>
      </c>
      <c r="D2" t="s">
        <v>8</v>
      </c>
      <c r="E2" t="s">
        <v>9</v>
      </c>
      <c r="F2" t="s">
        <v>10</v>
      </c>
      <c r="G2" t="s">
        <v>11</v>
      </c>
    </row>
    <row r="3" spans="2:7" x14ac:dyDescent="0.35">
      <c r="B3">
        <v>65</v>
      </c>
      <c r="C3" t="s">
        <v>12</v>
      </c>
      <c r="D3">
        <f>B3/1000</f>
        <v>6.5000000000000002E-2</v>
      </c>
      <c r="E3">
        <f>PI()*(3^2)</f>
        <v>28.274333882308138</v>
      </c>
      <c r="F3">
        <f>6*6</f>
        <v>36</v>
      </c>
      <c r="G3" s="4">
        <f>[1]Gegebenheiten!A15</f>
        <v>1900</v>
      </c>
    </row>
    <row r="4" spans="2:7" x14ac:dyDescent="0.35">
      <c r="B4" t="s">
        <v>34</v>
      </c>
    </row>
    <row r="6" spans="2:7" x14ac:dyDescent="0.35">
      <c r="B6" s="15" t="s">
        <v>0</v>
      </c>
      <c r="C6" s="15"/>
      <c r="D6" s="15"/>
      <c r="E6" s="15"/>
      <c r="F6" s="15"/>
      <c r="G6" s="15"/>
    </row>
    <row r="7" spans="2:7" x14ac:dyDescent="0.35">
      <c r="B7" s="1"/>
      <c r="C7" s="1" t="s">
        <v>1</v>
      </c>
      <c r="D7" s="1" t="s">
        <v>2</v>
      </c>
      <c r="E7" s="1" t="s">
        <v>3</v>
      </c>
      <c r="F7" s="1" t="s">
        <v>4</v>
      </c>
      <c r="G7" s="1" t="s">
        <v>5</v>
      </c>
    </row>
    <row r="8" spans="2:7" x14ac:dyDescent="0.35">
      <c r="B8" s="2" t="s">
        <v>6</v>
      </c>
      <c r="C8" s="10">
        <f>D35</f>
        <v>88.187925944582219</v>
      </c>
      <c r="D8" s="3">
        <f>C8/$D$3</f>
        <v>1356.7373222243418</v>
      </c>
      <c r="E8" s="5">
        <f>ROUNDUP(D8/100,0)</f>
        <v>14</v>
      </c>
      <c r="F8" s="3">
        <f>E8*$F$3</f>
        <v>504</v>
      </c>
      <c r="G8" s="6">
        <f>F8/G3</f>
        <v>0.26526315789473687</v>
      </c>
    </row>
    <row r="9" spans="2:7" x14ac:dyDescent="0.35">
      <c r="B9" s="1"/>
      <c r="C9" s="1"/>
      <c r="D9" s="1"/>
      <c r="E9" s="1" t="s">
        <v>19</v>
      </c>
      <c r="F9" s="1" t="s">
        <v>20</v>
      </c>
      <c r="G9" s="1"/>
    </row>
    <row r="10" spans="2:7" x14ac:dyDescent="0.35">
      <c r="B10" s="2" t="s">
        <v>6</v>
      </c>
      <c r="C10" s="3"/>
      <c r="D10" s="1"/>
      <c r="E10" s="7">
        <f>E15</f>
        <v>192.13</v>
      </c>
      <c r="F10" s="3">
        <f>E18</f>
        <v>101.455593468309</v>
      </c>
      <c r="G10" s="6">
        <f>F10/G3</f>
        <v>5.3397680772794213E-2</v>
      </c>
    </row>
    <row r="12" spans="2:7" x14ac:dyDescent="0.35">
      <c r="C12" t="s">
        <v>15</v>
      </c>
    </row>
    <row r="13" spans="2:7" x14ac:dyDescent="0.35">
      <c r="B13" s="2"/>
      <c r="C13" t="s">
        <v>14</v>
      </c>
    </row>
    <row r="14" spans="2:7" x14ac:dyDescent="0.35">
      <c r="C14" t="s">
        <v>16</v>
      </c>
    </row>
    <row r="15" spans="2:7" x14ac:dyDescent="0.35">
      <c r="C15" t="s">
        <v>17</v>
      </c>
      <c r="E15">
        <v>192.13</v>
      </c>
    </row>
    <row r="16" spans="2:7" x14ac:dyDescent="0.35">
      <c r="C16" t="s">
        <v>18</v>
      </c>
      <c r="G16" t="s">
        <v>23</v>
      </c>
    </row>
    <row r="17" spans="3:7" x14ac:dyDescent="0.35">
      <c r="C17" t="s">
        <v>21</v>
      </c>
      <c r="E17">
        <f>0.42*(80+273.15)/(80-10)</f>
        <v>2.1188999999999996</v>
      </c>
    </row>
    <row r="18" spans="3:7" x14ac:dyDescent="0.35">
      <c r="C18" t="s">
        <v>22</v>
      </c>
      <c r="E18">
        <f>E15*(1-1/E17)</f>
        <v>101.455593468309</v>
      </c>
    </row>
    <row r="20" spans="3:7" x14ac:dyDescent="0.35">
      <c r="C20" t="s">
        <v>41</v>
      </c>
    </row>
    <row r="21" spans="3:7" x14ac:dyDescent="0.35">
      <c r="C21" t="s">
        <v>35</v>
      </c>
    </row>
    <row r="22" spans="3:7" x14ac:dyDescent="0.35">
      <c r="C22">
        <v>20</v>
      </c>
      <c r="D22" t="s">
        <v>36</v>
      </c>
      <c r="E22" t="s">
        <v>37</v>
      </c>
      <c r="G22">
        <v>100</v>
      </c>
    </row>
    <row r="23" spans="3:7" x14ac:dyDescent="0.35">
      <c r="C23">
        <f>0.42*((273.15+77)/30)</f>
        <v>4.902099999999999</v>
      </c>
      <c r="E23" t="s">
        <v>21</v>
      </c>
    </row>
    <row r="24" spans="3:7" x14ac:dyDescent="0.35">
      <c r="C24" s="11">
        <f>C22/(1-1/C23)</f>
        <v>25.125445273058098</v>
      </c>
      <c r="D24" t="s">
        <v>36</v>
      </c>
      <c r="E24" t="s">
        <v>38</v>
      </c>
    </row>
    <row r="25" spans="3:7" x14ac:dyDescent="0.35">
      <c r="C25" t="s">
        <v>39</v>
      </c>
    </row>
    <row r="26" spans="3:7" x14ac:dyDescent="0.35">
      <c r="C26" s="9">
        <f>E15</f>
        <v>192.13</v>
      </c>
      <c r="E26" t="s">
        <v>43</v>
      </c>
    </row>
    <row r="27" spans="3:7" x14ac:dyDescent="0.35">
      <c r="C27" s="9">
        <f>C26-C24</f>
        <v>167.0045547269419</v>
      </c>
      <c r="E27" t="s">
        <v>40</v>
      </c>
    </row>
    <row r="28" spans="3:7" x14ac:dyDescent="0.35">
      <c r="C28">
        <f>E17</f>
        <v>2.1188999999999996</v>
      </c>
      <c r="E28" t="s">
        <v>44</v>
      </c>
    </row>
    <row r="29" spans="3:7" x14ac:dyDescent="0.35">
      <c r="C29" s="9">
        <f>C27*(1-1/C28)</f>
        <v>88.187925944582219</v>
      </c>
      <c r="E29" t="s">
        <v>45</v>
      </c>
    </row>
    <row r="31" spans="3:7" x14ac:dyDescent="0.35">
      <c r="C31" s="15" t="s">
        <v>51</v>
      </c>
      <c r="D31" s="15"/>
      <c r="E31" s="15"/>
    </row>
    <row r="32" spans="3:7" x14ac:dyDescent="0.35">
      <c r="C32" s="14" t="s">
        <v>49</v>
      </c>
      <c r="D32" s="14"/>
      <c r="E32" s="14" t="s">
        <v>50</v>
      </c>
    </row>
    <row r="33" spans="3:5" x14ac:dyDescent="0.35">
      <c r="C33" s="12" t="s">
        <v>42</v>
      </c>
      <c r="D33" s="11">
        <f>C24</f>
        <v>25.125445273058098</v>
      </c>
    </row>
    <row r="34" spans="3:5" x14ac:dyDescent="0.35">
      <c r="C34" s="12" t="s">
        <v>46</v>
      </c>
      <c r="D34" s="9">
        <f>C27</f>
        <v>167.0045547269419</v>
      </c>
      <c r="E34" s="9">
        <f>C26</f>
        <v>192.13</v>
      </c>
    </row>
    <row r="35" spans="3:5" x14ac:dyDescent="0.35">
      <c r="C35" s="12" t="s">
        <v>47</v>
      </c>
      <c r="D35" s="9">
        <f>C29</f>
        <v>88.187925944582219</v>
      </c>
      <c r="E35">
        <f>E18</f>
        <v>101.455593468309</v>
      </c>
    </row>
    <row r="36" spans="3:5" x14ac:dyDescent="0.35">
      <c r="C36" s="12" t="s">
        <v>48</v>
      </c>
      <c r="D36" s="13">
        <f>E8</f>
        <v>14</v>
      </c>
      <c r="E36" s="13">
        <f>E8</f>
        <v>14</v>
      </c>
    </row>
  </sheetData>
  <mergeCells count="2">
    <mergeCell ref="B6:G6"/>
    <mergeCell ref="C31:E31"/>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6A8F3-A651-4671-84A4-58275A85CCC2}">
  <dimension ref="B2:G36"/>
  <sheetViews>
    <sheetView topLeftCell="A19" zoomScale="130" zoomScaleNormal="130" workbookViewId="0">
      <selection activeCell="H29" sqref="H29"/>
    </sheetView>
  </sheetViews>
  <sheetFormatPr baseColWidth="10" defaultRowHeight="14.5" x14ac:dyDescent="0.35"/>
  <sheetData>
    <row r="2" spans="2:7" x14ac:dyDescent="0.35">
      <c r="B2">
        <v>100</v>
      </c>
      <c r="C2" t="s">
        <v>7</v>
      </c>
      <c r="D2" t="s">
        <v>8</v>
      </c>
      <c r="E2" t="s">
        <v>9</v>
      </c>
      <c r="F2" t="s">
        <v>10</v>
      </c>
      <c r="G2" t="s">
        <v>11</v>
      </c>
    </row>
    <row r="3" spans="2:7" x14ac:dyDescent="0.35">
      <c r="B3">
        <v>65</v>
      </c>
      <c r="C3" t="s">
        <v>12</v>
      </c>
      <c r="D3">
        <f>B3/1000</f>
        <v>6.5000000000000002E-2</v>
      </c>
      <c r="E3">
        <f>PI()*(3^2)</f>
        <v>28.274333882308138</v>
      </c>
      <c r="F3">
        <f>6*6</f>
        <v>36</v>
      </c>
      <c r="G3" s="4">
        <f>[1]Gegebenheiten!A15</f>
        <v>1900</v>
      </c>
    </row>
    <row r="4" spans="2:7" x14ac:dyDescent="0.35">
      <c r="B4" t="s">
        <v>34</v>
      </c>
    </row>
    <row r="6" spans="2:7" x14ac:dyDescent="0.35">
      <c r="B6" s="15" t="s">
        <v>0</v>
      </c>
      <c r="C6" s="15"/>
      <c r="D6" s="15"/>
      <c r="E6" s="15"/>
      <c r="F6" s="15"/>
      <c r="G6" s="15"/>
    </row>
    <row r="7" spans="2:7" x14ac:dyDescent="0.35">
      <c r="B7" s="1"/>
      <c r="C7" s="1" t="s">
        <v>1</v>
      </c>
      <c r="D7" s="1" t="s">
        <v>2</v>
      </c>
      <c r="E7" s="1" t="s">
        <v>3</v>
      </c>
      <c r="F7" s="1" t="s">
        <v>4</v>
      </c>
      <c r="G7" s="1" t="s">
        <v>5</v>
      </c>
    </row>
    <row r="8" spans="2:7" x14ac:dyDescent="0.35">
      <c r="B8" s="2" t="s">
        <v>6</v>
      </c>
      <c r="C8" s="10">
        <f>D35</f>
        <v>94.821759706445604</v>
      </c>
      <c r="D8" s="3">
        <f>C8/$D$3</f>
        <v>1458.7963031760862</v>
      </c>
      <c r="E8" s="5">
        <f>ROUNDUP(D8/100,0)</f>
        <v>15</v>
      </c>
      <c r="F8" s="3">
        <f>E8*$F$3</f>
        <v>540</v>
      </c>
      <c r="G8" s="6">
        <f>F8/G3</f>
        <v>0.28421052631578947</v>
      </c>
    </row>
    <row r="9" spans="2:7" x14ac:dyDescent="0.35">
      <c r="B9" s="1"/>
      <c r="C9" s="1"/>
      <c r="D9" s="1"/>
      <c r="E9" s="1" t="s">
        <v>19</v>
      </c>
      <c r="F9" s="1" t="s">
        <v>20</v>
      </c>
      <c r="G9" s="1"/>
    </row>
    <row r="10" spans="2:7" x14ac:dyDescent="0.35">
      <c r="B10" s="2" t="s">
        <v>6</v>
      </c>
      <c r="C10" s="3"/>
      <c r="D10" s="1"/>
      <c r="E10" s="7">
        <f>E15</f>
        <v>192.13</v>
      </c>
      <c r="F10" s="3">
        <f>E18</f>
        <v>101.455593468309</v>
      </c>
      <c r="G10" s="6">
        <f>F10/G3</f>
        <v>5.3397680772794213E-2</v>
      </c>
    </row>
    <row r="12" spans="2:7" x14ac:dyDescent="0.35">
      <c r="C12" t="s">
        <v>15</v>
      </c>
    </row>
    <row r="13" spans="2:7" x14ac:dyDescent="0.35">
      <c r="B13" s="2"/>
      <c r="C13" t="s">
        <v>14</v>
      </c>
    </row>
    <row r="14" spans="2:7" x14ac:dyDescent="0.35">
      <c r="C14" t="s">
        <v>16</v>
      </c>
    </row>
    <row r="15" spans="2:7" x14ac:dyDescent="0.35">
      <c r="C15" t="s">
        <v>17</v>
      </c>
      <c r="E15">
        <v>192.13</v>
      </c>
    </row>
    <row r="16" spans="2:7" x14ac:dyDescent="0.35">
      <c r="C16" t="s">
        <v>18</v>
      </c>
      <c r="G16" t="s">
        <v>23</v>
      </c>
    </row>
    <row r="17" spans="3:7" x14ac:dyDescent="0.35">
      <c r="C17" t="s">
        <v>21</v>
      </c>
      <c r="E17">
        <f>0.42*(80+273.15)/(80-10)</f>
        <v>2.1188999999999996</v>
      </c>
    </row>
    <row r="18" spans="3:7" x14ac:dyDescent="0.35">
      <c r="C18" t="s">
        <v>22</v>
      </c>
      <c r="E18">
        <f>E15*(1-1/E17)</f>
        <v>101.455593468309</v>
      </c>
    </row>
    <row r="20" spans="3:7" x14ac:dyDescent="0.35">
      <c r="C20" t="s">
        <v>41</v>
      </c>
    </row>
    <row r="21" spans="3:7" x14ac:dyDescent="0.35">
      <c r="C21" t="s">
        <v>35</v>
      </c>
    </row>
    <row r="22" spans="3:7" x14ac:dyDescent="0.35">
      <c r="C22">
        <v>10</v>
      </c>
      <c r="D22" t="s">
        <v>36</v>
      </c>
      <c r="E22" t="s">
        <v>37</v>
      </c>
      <c r="G22">
        <v>100</v>
      </c>
    </row>
    <row r="23" spans="3:7" x14ac:dyDescent="0.35">
      <c r="C23">
        <f>0.42*((273.15+77)/30)</f>
        <v>4.902099999999999</v>
      </c>
      <c r="E23" t="s">
        <v>21</v>
      </c>
    </row>
    <row r="24" spans="3:7" x14ac:dyDescent="0.35">
      <c r="C24" s="11">
        <f>C22/(1-1/C23)</f>
        <v>12.562722636529049</v>
      </c>
      <c r="D24" t="s">
        <v>36</v>
      </c>
      <c r="E24" t="s">
        <v>38</v>
      </c>
    </row>
    <row r="25" spans="3:7" x14ac:dyDescent="0.35">
      <c r="C25" t="s">
        <v>39</v>
      </c>
    </row>
    <row r="26" spans="3:7" x14ac:dyDescent="0.35">
      <c r="C26" s="9">
        <f>E15</f>
        <v>192.13</v>
      </c>
      <c r="E26" t="s">
        <v>43</v>
      </c>
    </row>
    <row r="27" spans="3:7" x14ac:dyDescent="0.35">
      <c r="C27" s="9">
        <f>C26-C24</f>
        <v>179.56727736347094</v>
      </c>
      <c r="E27" t="s">
        <v>40</v>
      </c>
    </row>
    <row r="28" spans="3:7" x14ac:dyDescent="0.35">
      <c r="C28">
        <f>E17</f>
        <v>2.1188999999999996</v>
      </c>
      <c r="E28" t="s">
        <v>44</v>
      </c>
    </row>
    <row r="29" spans="3:7" x14ac:dyDescent="0.35">
      <c r="C29" s="9">
        <f>C27*(1-1/C28)</f>
        <v>94.821759706445604</v>
      </c>
      <c r="E29" t="s">
        <v>45</v>
      </c>
    </row>
    <row r="31" spans="3:7" x14ac:dyDescent="0.35">
      <c r="C31" s="15" t="s">
        <v>51</v>
      </c>
      <c r="D31" s="15"/>
      <c r="E31" s="15"/>
    </row>
    <row r="32" spans="3:7" x14ac:dyDescent="0.35">
      <c r="C32" s="14" t="s">
        <v>49</v>
      </c>
      <c r="D32" s="14"/>
      <c r="E32" s="14" t="s">
        <v>50</v>
      </c>
    </row>
    <row r="33" spans="3:5" x14ac:dyDescent="0.35">
      <c r="C33" s="12" t="s">
        <v>42</v>
      </c>
      <c r="D33" s="11">
        <f>C24</f>
        <v>12.562722636529049</v>
      </c>
    </row>
    <row r="34" spans="3:5" x14ac:dyDescent="0.35">
      <c r="C34" s="12" t="s">
        <v>46</v>
      </c>
      <c r="D34" s="9">
        <f>C27</f>
        <v>179.56727736347094</v>
      </c>
      <c r="E34" s="9">
        <f>C26</f>
        <v>192.13</v>
      </c>
    </row>
    <row r="35" spans="3:5" x14ac:dyDescent="0.35">
      <c r="C35" s="12" t="s">
        <v>47</v>
      </c>
      <c r="D35" s="9">
        <f>C29</f>
        <v>94.821759706445604</v>
      </c>
      <c r="E35">
        <f>E18</f>
        <v>101.455593468309</v>
      </c>
    </row>
    <row r="36" spans="3:5" x14ac:dyDescent="0.35">
      <c r="C36" s="12" t="s">
        <v>48</v>
      </c>
      <c r="D36" s="13">
        <f>E8</f>
        <v>15</v>
      </c>
      <c r="E36" s="13">
        <f>E8</f>
        <v>15</v>
      </c>
    </row>
  </sheetData>
  <mergeCells count="2">
    <mergeCell ref="B6:G6"/>
    <mergeCell ref="C31:E31"/>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EF7BC-99B7-4564-A04A-EEEFE789855D}">
  <dimension ref="B2:G36"/>
  <sheetViews>
    <sheetView tabSelected="1" topLeftCell="A10" zoomScale="130" zoomScaleNormal="130" workbookViewId="0">
      <selection activeCell="F19" sqref="F19"/>
    </sheetView>
  </sheetViews>
  <sheetFormatPr baseColWidth="10" defaultRowHeight="14.5" x14ac:dyDescent="0.35"/>
  <sheetData>
    <row r="2" spans="2:7" x14ac:dyDescent="0.35">
      <c r="B2">
        <v>100</v>
      </c>
      <c r="C2" t="s">
        <v>7</v>
      </c>
      <c r="D2" t="s">
        <v>8</v>
      </c>
      <c r="E2" t="s">
        <v>9</v>
      </c>
      <c r="F2" t="s">
        <v>10</v>
      </c>
      <c r="G2" t="s">
        <v>11</v>
      </c>
    </row>
    <row r="3" spans="2:7" x14ac:dyDescent="0.35">
      <c r="B3">
        <v>65</v>
      </c>
      <c r="C3" t="s">
        <v>12</v>
      </c>
      <c r="D3">
        <f>B3/1000</f>
        <v>6.5000000000000002E-2</v>
      </c>
      <c r="E3">
        <f>PI()*(3^2)</f>
        <v>28.274333882308138</v>
      </c>
      <c r="F3">
        <f>6*6</f>
        <v>36</v>
      </c>
      <c r="G3" s="4">
        <f>[1]Gegebenheiten!A15</f>
        <v>1900</v>
      </c>
    </row>
    <row r="4" spans="2:7" x14ac:dyDescent="0.35">
      <c r="B4" t="s">
        <v>34</v>
      </c>
    </row>
    <row r="6" spans="2:7" x14ac:dyDescent="0.35">
      <c r="B6" s="15" t="s">
        <v>0</v>
      </c>
      <c r="C6" s="15"/>
      <c r="D6" s="15"/>
      <c r="E6" s="15"/>
      <c r="F6" s="15"/>
      <c r="G6" s="15"/>
    </row>
    <row r="7" spans="2:7" x14ac:dyDescent="0.35">
      <c r="B7" s="1"/>
      <c r="C7" s="1" t="s">
        <v>1</v>
      </c>
      <c r="D7" s="1" t="s">
        <v>2</v>
      </c>
      <c r="E7" s="1" t="s">
        <v>3</v>
      </c>
      <c r="F7" s="1" t="s">
        <v>4</v>
      </c>
      <c r="G7" s="1" t="s">
        <v>5</v>
      </c>
    </row>
    <row r="8" spans="2:7" x14ac:dyDescent="0.35">
      <c r="B8" s="2" t="s">
        <v>6</v>
      </c>
      <c r="C8" s="10">
        <f>D35</f>
        <v>98.954638140086502</v>
      </c>
      <c r="D8" s="3">
        <f>C8/$D$3</f>
        <v>1522.3790483090231</v>
      </c>
      <c r="E8" s="5">
        <f>ROUNDUP(D8/100,0)</f>
        <v>16</v>
      </c>
      <c r="F8" s="3">
        <f>E8*$F$3</f>
        <v>576</v>
      </c>
      <c r="G8" s="6">
        <f>F8/G3</f>
        <v>0.30315789473684213</v>
      </c>
    </row>
    <row r="9" spans="2:7" x14ac:dyDescent="0.35">
      <c r="B9" s="1"/>
      <c r="C9" s="1"/>
      <c r="D9" s="1"/>
      <c r="E9" s="1" t="s">
        <v>19</v>
      </c>
      <c r="F9" s="1" t="s">
        <v>20</v>
      </c>
      <c r="G9" s="1"/>
    </row>
    <row r="10" spans="2:7" x14ac:dyDescent="0.35">
      <c r="B10" s="2" t="s">
        <v>6</v>
      </c>
      <c r="C10" s="3"/>
      <c r="D10" s="1"/>
      <c r="E10" s="7">
        <f>E15</f>
        <v>192.13</v>
      </c>
      <c r="F10" s="3">
        <f>E18</f>
        <v>101.455593468309</v>
      </c>
      <c r="G10" s="6">
        <f>F10/G3</f>
        <v>5.3397680772794213E-2</v>
      </c>
    </row>
    <row r="12" spans="2:7" x14ac:dyDescent="0.35">
      <c r="C12" t="s">
        <v>15</v>
      </c>
    </row>
    <row r="13" spans="2:7" x14ac:dyDescent="0.35">
      <c r="B13" s="2"/>
      <c r="C13" t="s">
        <v>14</v>
      </c>
    </row>
    <row r="14" spans="2:7" x14ac:dyDescent="0.35">
      <c r="C14" t="s">
        <v>16</v>
      </c>
    </row>
    <row r="15" spans="2:7" x14ac:dyDescent="0.35">
      <c r="C15" t="s">
        <v>17</v>
      </c>
      <c r="E15">
        <v>192.13</v>
      </c>
    </row>
    <row r="16" spans="2:7" x14ac:dyDescent="0.35">
      <c r="C16" t="s">
        <v>18</v>
      </c>
      <c r="G16" t="s">
        <v>23</v>
      </c>
    </row>
    <row r="17" spans="3:6" x14ac:dyDescent="0.35">
      <c r="C17" t="s">
        <v>21</v>
      </c>
      <c r="E17">
        <f>0.42*(80+273.15)/(80-10)</f>
        <v>2.1188999999999996</v>
      </c>
    </row>
    <row r="18" spans="3:6" x14ac:dyDescent="0.35">
      <c r="C18" t="s">
        <v>22</v>
      </c>
      <c r="E18">
        <f>E15*(1-1/E17)</f>
        <v>101.455593468309</v>
      </c>
    </row>
    <row r="20" spans="3:6" x14ac:dyDescent="0.35">
      <c r="C20" t="s">
        <v>41</v>
      </c>
    </row>
    <row r="21" spans="3:6" x14ac:dyDescent="0.35">
      <c r="C21" t="s">
        <v>35</v>
      </c>
    </row>
    <row r="22" spans="3:6" x14ac:dyDescent="0.35">
      <c r="C22">
        <v>3.77</v>
      </c>
      <c r="D22" t="s">
        <v>36</v>
      </c>
      <c r="E22" t="s">
        <v>37</v>
      </c>
      <c r="F22" t="s">
        <v>52</v>
      </c>
    </row>
    <row r="23" spans="3:6" x14ac:dyDescent="0.35">
      <c r="C23">
        <f>0.42*((273.15+77)/30)</f>
        <v>4.902099999999999</v>
      </c>
      <c r="E23" t="s">
        <v>21</v>
      </c>
    </row>
    <row r="24" spans="3:6" x14ac:dyDescent="0.35">
      <c r="C24" s="11">
        <f>C22/(1-1/C23)</f>
        <v>4.7361464339714514</v>
      </c>
      <c r="D24" t="s">
        <v>36</v>
      </c>
      <c r="E24" t="s">
        <v>38</v>
      </c>
    </row>
    <row r="25" spans="3:6" x14ac:dyDescent="0.35">
      <c r="C25" t="s">
        <v>39</v>
      </c>
    </row>
    <row r="26" spans="3:6" x14ac:dyDescent="0.35">
      <c r="C26" s="9">
        <f>E15</f>
        <v>192.13</v>
      </c>
      <c r="E26" t="s">
        <v>43</v>
      </c>
    </row>
    <row r="27" spans="3:6" x14ac:dyDescent="0.35">
      <c r="C27" s="9">
        <f>C26-C24</f>
        <v>187.39385356602855</v>
      </c>
      <c r="E27" t="s">
        <v>40</v>
      </c>
    </row>
    <row r="28" spans="3:6" x14ac:dyDescent="0.35">
      <c r="C28">
        <f>E17</f>
        <v>2.1188999999999996</v>
      </c>
      <c r="E28" t="s">
        <v>44</v>
      </c>
    </row>
    <row r="29" spans="3:6" x14ac:dyDescent="0.35">
      <c r="C29" s="9">
        <f>C27*(1-1/C28)</f>
        <v>98.954638140086502</v>
      </c>
      <c r="E29" t="s">
        <v>45</v>
      </c>
    </row>
    <row r="31" spans="3:6" x14ac:dyDescent="0.35">
      <c r="C31" s="15" t="s">
        <v>51</v>
      </c>
      <c r="D31" s="15"/>
      <c r="E31" s="15"/>
    </row>
    <row r="32" spans="3:6" x14ac:dyDescent="0.35">
      <c r="C32" s="14" t="s">
        <v>49</v>
      </c>
      <c r="D32" s="14"/>
      <c r="E32" s="14" t="s">
        <v>50</v>
      </c>
    </row>
    <row r="33" spans="3:5" x14ac:dyDescent="0.35">
      <c r="C33" s="12" t="s">
        <v>42</v>
      </c>
      <c r="D33" s="11">
        <f>C24</f>
        <v>4.7361464339714514</v>
      </c>
    </row>
    <row r="34" spans="3:5" x14ac:dyDescent="0.35">
      <c r="C34" s="12" t="s">
        <v>46</v>
      </c>
      <c r="D34" s="9">
        <f>C27</f>
        <v>187.39385356602855</v>
      </c>
      <c r="E34" s="9">
        <f>C26</f>
        <v>192.13</v>
      </c>
    </row>
    <row r="35" spans="3:5" x14ac:dyDescent="0.35">
      <c r="C35" s="12" t="s">
        <v>47</v>
      </c>
      <c r="D35" s="9">
        <f>C29</f>
        <v>98.954638140086502</v>
      </c>
      <c r="E35">
        <f>E18</f>
        <v>101.455593468309</v>
      </c>
    </row>
    <row r="36" spans="3:5" x14ac:dyDescent="0.35">
      <c r="C36" s="12" t="s">
        <v>48</v>
      </c>
      <c r="D36" s="13">
        <f>E8</f>
        <v>16</v>
      </c>
      <c r="E36" s="13">
        <f>E8</f>
        <v>16</v>
      </c>
    </row>
  </sheetData>
  <mergeCells count="2">
    <mergeCell ref="B6:G6"/>
    <mergeCell ref="C31:E31"/>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B7E8-012A-43E5-B53F-57E4FF070CEB}">
  <dimension ref="B2:K25"/>
  <sheetViews>
    <sheetView topLeftCell="A10" zoomScale="130" zoomScaleNormal="130" workbookViewId="0">
      <selection activeCell="D18" sqref="D18"/>
    </sheetView>
  </sheetViews>
  <sheetFormatPr baseColWidth="10" defaultRowHeight="14.5" x14ac:dyDescent="0.35"/>
  <cols>
    <col min="11" max="11" width="16.08984375" bestFit="1" customWidth="1"/>
  </cols>
  <sheetData>
    <row r="2" spans="2:7" x14ac:dyDescent="0.35">
      <c r="B2">
        <v>100</v>
      </c>
      <c r="C2" t="s">
        <v>7</v>
      </c>
      <c r="D2" t="s">
        <v>8</v>
      </c>
      <c r="E2" t="s">
        <v>9</v>
      </c>
      <c r="F2" t="s">
        <v>10</v>
      </c>
      <c r="G2" t="s">
        <v>11</v>
      </c>
    </row>
    <row r="3" spans="2:7" x14ac:dyDescent="0.35">
      <c r="B3">
        <v>65</v>
      </c>
      <c r="C3" t="s">
        <v>12</v>
      </c>
      <c r="D3">
        <f>B3/1000</f>
        <v>6.5000000000000002E-2</v>
      </c>
      <c r="E3">
        <f>PI()*(3^2)</f>
        <v>28.274333882308138</v>
      </c>
      <c r="F3">
        <f>6*6</f>
        <v>36</v>
      </c>
      <c r="G3" s="4">
        <f>[1]Gegebenheiten!A15</f>
        <v>1900</v>
      </c>
    </row>
    <row r="4" spans="2:7" x14ac:dyDescent="0.35">
      <c r="B4" t="s">
        <v>13</v>
      </c>
    </row>
    <row r="6" spans="2:7" x14ac:dyDescent="0.35">
      <c r="B6" s="15" t="s">
        <v>0</v>
      </c>
      <c r="C6" s="15"/>
      <c r="D6" s="15"/>
      <c r="E6" s="15"/>
      <c r="F6" s="15"/>
      <c r="G6" s="15"/>
    </row>
    <row r="7" spans="2:7" x14ac:dyDescent="0.35">
      <c r="B7" s="1"/>
      <c r="C7" s="1" t="s">
        <v>1</v>
      </c>
      <c r="D7" s="1" t="s">
        <v>2</v>
      </c>
      <c r="E7" s="1" t="s">
        <v>3</v>
      </c>
      <c r="F7" s="1" t="s">
        <v>4</v>
      </c>
      <c r="G7" s="1" t="s">
        <v>5</v>
      </c>
    </row>
    <row r="8" spans="2:7" x14ac:dyDescent="0.35">
      <c r="B8" s="2" t="s">
        <v>24</v>
      </c>
      <c r="C8" s="10">
        <f>F10</f>
        <v>82.6</v>
      </c>
      <c r="D8" s="3">
        <f>C8/$D$3</f>
        <v>1270.7692307692307</v>
      </c>
      <c r="E8" s="5">
        <f>ROUNDUP(D8/100,0)</f>
        <v>13</v>
      </c>
      <c r="F8" s="3">
        <f>E8*$F$3</f>
        <v>468</v>
      </c>
      <c r="G8" s="6">
        <f>F8/G3</f>
        <v>0.24631578947368421</v>
      </c>
    </row>
    <row r="9" spans="2:7" x14ac:dyDescent="0.35">
      <c r="B9" s="1"/>
      <c r="C9" s="1"/>
      <c r="D9" s="1"/>
      <c r="E9" s="1"/>
      <c r="F9" s="1" t="s">
        <v>20</v>
      </c>
      <c r="G9" s="1"/>
    </row>
    <row r="10" spans="2:7" x14ac:dyDescent="0.35">
      <c r="B10" s="2" t="s">
        <v>24</v>
      </c>
      <c r="C10" s="3"/>
      <c r="D10" s="1"/>
      <c r="E10" s="7"/>
      <c r="F10" s="5">
        <v>82.6</v>
      </c>
      <c r="G10" s="6">
        <f>F10/G3</f>
        <v>4.347368421052631E-2</v>
      </c>
    </row>
    <row r="12" spans="2:7" x14ac:dyDescent="0.35">
      <c r="C12" t="s">
        <v>15</v>
      </c>
    </row>
    <row r="13" spans="2:7" x14ac:dyDescent="0.35">
      <c r="B13" s="2"/>
      <c r="C13" t="s">
        <v>25</v>
      </c>
    </row>
    <row r="15" spans="2:7" x14ac:dyDescent="0.35">
      <c r="C15" t="s">
        <v>18</v>
      </c>
    </row>
    <row r="16" spans="2:7" x14ac:dyDescent="0.35">
      <c r="G16" t="s">
        <v>23</v>
      </c>
    </row>
    <row r="17" spans="2:11" x14ac:dyDescent="0.35">
      <c r="C17" t="s">
        <v>26</v>
      </c>
      <c r="K17" s="8"/>
    </row>
    <row r="18" spans="2:11" x14ac:dyDescent="0.35">
      <c r="B18" t="s">
        <v>30</v>
      </c>
      <c r="C18" t="s">
        <v>21</v>
      </c>
      <c r="D18" s="9">
        <f>0.42*(63+273.15)/(63-10)</f>
        <v>2.663830188679245</v>
      </c>
      <c r="K18" s="8"/>
    </row>
    <row r="19" spans="2:11" x14ac:dyDescent="0.35">
      <c r="B19" t="s">
        <v>29</v>
      </c>
      <c r="C19" t="s">
        <v>21</v>
      </c>
      <c r="D19" s="9">
        <f>0.42*(58+273.15)/(58-10)</f>
        <v>2.8975624999999998</v>
      </c>
      <c r="K19" s="8"/>
    </row>
    <row r="20" spans="2:11" x14ac:dyDescent="0.35">
      <c r="B20" t="s">
        <v>31</v>
      </c>
      <c r="C20" t="s">
        <v>21</v>
      </c>
      <c r="D20" s="9">
        <f t="shared" ref="D20" si="0">0.42*(63+273.15)/(63-10)</f>
        <v>2.663830188679245</v>
      </c>
      <c r="K20" s="8"/>
    </row>
    <row r="21" spans="2:11" x14ac:dyDescent="0.35">
      <c r="B21" t="s">
        <v>32</v>
      </c>
      <c r="C21" t="s">
        <v>21</v>
      </c>
      <c r="D21" s="9">
        <f>0.42*(64+273.15)/(64-10)</f>
        <v>2.6222777777777773</v>
      </c>
    </row>
    <row r="23" spans="2:11" x14ac:dyDescent="0.35">
      <c r="C23" t="s">
        <v>27</v>
      </c>
    </row>
    <row r="24" spans="2:11" x14ac:dyDescent="0.35">
      <c r="C24" t="s">
        <v>33</v>
      </c>
    </row>
    <row r="25" spans="2:11" x14ac:dyDescent="0.35">
      <c r="C25" t="s">
        <v>28</v>
      </c>
    </row>
  </sheetData>
  <mergeCells count="1">
    <mergeCell ref="B6:G6"/>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NT WN_12_5</vt:lpstr>
      <vt:lpstr>NT WN_10</vt:lpstr>
      <vt:lpstr>NT WN_3,77</vt:lpstr>
      <vt:lpstr>K_NW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Barnic, Lara Joséphine</dc:creator>
  <cp:lastModifiedBy>Barnic, Lara Joséphine</cp:lastModifiedBy>
  <dcterms:created xsi:type="dcterms:W3CDTF">2024-12-31T12:34:11Z</dcterms:created>
  <dcterms:modified xsi:type="dcterms:W3CDTF">2025-01-09T18:50:54Z</dcterms:modified>
</cp:coreProperties>
</file>