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kaltes_Nahwaermenetz/9_1_2_Kosten/"/>
    </mc:Choice>
  </mc:AlternateContent>
  <xr:revisionPtr revIDLastSave="1590" documentId="11_AD4DB114E441178AC67DF4879E90C19A693EDF21" xr6:coauthVersionLast="47" xr6:coauthVersionMax="47" xr10:uidLastSave="{A70A135D-9F69-4719-B601-A4E89238FEEE}"/>
  <bookViews>
    <workbookView xWindow="-110" yWindow="-110" windowWidth="19420" windowHeight="10300" firstSheet="2" activeTab="5" xr2:uid="{00000000-000D-0000-FFFF-FFFF00000000}"/>
  </bookViews>
  <sheets>
    <sheet name="Zusammenfassung" sheetId="8" r:id="rId1"/>
    <sheet name="Ergebnisse_Netzstrombedarfe" sheetId="10" r:id="rId2"/>
    <sheet name="Allgemeine Parameter" sheetId="4" r:id="rId3"/>
    <sheet name="Kostenposten_8.2.2" sheetId="9" r:id="rId4"/>
    <sheet name="dezentral" sheetId="1" r:id="rId5"/>
    <sheet name="kalte NW" sheetId="7" r:id="rId6"/>
    <sheet name="NT-WN" sheetId="6" r:id="rId7"/>
  </sheets>
  <externalReferences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7" l="1"/>
  <c r="F14" i="4"/>
  <c r="F8" i="8"/>
  <c r="H32" i="9"/>
  <c r="G32" i="9"/>
  <c r="M14" i="4" l="1"/>
  <c r="M17" i="4" s="1"/>
  <c r="L14" i="4"/>
  <c r="L17" i="4" s="1"/>
  <c r="K14" i="4"/>
  <c r="K17" i="4" s="1"/>
  <c r="F23" i="4"/>
  <c r="E14" i="4"/>
  <c r="E17" i="4" s="1"/>
  <c r="F38" i="4" l="1"/>
  <c r="F30" i="4"/>
  <c r="F22" i="4"/>
  <c r="F29" i="4"/>
  <c r="F36" i="4"/>
  <c r="F19" i="4"/>
  <c r="F34" i="4"/>
  <c r="F26" i="4"/>
  <c r="F18" i="4"/>
  <c r="F17" i="4"/>
  <c r="F33" i="4"/>
  <c r="F25" i="4"/>
  <c r="F28" i="4"/>
  <c r="F35" i="4"/>
  <c r="F32" i="4"/>
  <c r="F24" i="4"/>
  <c r="F37" i="4"/>
  <c r="F21" i="4"/>
  <c r="F20" i="4"/>
  <c r="F27" i="4"/>
  <c r="F31" i="4"/>
  <c r="D14" i="4"/>
  <c r="D17" i="4" s="1"/>
  <c r="C35" i="7"/>
  <c r="C31" i="1"/>
  <c r="D10" i="7"/>
  <c r="C11" i="8"/>
  <c r="C10" i="8"/>
  <c r="B11" i="8"/>
  <c r="B10" i="8"/>
  <c r="A9" i="9"/>
  <c r="A3" i="9" a="1"/>
  <c r="A3" i="9" s="1"/>
  <c r="C35" i="1"/>
  <c r="C33" i="6"/>
  <c r="C32" i="6"/>
  <c r="C23" i="4"/>
  <c r="C24" i="4"/>
  <c r="C25" i="4"/>
  <c r="C26" i="4"/>
  <c r="C28" i="4"/>
  <c r="C29" i="4"/>
  <c r="C30" i="4" s="1"/>
  <c r="C31" i="4" s="1"/>
  <c r="C34" i="4"/>
  <c r="C35" i="4"/>
  <c r="C36" i="4"/>
  <c r="C37" i="4"/>
  <c r="D6" i="6"/>
  <c r="D6" i="1"/>
  <c r="D14" i="8" l="1"/>
  <c r="C14" i="8"/>
  <c r="B14" i="8"/>
  <c r="C10" i="7" l="1"/>
  <c r="D9" i="7"/>
  <c r="C9" i="7" s="1"/>
  <c r="O22" i="7"/>
  <c r="I23" i="1"/>
  <c r="I25" i="6"/>
  <c r="I26" i="6"/>
  <c r="I28" i="6" s="1"/>
  <c r="C36" i="6" s="1"/>
  <c r="I24" i="1"/>
  <c r="I26" i="1" s="1"/>
  <c r="C14" i="6"/>
  <c r="C11" i="6"/>
  <c r="D10" i="6"/>
  <c r="C10" i="6" s="1"/>
  <c r="D9" i="6"/>
  <c r="C13" i="6" l="1"/>
  <c r="C9" i="6"/>
  <c r="C19" i="7" l="1"/>
  <c r="C18" i="7"/>
  <c r="C17" i="7"/>
  <c r="C16" i="7"/>
  <c r="C6" i="7"/>
  <c r="C16" i="6"/>
  <c r="C6" i="6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C34" i="6" l="1"/>
  <c r="B22" i="7"/>
  <c r="C37" i="7"/>
  <c r="C28" i="6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38" i="4"/>
  <c r="M35" i="4"/>
  <c r="K33" i="4"/>
  <c r="L30" i="4"/>
  <c r="M27" i="4"/>
  <c r="L22" i="4"/>
  <c r="M19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F44" i="4"/>
  <c r="F45" i="4"/>
  <c r="F46" i="4"/>
  <c r="F43" i="4"/>
  <c r="D44" i="4"/>
  <c r="D45" i="4"/>
  <c r="D46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8" i="4"/>
  <c r="E19" i="4"/>
  <c r="E20" i="4"/>
  <c r="E21" i="4"/>
  <c r="E22" i="4"/>
  <c r="E27" i="4"/>
  <c r="E32" i="4"/>
  <c r="E33" i="4"/>
  <c r="E38" i="4"/>
  <c r="E43" i="4"/>
  <c r="E37" i="4"/>
  <c r="D31" i="4"/>
  <c r="C6" i="1"/>
  <c r="C33" i="1" s="1"/>
  <c r="C13" i="1"/>
  <c r="C14" i="1"/>
  <c r="C15" i="1"/>
  <c r="C12" i="1"/>
  <c r="E24" i="4" l="1"/>
  <c r="D26" i="4"/>
  <c r="E23" i="4"/>
  <c r="D25" i="4"/>
  <c r="E34" i="4"/>
  <c r="E26" i="4"/>
  <c r="E25" i="4"/>
  <c r="D30" i="4"/>
  <c r="D36" i="4"/>
  <c r="D28" i="4"/>
  <c r="D37" i="4"/>
  <c r="L40" i="4"/>
  <c r="L41" i="4" s="1"/>
  <c r="E29" i="4"/>
  <c r="E31" i="4"/>
  <c r="D35" i="4"/>
  <c r="E30" i="4"/>
  <c r="E36" i="4"/>
  <c r="E28" i="4"/>
  <c r="D24" i="4"/>
  <c r="M40" i="4"/>
  <c r="M41" i="4" s="1"/>
  <c r="K40" i="4"/>
  <c r="K41" i="4" s="1"/>
  <c r="D29" i="4"/>
  <c r="D34" i="4"/>
  <c r="E35" i="4"/>
  <c r="D23" i="4"/>
  <c r="C26" i="1"/>
  <c r="C9" i="4" l="1" a="1"/>
  <c r="D40" i="4"/>
  <c r="E40" i="4"/>
  <c r="F40" i="4"/>
  <c r="C9" i="4" l="1"/>
  <c r="C8" i="4" a="1"/>
  <c r="L5" i="6" s="1" a="1"/>
  <c r="L5" i="6" s="1"/>
  <c r="C8" i="4" l="1"/>
  <c r="L5" i="7" a="1"/>
  <c r="L5" i="7" s="1"/>
  <c r="L32" i="7" s="1"/>
  <c r="L28" i="6"/>
  <c r="C35" i="6" s="1"/>
  <c r="C13" i="7"/>
  <c r="H11" i="7" s="1"/>
  <c r="I11" i="7" s="1"/>
  <c r="I29" i="7" s="1"/>
  <c r="I30" i="7" s="1"/>
  <c r="I32" i="7" s="1"/>
  <c r="C39" i="7" s="1"/>
  <c r="B28" i="6" l="1"/>
  <c r="C5" i="8" s="1"/>
  <c r="C38" i="6"/>
  <c r="D2" i="9" s="1" a="1"/>
  <c r="L30" i="6"/>
  <c r="L31" i="6" s="1"/>
  <c r="L32" i="6" s="1"/>
  <c r="C38" i="7"/>
  <c r="L5" i="1" a="1"/>
  <c r="L5" i="1" s="1"/>
  <c r="L26" i="1" s="1"/>
  <c r="C32" i="7"/>
  <c r="B32" i="7" s="1"/>
  <c r="C36" i="7"/>
  <c r="C34" i="1" l="1"/>
  <c r="C37" i="1" s="1"/>
  <c r="B2" i="9" s="1" a="1"/>
  <c r="B2" i="9" s="1"/>
  <c r="B26" i="1"/>
  <c r="B5" i="8" s="1"/>
  <c r="D2" i="9"/>
  <c r="C12" i="9"/>
  <c r="K3" i="9"/>
  <c r="K5" i="9"/>
  <c r="K7" i="9"/>
  <c r="K6" i="9"/>
  <c r="K4" i="9"/>
  <c r="C2" i="8"/>
  <c r="C41" i="7"/>
  <c r="C2" i="9" s="1" a="1"/>
  <c r="D5" i="8"/>
  <c r="B2" i="8" l="1"/>
  <c r="B15" i="8" s="1"/>
  <c r="B7" i="8"/>
  <c r="B8" i="8" s="1"/>
  <c r="D2" i="8"/>
  <c r="F7" i="8" s="1"/>
  <c r="D7" i="8"/>
  <c r="D8" i="8" s="1"/>
  <c r="C35" i="9" a="1"/>
  <c r="C35" i="9" s="1"/>
  <c r="I7" i="9"/>
  <c r="I6" i="9"/>
  <c r="I3" i="9"/>
  <c r="I5" i="9"/>
  <c r="I4" i="9"/>
  <c r="B12" i="9"/>
  <c r="K9" i="9"/>
  <c r="C15" i="8"/>
  <c r="K4" i="8"/>
  <c r="C2" i="9"/>
  <c r="C10" i="9"/>
  <c r="J3" i="9"/>
  <c r="J5" i="9"/>
  <c r="D12" i="9"/>
  <c r="J6" i="9"/>
  <c r="J7" i="9"/>
  <c r="J4" i="9"/>
  <c r="K3" i="8" l="1"/>
  <c r="N3" i="8" s="1"/>
  <c r="K5" i="8"/>
  <c r="M5" i="8" s="1"/>
  <c r="D15" i="8"/>
  <c r="I9" i="9"/>
  <c r="J9" i="9"/>
  <c r="M3" i="8" l="1"/>
  <c r="N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<sst xmlns="http://schemas.openxmlformats.org/spreadsheetml/2006/main" count="319" uniqueCount="128">
  <si>
    <t>Investitionskosten</t>
  </si>
  <si>
    <t>Kosten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</si>
  <si>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</si>
  <si>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</si>
  <si>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</si>
  <si>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</si>
  <si>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</si>
  <si>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</si>
  <si>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</si>
  <si>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</si>
  <si>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</si>
  <si>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</si>
  <si>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</si>
  <si>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</si>
  <si>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</si>
  <si>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</si>
  <si>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</si>
  <si>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</si>
  <si>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</si>
  <si>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</si>
  <si>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</si>
  <si>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</si>
  <si>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</si>
  <si>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</si>
  <si>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</si>
  <si>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</si>
  <si>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</si>
  <si>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</si>
  <si>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</si>
  <si>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</si>
  <si>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</si>
  <si>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</si>
  <si>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</si>
  <si>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</si>
  <si>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</si>
  <si>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</si>
  <si>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</si>
  <si>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</si>
  <si>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</si>
  <si>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</si>
  <si>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</si>
  <si>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</si>
  <si>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</si>
  <si>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</si>
  <si>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</si>
  <si>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</si>
  <si>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</si>
  <si>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</si>
  <si>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</si>
  <si>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</si>
  <si>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</si>
  <si>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</si>
  <si>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</si>
  <si>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</si>
  <si>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</si>
  <si>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</si>
  <si>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</si>
  <si>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</si>
  <si>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</si>
  <si>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</si>
  <si>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</si>
  <si>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</si>
  <si>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</si>
  <si>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ehemals 130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</si>
  <si>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</si>
  <si>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</si>
  <si>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</si>
  <si>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</si>
  <si>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</si>
  <si>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</si>
  <si>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</si>
  <si>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</si>
  <si>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</si>
  <si>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</si>
  <si>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</si>
  <si>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</si>
  <si>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</si>
  <si>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</si>
  <si>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</si>
  <si>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</si>
  <si>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</si>
  <si>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</si>
  <si>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</si>
  <si>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</si>
  <si>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</si>
  <si>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</si>
  <si>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</si>
  <si>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</si>
  <si>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</si>
  <si>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</si>
  <si>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</si>
  <si>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</si>
  <si>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</si>
  <si>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</si>
  <si>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</si>
  <si>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</si>
  <si>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</si>
  <si>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</si>
  <si>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</si>
  <si>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</si>
  <si>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</si>
  <si>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</si>
  <si>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>Speicher, 13.000 l  (2 x 6.500)</t>
  </si>
  <si>
    <t>Jagnov et. Al</t>
  </si>
  <si>
    <t>Kostenposten</t>
  </si>
  <si>
    <t>Sanierung</t>
  </si>
  <si>
    <t>Wärmeerzeugung</t>
  </si>
  <si>
    <t>Wärmeverteilung- und Speicherung</t>
  </si>
  <si>
    <t>Kontrollsumme</t>
  </si>
  <si>
    <t>Instandhaltungskosten</t>
  </si>
  <si>
    <t>Kostenposten KNW</t>
  </si>
  <si>
    <t>KNW</t>
  </si>
  <si>
    <t xml:space="preserve">Kostenposten </t>
  </si>
  <si>
    <t>Prozentual</t>
  </si>
  <si>
    <t>NT-WN_proz</t>
  </si>
  <si>
    <t>runden</t>
  </si>
  <si>
    <t xml:space="preserve">Dez </t>
  </si>
  <si>
    <t>Abweichung CO2e</t>
  </si>
  <si>
    <t xml:space="preserve">absolute Diff </t>
  </si>
  <si>
    <t>VGL zu KNW</t>
  </si>
  <si>
    <t>Verteilsystem Gebäude WP</t>
  </si>
  <si>
    <t>Umfassend</t>
  </si>
  <si>
    <t>Summe WP</t>
  </si>
  <si>
    <t>Netz-Strombedarf [kWh]</t>
  </si>
  <si>
    <t>Energikosten</t>
  </si>
  <si>
    <t>Abweichung Kosten</t>
  </si>
  <si>
    <t xml:space="preserve">Speicher, 20.500 l </t>
  </si>
  <si>
    <t>SW-WP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</si>
</sst>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_-;\-* #,##0_-;_-* &quot;-&quot;??_-;_-@_-"/>
    <numFmt numFmtId="167" formatCode="_-* #,##0.000_-;\-* #,##0.0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81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2" fillId="2" borderId="1" xfId="2" applyNumberFormat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0" fontId="0" fillId="5" borderId="0" xfId="0" applyFill="1"/>
    <xf numFmtId="2" fontId="0" fillId="0" borderId="0" xfId="0" applyNumberFormat="1"/>
    <xf numFmtId="166" fontId="0" fillId="0" borderId="0" xfId="0" applyNumberFormat="1"/>
    <xf numFmtId="43" fontId="4" fillId="0" borderId="0" xfId="0" applyNumberFormat="1" applyFont="1"/>
    <xf numFmtId="43" fontId="0" fillId="4" borderId="0" xfId="1" applyFont="1" applyFill="1"/>
    <xf numFmtId="0" fontId="0" fillId="6" borderId="8" xfId="0" applyFill="1" applyBorder="1"/>
    <xf numFmtId="43" fontId="0" fillId="6" borderId="5" xfId="1" applyFont="1" applyFill="1" applyBorder="1" applyAlignment="1">
      <alignment horizontal="center"/>
    </xf>
    <xf numFmtId="0" fontId="5" fillId="7" borderId="8" xfId="0" applyFont="1" applyFill="1" applyBorder="1"/>
    <xf numFmtId="43" fontId="0" fillId="7" borderId="5" xfId="1" applyFont="1" applyFill="1" applyBorder="1" applyAlignment="1">
      <alignment horizontal="center"/>
    </xf>
    <xf numFmtId="0" fontId="0" fillId="7" borderId="8" xfId="0" applyFill="1" applyBorder="1"/>
    <xf numFmtId="43" fontId="0" fillId="5" borderId="3" xfId="1" applyFont="1" applyFill="1" applyBorder="1" applyAlignment="1">
      <alignment horizontal="center"/>
    </xf>
    <xf numFmtId="0" fontId="0" fillId="8" borderId="8" xfId="0" applyFill="1" applyBorder="1"/>
    <xf numFmtId="43" fontId="0" fillId="8" borderId="5" xfId="1" applyFont="1" applyFill="1" applyBorder="1" applyAlignment="1">
      <alignment horizontal="center"/>
    </xf>
    <xf numFmtId="43" fontId="0" fillId="8" borderId="3" xfId="1" applyFont="1" applyFill="1" applyBorder="1" applyAlignment="1">
      <alignment horizontal="center"/>
    </xf>
    <xf numFmtId="0" fontId="5" fillId="9" borderId="8" xfId="0" applyFont="1" applyFill="1" applyBorder="1"/>
    <xf numFmtId="43" fontId="0" fillId="9" borderId="5" xfId="1" applyFont="1" applyFill="1" applyBorder="1" applyAlignment="1">
      <alignment horizontal="center"/>
    </xf>
    <xf numFmtId="0" fontId="0" fillId="9" borderId="8" xfId="0" applyFill="1" applyBorder="1"/>
    <xf numFmtId="0" fontId="4" fillId="0" borderId="16" xfId="0" applyFont="1" applyBorder="1"/>
    <xf numFmtId="43" fontId="0" fillId="0" borderId="18" xfId="1" applyFont="1" applyBorder="1" applyAlignment="1">
      <alignment horizontal="center"/>
    </xf>
    <xf numFmtId="43" fontId="0" fillId="9" borderId="19" xfId="1" applyFont="1" applyFill="1" applyBorder="1" applyAlignment="1">
      <alignment horizontal="center"/>
    </xf>
    <xf numFmtId="43" fontId="0" fillId="6" borderId="19" xfId="1" applyFont="1" applyFill="1" applyBorder="1" applyAlignment="1">
      <alignment horizontal="center"/>
    </xf>
    <xf numFmtId="43" fontId="0" fillId="7" borderId="19" xfId="1" applyFont="1" applyFill="1" applyBorder="1" applyAlignment="1">
      <alignment horizontal="center"/>
    </xf>
    <xf numFmtId="0" fontId="0" fillId="5" borderId="8" xfId="0" applyFill="1" applyBorder="1"/>
    <xf numFmtId="43" fontId="0" fillId="5" borderId="19" xfId="1" applyFont="1" applyFill="1" applyBorder="1" applyAlignment="1">
      <alignment horizontal="center"/>
    </xf>
    <xf numFmtId="43" fontId="3" fillId="3" borderId="3" xfId="3" applyNumberFormat="1" applyBorder="1"/>
    <xf numFmtId="43" fontId="0" fillId="9" borderId="5" xfId="1" applyFont="1" applyFill="1" applyBorder="1"/>
    <xf numFmtId="0" fontId="5" fillId="6" borderId="8" xfId="0" applyFont="1" applyFill="1" applyBorder="1"/>
    <xf numFmtId="164" fontId="0" fillId="7" borderId="5" xfId="0" applyNumberFormat="1" applyFill="1" applyBorder="1"/>
    <xf numFmtId="43" fontId="0" fillId="7" borderId="8" xfId="0" applyNumberFormat="1" applyFill="1" applyBorder="1"/>
    <xf numFmtId="167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230EE15-60B7-48F4-BB6B-9172A32F6FE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389F948-F03A-4AD2-8C99-6DCAF06D4E5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1019E9E-19B8-466A-8307-3F8B6295853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_-* #,##0.000_-;\-* #,##0.000_-;_-* "-"??_-;_-@_-</c:formatCode>
                <c:ptCount val="3"/>
                <c:pt idx="0" formatCode="_(* #,##0.00_);_(* \(#,##0.00\);_(* &quot;-&quot;??_);_(@_)">
                  <c:v>2.0695804917797993</c:v>
                </c:pt>
                <c:pt idx="1">
                  <c:v>1.7784505465183746</c:v>
                </c:pt>
                <c:pt idx="2" formatCode="_(* #,##0.00_);_(* \(#,##0.00\);_(* &quot;-&quot;??_);_(@_)">
                  <c:v>2.2267961944827359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1791380-9059-41BB-A723-DB651D08B2E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B3C-4D90-A3B2-AE812CEC08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14E715D-BE55-4249-AE8E-85008B32DC4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B3C-4D90-A3B2-AE812CEC08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D500189-A6AE-463C-B240-FB11231707A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B3C-4D90-A3B2-AE812CEC0826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_-* #,##0.000_-;\-* #,##0.000_-;_-* "-"??_-;_-@_-</c:formatCode>
                <c:ptCount val="3"/>
                <c:pt idx="0" formatCode="_(* #,##0.00_);_(* \(#,##0.00\);_(* &quot;-&quot;??_);_(@_)">
                  <c:v>2.0695804917797993</c:v>
                </c:pt>
                <c:pt idx="1">
                  <c:v>1.7784505465183746</c:v>
                </c:pt>
                <c:pt idx="2" formatCode="_(* #,##0.00_);_(* \(#,##0.00\);_(* &quot;-&quot;??_);_(@_)">
                  <c:v>2.2267961944827359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3B3C-4D90-A3B2-AE812CEC0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'Kostenposten_8.2.2'!$A$3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'Kostenposten_8.2.2'!$B$3:$G$3</c15:sqref>
                  </c15:fullRef>
                </c:ext>
              </c:extLst>
              <c:f>'Kostenposten_8.2.2'!$B$3:$D$3</c:f>
              <c:numCache>
                <c:formatCode>_(* #,##0.00_);_(* \(#,##0.00\);_(* "-"??_);_(@_)</c:formatCode>
                <c:ptCount val="3"/>
                <c:pt idx="0">
                  <c:v>1580000</c:v>
                </c:pt>
                <c:pt idx="1">
                  <c:v>1580000</c:v>
                </c:pt>
                <c:pt idx="2">
                  <c:v>630000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1-4D18-8249-81291BF26B31}"/>
            </c:ext>
          </c:extLst>
        </c:ser>
        <c:ser>
          <c:idx val="1"/>
          <c:order val="1"/>
          <c:tx>
            <c:strRef>
              <c:f>'Kostenposten_8.2.2'!$A$4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'Kostenposten_8.2.2'!$B$4:$G$4</c15:sqref>
                  </c15:fullRef>
                </c:ext>
              </c:extLst>
              <c:f>'Kostenposten_8.2.2'!$B$4:$D$4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97050.562896637624</c:v>
                </c:pt>
                <c:pt idx="2">
                  <c:v>296127.68564031721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D18-8249-81291BF26B31}"/>
            </c:ext>
          </c:extLst>
        </c:ser>
        <c:ser>
          <c:idx val="2"/>
          <c:order val="2"/>
          <c:tx>
            <c:strRef>
              <c:f>'Kostenposten_8.2.2'!$A$5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'Kostenposten_8.2.2'!$B$5:$G$5</c15:sqref>
                  </c15:fullRef>
                </c:ext>
              </c:extLst>
              <c:f>'Kostenposten_8.2.2'!$B$5:$D$5</c:f>
              <c:numCache>
                <c:formatCode>_(* #,##0.00_);_(* \(#,##0.00\);_(* "-"??_);_(@_)</c:formatCode>
                <c:ptCount val="3"/>
                <c:pt idx="0">
                  <c:v>247848</c:v>
                </c:pt>
                <c:pt idx="1">
                  <c:v>257469.9</c:v>
                </c:pt>
                <c:pt idx="2">
                  <c:v>251901.11850488459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1-4D18-8249-81291BF26B31}"/>
            </c:ext>
          </c:extLst>
        </c:ser>
        <c:ser>
          <c:idx val="3"/>
          <c:order val="3"/>
          <c:tx>
            <c:strRef>
              <c:f>'Kostenposten_8.2.2'!$A$6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'Kostenposten_8.2.2'!$B$6:$G$6</c15:sqref>
                  </c15:fullRef>
                </c:ext>
              </c:extLst>
              <c:f>'Kostenposten_8.2.2'!$B$6:$D$6</c:f>
              <c:numCache>
                <c:formatCode>_(* #,##0.00_);_(* \(#,##0.00\);_(* "-"??_);_(@_)</c:formatCode>
                <c:ptCount val="3"/>
                <c:pt idx="0">
                  <c:v>194232.49177979934</c:v>
                </c:pt>
                <c:pt idx="1">
                  <c:v>156573.33086193868</c:v>
                </c:pt>
                <c:pt idx="2">
                  <c:v>576996.74237317289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1-4D18-8249-81291BF26B31}"/>
            </c:ext>
          </c:extLst>
        </c:ser>
        <c:ser>
          <c:idx val="4"/>
          <c:order val="4"/>
          <c:tx>
            <c:strRef>
              <c:f>'Kostenposten_8.2.2'!$A$7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'Kostenposten_8.2.2'!$B$7:$G$7</c15:sqref>
                  </c15:fullRef>
                </c:ext>
              </c:extLst>
              <c:f>'Kostenposten_8.2.2'!$B$7:$D$7</c:f>
              <c:numCache>
                <c:formatCode>_(* #,##0.00_);_(* \(#,##0.00\);_(* "-"??_);_(@_)</c:formatCode>
                <c:ptCount val="3"/>
                <c:pt idx="0">
                  <c:v>47500</c:v>
                </c:pt>
                <c:pt idx="1">
                  <c:v>71762.640724159399</c:v>
                </c:pt>
                <c:pt idx="2">
                  <c:v>23425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01-4D18-8249-81291BF2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642975"/>
        <c:axId val="497643935"/>
      </c:barChart>
      <c:catAx>
        <c:axId val="4976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3935"/>
        <c:crosses val="autoZero"/>
        <c:auto val="1"/>
        <c:lblAlgn val="ctr"/>
        <c:lblOffset val="100"/>
        <c:noMultiLvlLbl val="0"/>
      </c:catAx>
      <c:valAx>
        <c:axId val="497643935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'Kostenposten_8.2.2'!$H$3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'Kostenposten_8.2.2'!$I$3:$K$3</c:f>
              <c:numCache>
                <c:formatCode>_(* #,##0.00_);_(* \(#,##0.00\);_(* "-"??_);_(@_)</c:formatCode>
                <c:ptCount val="3"/>
                <c:pt idx="0">
                  <c:v>0.76343974359810018</c:v>
                </c:pt>
                <c:pt idx="1">
                  <c:v>0.73051543080244696</c:v>
                </c:pt>
                <c:pt idx="2">
                  <c:v>0.35424094374360549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5-4DA1-901F-220ADA4D0434}"/>
            </c:ext>
          </c:extLst>
        </c:ser>
        <c:ser>
          <c:idx val="1"/>
          <c:order val="1"/>
          <c:tx>
            <c:strRef>
              <c:f>'Kostenposten_8.2.2'!$H$4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'Kostenposten_8.2.2'!$I$4:$K$4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4.4871477065858992E-2</c:v>
                </c:pt>
                <c:pt idx="2">
                  <c:v>0.16650881084100905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5-4DA1-901F-220ADA4D0434}"/>
            </c:ext>
          </c:extLst>
        </c:ser>
        <c:ser>
          <c:idx val="2"/>
          <c:order val="2"/>
          <c:tx>
            <c:strRef>
              <c:f>'Kostenposten_8.2.2'!$H$5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'Kostenposten_8.2.2'!$I$5:$K$5</c:f>
              <c:numCache>
                <c:formatCode>_(* #,##0.00_);_(* \(#,##0.00\);_(* "-"??_);_(@_)</c:formatCode>
                <c:ptCount val="3"/>
                <c:pt idx="0">
                  <c:v>0.11975760352614045</c:v>
                </c:pt>
                <c:pt idx="1">
                  <c:v>0.11904160437795122</c:v>
                </c:pt>
                <c:pt idx="2">
                  <c:v>0.14164077769720654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5-4DA1-901F-220ADA4D0434}"/>
            </c:ext>
          </c:extLst>
        </c:ser>
        <c:ser>
          <c:idx val="3"/>
          <c:order val="3"/>
          <c:tx>
            <c:strRef>
              <c:f>'Kostenposten_8.2.2'!$H$6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'Kostenposten_8.2.2'!$I$6:$K$6</c:f>
              <c:numCache>
                <c:formatCode>_(* #,##0.00_);_(* \(#,##0.00\);_(* "-"??_);_(@_)</c:formatCode>
                <c:ptCount val="3"/>
                <c:pt idx="0">
                  <c:v>9.3851141596702589E-2</c:v>
                </c:pt>
                <c:pt idx="1">
                  <c:v>7.239192040935645E-2</c:v>
                </c:pt>
                <c:pt idx="2">
                  <c:v>0.32443788977025201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5-4DA1-901F-220ADA4D0434}"/>
            </c:ext>
          </c:extLst>
        </c:ser>
        <c:ser>
          <c:idx val="4"/>
          <c:order val="4"/>
          <c:tx>
            <c:strRef>
              <c:f>'Kostenposten_8.2.2'!$H$7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'Kostenposten_8.2.2'!$I$7:$K$7</c:f>
              <c:numCache>
                <c:formatCode>_(* #,##0.00_);_(* \(#,##0.00\);_(* "-"??_);_(@_)</c:formatCode>
                <c:ptCount val="3"/>
                <c:pt idx="0">
                  <c:v>2.2951511279056806E-2</c:v>
                </c:pt>
                <c:pt idx="1">
                  <c:v>3.3179567344386408E-2</c:v>
                </c:pt>
                <c:pt idx="2">
                  <c:v>1.3171577947926918E-2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5-4DA1-901F-220ADA4D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041375"/>
        <c:axId val="489033215"/>
      </c:barChart>
      <c:catAx>
        <c:axId val="48904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33215"/>
        <c:crosses val="autoZero"/>
        <c:auto val="1"/>
        <c:lblAlgn val="ctr"/>
        <c:lblOffset val="100"/>
        <c:noMultiLvlLbl val="0"/>
      </c:catAx>
      <c:valAx>
        <c:axId val="4890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4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694083</xdr:colOff>
      <xdr:row>6</xdr:row>
      <xdr:rowOff>63982</xdr:rowOff>
    </xdr:from>
    <xdr:to>
      <xdr:col>14</xdr:col>
      <xdr:colOff>576608</xdr:colOff>
      <xdr:row>21</xdr:row>
      <xdr:rowOff>106500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22</xdr:row>
      <xdr:rowOff>127000</xdr:rowOff>
    </xdr:from>
    <xdr:to>
      <xdr:col>14</xdr:col>
      <xdr:colOff>301625</xdr:colOff>
      <xdr:row>37</xdr:row>
      <xdr:rowOff>169518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7A3D21-46C3-41E5-9A34-C68B74A1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306511</xdr:colOff>
      <xdr:row>17</xdr:row>
      <xdr:rowOff>77423</xdr:rowOff>
    </xdr:from>
    <xdr:to>
      <xdr:col>5</xdr:col>
      <xdr:colOff>618451</xdr:colOff>
      <xdr:row>32</xdr:row>
      <xdr:rowOff>63503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AB8E1CE-46A2-8F46-1E33-072AA6A4B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850656</xdr:colOff>
      <xdr:row>9</xdr:row>
      <xdr:rowOff>121383</xdr:rowOff>
    </xdr:from>
    <xdr:to>
      <xdr:col>10</xdr:col>
      <xdr:colOff>1038771</xdr:colOff>
      <xdr:row>24</xdr:row>
      <xdr:rowOff>107461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29ECF15-1D1D-87F4-490A-2E9EC8D4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results/8_Netzstrombedarf_PV_Einspeisung.xlsx" TargetMode="External"/><Relationship Id="rId1" Type="http://schemas.openxmlformats.org/officeDocument/2006/relationships/externalLinkPath" Target="/personal/lara_josephine_barnic_iee_fraunhofer_de/Documents/A_Bearbeitung/8_Bewertung_Gesamtsysteme_REP/results/8_Netzstrombedarf_PV_Einspeisu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7_Gesamtsysteme_REP/7_auslegung%20der%20Erdw&#228;rmesonden.xlsx" TargetMode="External"/><Relationship Id="rId1" Type="http://schemas.openxmlformats.org/officeDocument/2006/relationships/externalLinkPath" Target="/personal/lara_josephine_barnic_iee_fraunhofer_de/Documents/A_Bearbeitung/7_Gesamtsystem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tzstrom_PV_Strom"/>
    </sheetNames>
    <sheetDataSet>
      <sheetData sheetId="0">
        <row r="4">
          <cell r="B4">
            <v>66069.878811235394</v>
          </cell>
          <cell r="C4">
            <v>49237.671936835155</v>
          </cell>
          <cell r="D4">
            <v>149735.09182771994</v>
          </cell>
          <cell r="E4">
            <v>41164.404932023172</v>
          </cell>
          <cell r="G4">
            <v>46208.273980854181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Fraunhofer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79C7D"/>
      </a:accent1>
      <a:accent2>
        <a:srgbClr val="F58220"/>
      </a:accent2>
      <a:accent3>
        <a:srgbClr val="B2D235"/>
      </a:accent3>
      <a:accent4>
        <a:srgbClr val="008598"/>
      </a:accent4>
      <a:accent5>
        <a:srgbClr val="7C154D"/>
      </a:accent5>
      <a:accent6>
        <a:srgbClr val="39C1CD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15"/>
  <sheetViews>
    <sheetView topLeftCell="D1" zoomScaleNormal="100" workbookViewId="0">
      <selection activeCell="G16" sqref="G16"/>
    </sheetView>
  </sheetViews>
  <sheetFormatPr baseColWidth="10" defaultRowHeight="14.5" x14ac:dyDescent="0.35"/>
  <cols>
    <col min="2" max="4" width="14.54296875" bestFit="1" customWidth="1"/>
    <col min="5" max="5" width="14.08984375" bestFit="1" customWidth="1"/>
    <col min="6" max="6" width="13.453125" bestFit="1" customWidth="1"/>
    <col min="11" max="11" width="15.453125" customWidth="1"/>
    <col min="14" max="14" width="12.81640625" bestFit="1" customWidth="1"/>
  </cols>
  <sheetData>
    <row r="1" spans="1:14" x14ac:dyDescent="0.35">
      <c r="B1" s="1" t="s">
        <v>47</v>
      </c>
      <c r="C1" s="1" t="s">
        <v>48</v>
      </c>
      <c r="D1" s="1" t="s">
        <v>49</v>
      </c>
      <c r="F1" t="s">
        <v>97</v>
      </c>
    </row>
    <row r="2" spans="1:14" x14ac:dyDescent="0.35">
      <c r="A2" s="1" t="s">
        <v>94</v>
      </c>
      <c r="B2" s="42">
        <f>B5/1000000</f>
        <v>2.0695804917797993</v>
      </c>
      <c r="C2" s="47">
        <f t="shared" ref="C2:D2" si="0">C5/1000000</f>
        <v>1.7784505465183746</v>
      </c>
      <c r="D2" s="42">
        <f t="shared" si="0"/>
        <v>2.2267961944827359</v>
      </c>
      <c r="F2" s="2">
        <v>1000000</v>
      </c>
      <c r="K2" s="1" t="s">
        <v>94</v>
      </c>
      <c r="L2" s="1" t="s">
        <v>95</v>
      </c>
      <c r="M2" t="s">
        <v>100</v>
      </c>
      <c r="N2" t="s">
        <v>101</v>
      </c>
    </row>
    <row r="3" spans="1:14" x14ac:dyDescent="0.35">
      <c r="A3" s="1" t="s">
        <v>95</v>
      </c>
      <c r="B3" s="42">
        <v>268.86148700000001</v>
      </c>
      <c r="C3" s="42">
        <v>557.10423600000001</v>
      </c>
      <c r="D3" s="47">
        <v>243.30137300000001</v>
      </c>
      <c r="F3" s="42">
        <v>3586</v>
      </c>
      <c r="J3" s="1" t="s">
        <v>47</v>
      </c>
      <c r="K3" s="42">
        <f>B2</f>
        <v>2.0695804917797993</v>
      </c>
      <c r="L3" s="42">
        <v>268.86148700000001</v>
      </c>
      <c r="M3" s="3">
        <f>(K3-K4)/K4</f>
        <v>0.16369864533560521</v>
      </c>
      <c r="N3" s="3">
        <f>K3-K4</f>
        <v>0.29112994526142466</v>
      </c>
    </row>
    <row r="4" spans="1:14" x14ac:dyDescent="0.35">
      <c r="B4" s="43"/>
      <c r="C4" s="43"/>
      <c r="D4" s="43"/>
      <c r="J4" s="1" t="s">
        <v>48</v>
      </c>
      <c r="K4" s="73">
        <f>C2</f>
        <v>1.7784505465183746</v>
      </c>
      <c r="L4" s="42">
        <v>557.10423600000001</v>
      </c>
    </row>
    <row r="5" spans="1:14" x14ac:dyDescent="0.35">
      <c r="B5" s="42">
        <f>dezentral!B26</f>
        <v>2069580.4917797993</v>
      </c>
      <c r="C5" s="42">
        <f>'NT-WN'!B28</f>
        <v>1778450.5465183747</v>
      </c>
      <c r="D5" s="42">
        <f>'kalte NW'!B32</f>
        <v>2226796.1944827358</v>
      </c>
      <c r="J5" s="1" t="s">
        <v>49</v>
      </c>
      <c r="K5" s="42">
        <f>D2</f>
        <v>2.2267961944827359</v>
      </c>
      <c r="L5" s="42">
        <v>243.30137300000001</v>
      </c>
      <c r="M5" s="3">
        <f>(K5-K4)/K4</f>
        <v>0.25209902453687882</v>
      </c>
      <c r="N5" s="3">
        <f>K5-K4</f>
        <v>0.44834564796436127</v>
      </c>
    </row>
    <row r="6" spans="1:14" x14ac:dyDescent="0.35">
      <c r="B6" s="74" t="s">
        <v>125</v>
      </c>
      <c r="C6" s="74"/>
      <c r="D6" s="74"/>
    </row>
    <row r="7" spans="1:14" x14ac:dyDescent="0.35">
      <c r="A7" t="s">
        <v>118</v>
      </c>
      <c r="B7" s="3">
        <f>B5-C5</f>
        <v>291129.94526142464</v>
      </c>
      <c r="C7" t="s">
        <v>5</v>
      </c>
      <c r="D7" s="3">
        <f>D5-C5</f>
        <v>448345.64796436112</v>
      </c>
      <c r="F7" s="3">
        <f>D2-C2</f>
        <v>0.44834564796436127</v>
      </c>
    </row>
    <row r="8" spans="1:14" x14ac:dyDescent="0.35">
      <c r="B8" s="45">
        <f>B7/C5</f>
        <v>0.16369864533560519</v>
      </c>
      <c r="C8" t="s">
        <v>5</v>
      </c>
      <c r="D8" s="45">
        <f>D7/C5</f>
        <v>0.25209902453687871</v>
      </c>
      <c r="E8" s="3"/>
      <c r="F8" s="3">
        <f>C3-D3</f>
        <v>313.802863</v>
      </c>
    </row>
    <row r="9" spans="1:14" x14ac:dyDescent="0.35">
      <c r="B9" s="74" t="s">
        <v>117</v>
      </c>
      <c r="C9" s="74"/>
      <c r="D9" s="74"/>
    </row>
    <row r="10" spans="1:14" x14ac:dyDescent="0.35">
      <c r="B10" s="3">
        <f>B3-D3</f>
        <v>25.560113999999999</v>
      </c>
      <c r="C10" s="3">
        <f>C3-D3</f>
        <v>313.802863</v>
      </c>
      <c r="D10" t="s">
        <v>5</v>
      </c>
    </row>
    <row r="11" spans="1:14" x14ac:dyDescent="0.35">
      <c r="B11" s="45">
        <f>B10/D3</f>
        <v>0.10505536275785833</v>
      </c>
      <c r="C11" s="45">
        <f>C10/D3</f>
        <v>1.2897702102157886</v>
      </c>
      <c r="D11" t="s">
        <v>5</v>
      </c>
      <c r="E11" s="3"/>
    </row>
    <row r="13" spans="1:14" x14ac:dyDescent="0.35">
      <c r="A13" s="74" t="s">
        <v>99</v>
      </c>
      <c r="B13" s="74"/>
      <c r="C13" s="74"/>
      <c r="D13" s="74"/>
    </row>
    <row r="14" spans="1:14" x14ac:dyDescent="0.35">
      <c r="A14" t="s">
        <v>96</v>
      </c>
      <c r="B14" s="3">
        <f>F3-B3</f>
        <v>3317.1385129999999</v>
      </c>
      <c r="C14" s="3">
        <f>F3-C3</f>
        <v>3028.8957639999999</v>
      </c>
      <c r="D14" s="3">
        <f>F3-D3</f>
        <v>3342.6986269999998</v>
      </c>
      <c r="F14" s="2"/>
    </row>
    <row r="15" spans="1:14" x14ac:dyDescent="0.35">
      <c r="A15" t="s">
        <v>98</v>
      </c>
      <c r="B15">
        <f>(B2-F2)/B14</f>
        <v>-301.46402584651679</v>
      </c>
      <c r="C15">
        <f>C2/C14</f>
        <v>5.8716135684039827E-4</v>
      </c>
      <c r="D15">
        <f>D2/D14</f>
        <v>6.6616720289894564E-4</v>
      </c>
    </row>
  </sheetData>
  <mergeCells count="3">
    <mergeCell ref="A13:D13"/>
    <mergeCell ref="B6:D6"/>
    <mergeCell ref="B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A2F1-548E-47AE-B2EB-F31F726CAF36}">
  <dimension ref="B3:C8"/>
  <sheetViews>
    <sheetView workbookViewId="0">
      <selection activeCell="H12" sqref="H12"/>
    </sheetView>
  </sheetViews>
  <sheetFormatPr baseColWidth="10" defaultRowHeight="14.5" x14ac:dyDescent="0.35"/>
  <sheetData>
    <row r="3" spans="2:3" x14ac:dyDescent="0.35">
      <c r="B3">
        <v>0</v>
      </c>
      <c r="C3" s="38">
        <v>58599.268913307198</v>
      </c>
    </row>
    <row r="4" spans="2:3" x14ac:dyDescent="0.35">
      <c r="B4">
        <v>2.5</v>
      </c>
      <c r="C4" s="38">
        <v>57877.749924749798</v>
      </c>
    </row>
    <row r="5" spans="2:3" x14ac:dyDescent="0.35">
      <c r="B5">
        <v>5</v>
      </c>
      <c r="C5" s="38">
        <v>57251.265989867599</v>
      </c>
    </row>
    <row r="6" spans="2:3" x14ac:dyDescent="0.35">
      <c r="B6">
        <v>7.5</v>
      </c>
      <c r="C6" s="38">
        <v>56677.745324288502</v>
      </c>
    </row>
    <row r="7" spans="2:3" x14ac:dyDescent="0.35">
      <c r="B7">
        <v>10</v>
      </c>
      <c r="C7" s="38">
        <v>56145.304591942098</v>
      </c>
    </row>
    <row r="8" spans="2:3" x14ac:dyDescent="0.35">
      <c r="B8">
        <v>12.5</v>
      </c>
      <c r="C8" s="38">
        <v>55655.736265198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workbookViewId="0">
      <selection activeCell="I9" sqref="I9"/>
    </sheetView>
  </sheetViews>
  <sheetFormatPr baseColWidth="10" defaultRowHeight="14.5" x14ac:dyDescent="0.35"/>
  <cols>
    <col min="3" max="4" width="13" bestFit="1" customWidth="1"/>
    <col min="5" max="5" width="14.54296875" bestFit="1" customWidth="1"/>
    <col min="6" max="6" width="13" bestFit="1" customWidth="1"/>
    <col min="11" max="11" width="13.7265625" customWidth="1"/>
    <col min="12" max="12" width="16.7265625" bestFit="1" customWidth="1"/>
    <col min="13" max="13" width="15.453125" customWidth="1"/>
  </cols>
  <sheetData>
    <row r="1" spans="2:13" x14ac:dyDescent="0.35">
      <c r="B1" t="s">
        <v>14</v>
      </c>
    </row>
    <row r="3" spans="2:13" x14ac:dyDescent="0.35">
      <c r="B3" t="s">
        <v>13</v>
      </c>
      <c r="C3">
        <v>25</v>
      </c>
      <c r="D3" t="s">
        <v>15</v>
      </c>
    </row>
    <row r="4" spans="2:13" x14ac:dyDescent="0.35">
      <c r="B4" t="s">
        <v>82</v>
      </c>
      <c r="C4" t="s">
        <v>83</v>
      </c>
    </row>
    <row r="6" spans="2:13" x14ac:dyDescent="0.35">
      <c r="B6" s="1" t="s">
        <v>61</v>
      </c>
    </row>
    <row r="7" spans="2:13" x14ac:dyDescent="0.35">
      <c r="C7" t="s">
        <v>47</v>
      </c>
      <c r="D7" t="s">
        <v>48</v>
      </c>
      <c r="E7" t="s">
        <v>49</v>
      </c>
    </row>
    <row r="8" spans="2:13" x14ac:dyDescent="0.35">
      <c r="B8" t="s">
        <v>11</v>
      </c>
      <c r="C8" s="2" cm="1">
        <f t="array" ref="C8:E8">D40:F40</f>
        <v>289881.59328429529</v>
      </c>
      <c r="D8" s="2">
        <v>656962.71539412113</v>
      </c>
      <c r="E8" s="2">
        <v>246337.52389714599</v>
      </c>
    </row>
    <row r="9" spans="2:13" x14ac:dyDescent="0.35">
      <c r="B9" t="s">
        <v>6</v>
      </c>
      <c r="C9" s="2" cm="1">
        <f t="array" ref="C9:E9">K41:M41</f>
        <v>-95649.101504495964</v>
      </c>
      <c r="D9" s="2">
        <v>-79965.973020948237</v>
      </c>
      <c r="E9" s="2">
        <v>-89764.19303520731</v>
      </c>
    </row>
    <row r="11" spans="2:13" x14ac:dyDescent="0.35">
      <c r="B11" s="1" t="s">
        <v>45</v>
      </c>
    </row>
    <row r="12" spans="2:13" x14ac:dyDescent="0.35">
      <c r="B12" s="1" t="s">
        <v>46</v>
      </c>
      <c r="G12" s="1" t="s">
        <v>41</v>
      </c>
      <c r="I12" t="s">
        <v>54</v>
      </c>
    </row>
    <row r="13" spans="2:13" x14ac:dyDescent="0.35">
      <c r="D13" s="75" t="s">
        <v>123</v>
      </c>
      <c r="E13" s="75"/>
      <c r="F13" s="75"/>
      <c r="I13" t="s">
        <v>55</v>
      </c>
    </row>
    <row r="14" spans="2:13" x14ac:dyDescent="0.35">
      <c r="B14" t="s">
        <v>44</v>
      </c>
      <c r="D14" s="38">
        <f>[1]Netzstrom_PV_Strom!$B$4</f>
        <v>66069.878811235394</v>
      </c>
      <c r="E14" s="38">
        <f>[1]Netzstrom_PV_Strom!$D$4</f>
        <v>149735.09182771994</v>
      </c>
      <c r="F14" s="38">
        <f>Ergebnisse_Netzstrombedarfe!C7</f>
        <v>56145.304591942098</v>
      </c>
      <c r="I14" t="s">
        <v>59</v>
      </c>
      <c r="K14" s="38">
        <f>[1]Netzstrom_PV_Strom!$C$4</f>
        <v>49237.671936835155</v>
      </c>
      <c r="L14" s="38">
        <f>[1]Netzstrom_PV_Strom!$E$4</f>
        <v>41164.404932023172</v>
      </c>
      <c r="M14" s="38">
        <f>[1]Netzstrom_PV_Strom!$G$4</f>
        <v>46208.273980854181</v>
      </c>
    </row>
    <row r="15" spans="2:13" x14ac:dyDescent="0.35">
      <c r="D15" t="s">
        <v>47</v>
      </c>
      <c r="E15" t="s">
        <v>48</v>
      </c>
      <c r="F15" t="s">
        <v>49</v>
      </c>
      <c r="K15" t="s">
        <v>47</v>
      </c>
      <c r="L15" t="s">
        <v>48</v>
      </c>
      <c r="M15" t="s">
        <v>49</v>
      </c>
    </row>
    <row r="16" spans="2:13" x14ac:dyDescent="0.35">
      <c r="B16" s="44" t="s">
        <v>50</v>
      </c>
      <c r="D16" s="18" t="s">
        <v>38</v>
      </c>
      <c r="E16" s="18" t="s">
        <v>38</v>
      </c>
      <c r="F16" s="18" t="s">
        <v>38</v>
      </c>
      <c r="I16" s="18" t="s">
        <v>57</v>
      </c>
      <c r="J16" s="18" t="s">
        <v>58</v>
      </c>
    </row>
    <row r="17" spans="2:13" x14ac:dyDescent="0.35">
      <c r="B17">
        <v>2025</v>
      </c>
      <c r="C17">
        <v>22.71</v>
      </c>
      <c r="D17" s="3">
        <f>$C17*$D$14/100</f>
        <v>15004.469478031557</v>
      </c>
      <c r="E17" s="3">
        <f>$C17*$E$14/100</f>
        <v>34004.8393540752</v>
      </c>
      <c r="F17" s="3">
        <f>$C17*$F$14/100</f>
        <v>12750.59867283005</v>
      </c>
      <c r="H17">
        <v>2025</v>
      </c>
      <c r="I17">
        <v>8.83</v>
      </c>
      <c r="J17">
        <f t="shared" ref="J17:J38" si="0">I17/100</f>
        <v>8.8300000000000003E-2</v>
      </c>
      <c r="K17" s="3">
        <f>$J$43*K$14</f>
        <v>4347.6864320225441</v>
      </c>
      <c r="L17" s="3">
        <f>$J$43*L$14</f>
        <v>3634.8169554976462</v>
      </c>
      <c r="M17" s="3">
        <f>$J$43*M$14</f>
        <v>4080.1905925094243</v>
      </c>
    </row>
    <row r="18" spans="2:13" x14ac:dyDescent="0.35">
      <c r="B18">
        <v>2026</v>
      </c>
      <c r="C18">
        <v>21.37</v>
      </c>
      <c r="D18" s="3">
        <f t="shared" ref="D18:D38" si="1">$C18*$D$14/100</f>
        <v>14119.133101961004</v>
      </c>
      <c r="E18" s="3">
        <f t="shared" ref="E18:E38" si="2">$C18*$E$14/100</f>
        <v>31998.389123583751</v>
      </c>
      <c r="F18" s="3">
        <f t="shared" ref="F18:F38" si="3">$C18*$F$14/100</f>
        <v>11998.251591298025</v>
      </c>
      <c r="H18">
        <v>2026</v>
      </c>
      <c r="I18">
        <v>8.83</v>
      </c>
      <c r="J18">
        <f t="shared" si="0"/>
        <v>8.8300000000000003E-2</v>
      </c>
      <c r="K18" s="3">
        <f t="shared" ref="K18:M38" si="4">$J$43*K$14</f>
        <v>4347.6864320225441</v>
      </c>
      <c r="L18" s="3">
        <f t="shared" si="4"/>
        <v>3634.8169554976462</v>
      </c>
      <c r="M18" s="3">
        <f t="shared" si="4"/>
        <v>4080.1905925094243</v>
      </c>
    </row>
    <row r="19" spans="2:13" x14ac:dyDescent="0.35">
      <c r="B19">
        <v>2027</v>
      </c>
      <c r="C19">
        <v>20.53</v>
      </c>
      <c r="D19" s="3">
        <f t="shared" si="1"/>
        <v>13564.146119946628</v>
      </c>
      <c r="E19" s="3">
        <f t="shared" si="2"/>
        <v>30740.614352230903</v>
      </c>
      <c r="F19" s="3">
        <f t="shared" si="3"/>
        <v>11526.631032725712</v>
      </c>
      <c r="H19">
        <v>2027</v>
      </c>
      <c r="I19">
        <v>8.83</v>
      </c>
      <c r="J19">
        <f t="shared" si="0"/>
        <v>8.8300000000000003E-2</v>
      </c>
      <c r="K19" s="3">
        <f t="shared" si="4"/>
        <v>4347.6864320225441</v>
      </c>
      <c r="L19" s="3">
        <f t="shared" si="4"/>
        <v>3634.8169554976462</v>
      </c>
      <c r="M19" s="3">
        <f t="shared" si="4"/>
        <v>4080.1905925094243</v>
      </c>
    </row>
    <row r="20" spans="2:13" x14ac:dyDescent="0.35">
      <c r="B20">
        <v>2028</v>
      </c>
      <c r="C20">
        <v>20.190000000000001</v>
      </c>
      <c r="D20" s="3">
        <f t="shared" si="1"/>
        <v>13339.508531988426</v>
      </c>
      <c r="E20" s="3">
        <f t="shared" si="2"/>
        <v>30231.51504001666</v>
      </c>
      <c r="F20" s="3">
        <f t="shared" si="3"/>
        <v>11335.736997113112</v>
      </c>
      <c r="H20">
        <v>2028</v>
      </c>
      <c r="I20">
        <v>8.83</v>
      </c>
      <c r="J20">
        <f t="shared" si="0"/>
        <v>8.8300000000000003E-2</v>
      </c>
      <c r="K20" s="3">
        <f t="shared" si="4"/>
        <v>4347.6864320225441</v>
      </c>
      <c r="L20" s="3">
        <f t="shared" si="4"/>
        <v>3634.8169554976462</v>
      </c>
      <c r="M20" s="3">
        <f t="shared" si="4"/>
        <v>4080.1905925094243</v>
      </c>
    </row>
    <row r="21" spans="2:13" x14ac:dyDescent="0.35">
      <c r="B21">
        <v>2029</v>
      </c>
      <c r="C21">
        <v>20.13</v>
      </c>
      <c r="D21" s="3">
        <f t="shared" si="1"/>
        <v>13299.866604701683</v>
      </c>
      <c r="E21" s="3">
        <f t="shared" si="2"/>
        <v>30141.673984920024</v>
      </c>
      <c r="F21" s="3">
        <f t="shared" si="3"/>
        <v>11302.049814357944</v>
      </c>
      <c r="H21">
        <v>2029</v>
      </c>
      <c r="I21">
        <v>8.83</v>
      </c>
      <c r="J21">
        <f t="shared" si="0"/>
        <v>8.8300000000000003E-2</v>
      </c>
      <c r="K21" s="3">
        <f t="shared" si="4"/>
        <v>4347.6864320225441</v>
      </c>
      <c r="L21" s="3">
        <f t="shared" si="4"/>
        <v>3634.8169554976462</v>
      </c>
      <c r="M21" s="3">
        <f t="shared" si="4"/>
        <v>4080.1905925094243</v>
      </c>
    </row>
    <row r="22" spans="2:13" x14ac:dyDescent="0.35">
      <c r="B22">
        <v>2030</v>
      </c>
      <c r="C22">
        <v>20.22</v>
      </c>
      <c r="D22" s="3">
        <f t="shared" si="1"/>
        <v>13359.329495631797</v>
      </c>
      <c r="E22" s="3">
        <f t="shared" si="2"/>
        <v>30276.435567564968</v>
      </c>
      <c r="F22" s="3">
        <f t="shared" si="3"/>
        <v>11352.580588490691</v>
      </c>
      <c r="H22">
        <v>2030</v>
      </c>
      <c r="I22">
        <v>8.83</v>
      </c>
      <c r="J22">
        <f t="shared" si="0"/>
        <v>8.8300000000000003E-2</v>
      </c>
      <c r="K22" s="3">
        <f t="shared" si="4"/>
        <v>4347.6864320225441</v>
      </c>
      <c r="L22" s="3">
        <f t="shared" si="4"/>
        <v>3634.8169554976462</v>
      </c>
      <c r="M22" s="3">
        <f t="shared" si="4"/>
        <v>4080.1905925094243</v>
      </c>
    </row>
    <row r="23" spans="2:13" x14ac:dyDescent="0.35">
      <c r="B23">
        <v>2031</v>
      </c>
      <c r="C23">
        <f>C22-0.02</f>
        <v>20.2</v>
      </c>
      <c r="D23" s="3">
        <f t="shared" si="1"/>
        <v>13346.115519869549</v>
      </c>
      <c r="E23" s="3">
        <f t="shared" si="2"/>
        <v>30246.488549199425</v>
      </c>
      <c r="F23" s="3">
        <f t="shared" si="3"/>
        <v>11341.351527572304</v>
      </c>
      <c r="H23">
        <v>2031</v>
      </c>
      <c r="I23">
        <v>8.83</v>
      </c>
      <c r="J23">
        <f t="shared" si="0"/>
        <v>8.8300000000000003E-2</v>
      </c>
      <c r="K23" s="3">
        <f t="shared" si="4"/>
        <v>4347.6864320225441</v>
      </c>
      <c r="L23" s="3">
        <f t="shared" si="4"/>
        <v>3634.8169554976462</v>
      </c>
      <c r="M23" s="3">
        <f t="shared" si="4"/>
        <v>4080.1905925094243</v>
      </c>
    </row>
    <row r="24" spans="2:13" x14ac:dyDescent="0.35">
      <c r="B24">
        <v>2032</v>
      </c>
      <c r="C24">
        <f>C23-0.02</f>
        <v>20.18</v>
      </c>
      <c r="D24" s="3">
        <f t="shared" si="1"/>
        <v>13332.901544107304</v>
      </c>
      <c r="E24" s="3">
        <f t="shared" si="2"/>
        <v>30216.541530833882</v>
      </c>
      <c r="F24" s="3">
        <f t="shared" si="3"/>
        <v>11330.122466653916</v>
      </c>
      <c r="H24">
        <v>2032</v>
      </c>
      <c r="I24">
        <v>8.83</v>
      </c>
      <c r="J24">
        <f t="shared" si="0"/>
        <v>8.8300000000000003E-2</v>
      </c>
      <c r="K24" s="3">
        <f t="shared" si="4"/>
        <v>4347.6864320225441</v>
      </c>
      <c r="L24" s="3">
        <f t="shared" si="4"/>
        <v>3634.8169554976462</v>
      </c>
      <c r="M24" s="3">
        <f t="shared" si="4"/>
        <v>4080.1905925094243</v>
      </c>
    </row>
    <row r="25" spans="2:13" x14ac:dyDescent="0.35">
      <c r="B25">
        <v>2033</v>
      </c>
      <c r="C25">
        <f>C24-0.02</f>
        <v>20.16</v>
      </c>
      <c r="D25" s="3">
        <f t="shared" si="1"/>
        <v>13319.687568345056</v>
      </c>
      <c r="E25" s="3">
        <f t="shared" si="2"/>
        <v>30186.594512468339</v>
      </c>
      <c r="F25" s="3">
        <f t="shared" si="3"/>
        <v>11318.893405735527</v>
      </c>
      <c r="H25">
        <v>2033</v>
      </c>
      <c r="I25">
        <v>8.83</v>
      </c>
      <c r="J25">
        <f t="shared" si="0"/>
        <v>8.8300000000000003E-2</v>
      </c>
      <c r="K25" s="3">
        <f t="shared" si="4"/>
        <v>4347.6864320225441</v>
      </c>
      <c r="L25" s="3">
        <f t="shared" si="4"/>
        <v>3634.8169554976462</v>
      </c>
      <c r="M25" s="3">
        <f t="shared" si="4"/>
        <v>4080.1905925094243</v>
      </c>
    </row>
    <row r="26" spans="2:13" x14ac:dyDescent="0.35">
      <c r="B26">
        <v>2034</v>
      </c>
      <c r="C26">
        <f>C25-0.02</f>
        <v>20.14</v>
      </c>
      <c r="D26" s="3">
        <f t="shared" si="1"/>
        <v>13306.473592582808</v>
      </c>
      <c r="E26" s="3">
        <f t="shared" si="2"/>
        <v>30156.647494102795</v>
      </c>
      <c r="F26" s="3">
        <f t="shared" si="3"/>
        <v>11307.66434481714</v>
      </c>
      <c r="H26">
        <v>2034</v>
      </c>
      <c r="I26">
        <v>8.83</v>
      </c>
      <c r="J26">
        <f t="shared" si="0"/>
        <v>8.8300000000000003E-2</v>
      </c>
      <c r="K26" s="3">
        <f t="shared" si="4"/>
        <v>4347.6864320225441</v>
      </c>
      <c r="L26" s="3">
        <f t="shared" si="4"/>
        <v>3634.8169554976462</v>
      </c>
      <c r="M26" s="3">
        <f t="shared" si="4"/>
        <v>4080.1905925094243</v>
      </c>
    </row>
    <row r="27" spans="2:13" x14ac:dyDescent="0.35">
      <c r="B27">
        <v>2035</v>
      </c>
      <c r="C27">
        <v>20.12</v>
      </c>
      <c r="D27" s="3">
        <f t="shared" si="1"/>
        <v>13293.259616820564</v>
      </c>
      <c r="E27" s="3">
        <f t="shared" si="2"/>
        <v>30126.700475737252</v>
      </c>
      <c r="F27" s="3">
        <f t="shared" si="3"/>
        <v>11296.435283898751</v>
      </c>
      <c r="G27" t="s">
        <v>56</v>
      </c>
      <c r="H27">
        <v>2035</v>
      </c>
      <c r="I27">
        <v>4</v>
      </c>
      <c r="J27">
        <f>I27/100</f>
        <v>0.04</v>
      </c>
      <c r="K27" s="3">
        <f t="shared" si="4"/>
        <v>4347.6864320225441</v>
      </c>
      <c r="L27" s="3">
        <f t="shared" si="4"/>
        <v>3634.8169554976462</v>
      </c>
      <c r="M27" s="3">
        <f t="shared" si="4"/>
        <v>4080.1905925094243</v>
      </c>
    </row>
    <row r="28" spans="2:13" x14ac:dyDescent="0.35">
      <c r="B28">
        <v>2036</v>
      </c>
      <c r="C28">
        <f>C27-0.204</f>
        <v>19.916</v>
      </c>
      <c r="D28" s="3">
        <f t="shared" si="1"/>
        <v>13158.477064045643</v>
      </c>
      <c r="E28" s="3">
        <f t="shared" si="2"/>
        <v>29821.240888408702</v>
      </c>
      <c r="F28" s="3">
        <f t="shared" si="3"/>
        <v>11181.898862531187</v>
      </c>
      <c r="H28">
        <v>2036</v>
      </c>
      <c r="I28">
        <v>4</v>
      </c>
      <c r="J28">
        <f t="shared" si="0"/>
        <v>0.04</v>
      </c>
      <c r="K28" s="3">
        <f t="shared" si="4"/>
        <v>4347.6864320225441</v>
      </c>
      <c r="L28" s="3">
        <f t="shared" si="4"/>
        <v>3634.8169554976462</v>
      </c>
      <c r="M28" s="3">
        <f t="shared" si="4"/>
        <v>4080.1905925094243</v>
      </c>
    </row>
    <row r="29" spans="2:13" x14ac:dyDescent="0.35">
      <c r="B29">
        <v>2037</v>
      </c>
      <c r="C29">
        <f t="shared" ref="C29:C31" si="5">C28-0.204</f>
        <v>19.712</v>
      </c>
      <c r="D29" s="3">
        <f t="shared" si="1"/>
        <v>13023.694511270722</v>
      </c>
      <c r="E29" s="3">
        <f t="shared" si="2"/>
        <v>29515.781301080155</v>
      </c>
      <c r="F29" s="3">
        <f t="shared" si="3"/>
        <v>11067.362441163626</v>
      </c>
      <c r="H29">
        <v>2037</v>
      </c>
      <c r="I29">
        <v>4</v>
      </c>
      <c r="J29">
        <f t="shared" si="0"/>
        <v>0.04</v>
      </c>
      <c r="K29" s="3">
        <f t="shared" si="4"/>
        <v>4347.6864320225441</v>
      </c>
      <c r="L29" s="3">
        <f t="shared" si="4"/>
        <v>3634.8169554976462</v>
      </c>
      <c r="M29" s="3">
        <f t="shared" si="4"/>
        <v>4080.1905925094243</v>
      </c>
    </row>
    <row r="30" spans="2:13" x14ac:dyDescent="0.35">
      <c r="B30">
        <v>2038</v>
      </c>
      <c r="C30">
        <f t="shared" si="5"/>
        <v>19.507999999999999</v>
      </c>
      <c r="D30" s="3">
        <f t="shared" si="1"/>
        <v>12888.911958495801</v>
      </c>
      <c r="E30" s="3">
        <f t="shared" si="2"/>
        <v>29210.321713751604</v>
      </c>
      <c r="F30" s="3">
        <f t="shared" si="3"/>
        <v>10952.826019796063</v>
      </c>
      <c r="H30">
        <v>2038</v>
      </c>
      <c r="I30">
        <v>4</v>
      </c>
      <c r="J30">
        <f t="shared" si="0"/>
        <v>0.04</v>
      </c>
      <c r="K30" s="3">
        <f t="shared" si="4"/>
        <v>4347.6864320225441</v>
      </c>
      <c r="L30" s="3">
        <f t="shared" si="4"/>
        <v>3634.8169554976462</v>
      </c>
      <c r="M30" s="3">
        <f t="shared" si="4"/>
        <v>4080.1905925094243</v>
      </c>
    </row>
    <row r="31" spans="2:13" x14ac:dyDescent="0.35">
      <c r="B31">
        <v>2039</v>
      </c>
      <c r="C31">
        <f t="shared" si="5"/>
        <v>19.303999999999998</v>
      </c>
      <c r="D31" s="3">
        <f t="shared" si="1"/>
        <v>12754.12940572088</v>
      </c>
      <c r="E31" s="3">
        <f t="shared" si="2"/>
        <v>28904.862126423057</v>
      </c>
      <c r="F31" s="3">
        <f t="shared" si="3"/>
        <v>10838.289598428502</v>
      </c>
      <c r="H31">
        <v>2039</v>
      </c>
      <c r="I31">
        <v>4</v>
      </c>
      <c r="J31">
        <f t="shared" si="0"/>
        <v>0.04</v>
      </c>
      <c r="K31" s="3">
        <f t="shared" si="4"/>
        <v>4347.6864320225441</v>
      </c>
      <c r="L31" s="3">
        <f t="shared" si="4"/>
        <v>3634.8169554976462</v>
      </c>
      <c r="M31" s="3">
        <f t="shared" si="4"/>
        <v>4080.1905925094243</v>
      </c>
    </row>
    <row r="32" spans="2:13" x14ac:dyDescent="0.35">
      <c r="B32">
        <v>2040</v>
      </c>
      <c r="C32">
        <v>19.100000000000001</v>
      </c>
      <c r="D32" s="3">
        <f t="shared" si="1"/>
        <v>12619.346852945961</v>
      </c>
      <c r="E32" s="3">
        <f t="shared" si="2"/>
        <v>28599.40253909451</v>
      </c>
      <c r="F32" s="3">
        <f t="shared" si="3"/>
        <v>10723.753177060942</v>
      </c>
      <c r="H32">
        <v>2040</v>
      </c>
      <c r="I32">
        <v>4</v>
      </c>
      <c r="J32">
        <f t="shared" si="0"/>
        <v>0.04</v>
      </c>
      <c r="K32" s="3">
        <f t="shared" si="4"/>
        <v>4347.6864320225441</v>
      </c>
      <c r="L32" s="3">
        <f t="shared" si="4"/>
        <v>3634.8169554976462</v>
      </c>
      <c r="M32" s="3">
        <f t="shared" si="4"/>
        <v>4080.1905925094243</v>
      </c>
    </row>
    <row r="33" spans="2:13" x14ac:dyDescent="0.35">
      <c r="B33">
        <v>2045</v>
      </c>
      <c r="C33">
        <v>19.22</v>
      </c>
      <c r="D33" s="3">
        <f t="shared" si="1"/>
        <v>12698.630707519442</v>
      </c>
      <c r="E33" s="3">
        <f t="shared" si="2"/>
        <v>28779.084649287768</v>
      </c>
      <c r="F33" s="3">
        <f t="shared" si="3"/>
        <v>10791.127542571272</v>
      </c>
      <c r="H33">
        <v>2045</v>
      </c>
      <c r="I33">
        <v>4</v>
      </c>
      <c r="J33">
        <f t="shared" si="0"/>
        <v>0.04</v>
      </c>
      <c r="K33" s="3">
        <f t="shared" si="4"/>
        <v>4347.6864320225441</v>
      </c>
      <c r="L33" s="3">
        <f t="shared" si="4"/>
        <v>3634.8169554976462</v>
      </c>
      <c r="M33" s="3">
        <f t="shared" si="4"/>
        <v>4080.1905925094243</v>
      </c>
    </row>
    <row r="34" spans="2:13" x14ac:dyDescent="0.35">
      <c r="B34">
        <v>2046</v>
      </c>
      <c r="C34">
        <f>C33-0.004</f>
        <v>19.215999999999998</v>
      </c>
      <c r="D34" s="3">
        <f t="shared" si="1"/>
        <v>12695.987912366991</v>
      </c>
      <c r="E34" s="3">
        <f t="shared" si="2"/>
        <v>28773.095245614662</v>
      </c>
      <c r="F34" s="3">
        <f t="shared" si="3"/>
        <v>10788.881730387593</v>
      </c>
      <c r="H34">
        <v>2046</v>
      </c>
      <c r="I34">
        <v>4</v>
      </c>
      <c r="J34">
        <f t="shared" si="0"/>
        <v>0.04</v>
      </c>
      <c r="K34" s="3">
        <f t="shared" si="4"/>
        <v>4347.6864320225441</v>
      </c>
      <c r="L34" s="3">
        <f t="shared" si="4"/>
        <v>3634.8169554976462</v>
      </c>
      <c r="M34" s="3">
        <f t="shared" si="4"/>
        <v>4080.1905925094243</v>
      </c>
    </row>
    <row r="35" spans="2:13" x14ac:dyDescent="0.35">
      <c r="B35">
        <v>2047</v>
      </c>
      <c r="C35">
        <f t="shared" ref="C35:C37" si="6">C34-0.004</f>
        <v>19.211999999999996</v>
      </c>
      <c r="D35" s="3">
        <f t="shared" si="1"/>
        <v>12693.345117214541</v>
      </c>
      <c r="E35" s="3">
        <f t="shared" si="2"/>
        <v>28767.105841941549</v>
      </c>
      <c r="F35" s="3">
        <f t="shared" si="3"/>
        <v>10786.635918203914</v>
      </c>
      <c r="H35">
        <v>2047</v>
      </c>
      <c r="I35">
        <v>4</v>
      </c>
      <c r="J35">
        <f t="shared" si="0"/>
        <v>0.04</v>
      </c>
      <c r="K35" s="3">
        <f t="shared" si="4"/>
        <v>4347.6864320225441</v>
      </c>
      <c r="L35" s="3">
        <f t="shared" si="4"/>
        <v>3634.8169554976462</v>
      </c>
      <c r="M35" s="3">
        <f t="shared" si="4"/>
        <v>4080.1905925094243</v>
      </c>
    </row>
    <row r="36" spans="2:13" x14ac:dyDescent="0.35">
      <c r="B36">
        <v>2048</v>
      </c>
      <c r="C36">
        <f t="shared" si="6"/>
        <v>19.207999999999995</v>
      </c>
      <c r="D36" s="3">
        <f t="shared" si="1"/>
        <v>12690.70232206209</v>
      </c>
      <c r="E36" s="3">
        <f t="shared" si="2"/>
        <v>28761.116438268436</v>
      </c>
      <c r="F36" s="3">
        <f t="shared" si="3"/>
        <v>10784.390106020235</v>
      </c>
      <c r="H36">
        <v>2048</v>
      </c>
      <c r="I36">
        <v>4</v>
      </c>
      <c r="J36">
        <f t="shared" si="0"/>
        <v>0.04</v>
      </c>
      <c r="K36" s="3">
        <f t="shared" si="4"/>
        <v>4347.6864320225441</v>
      </c>
      <c r="L36" s="3">
        <f t="shared" si="4"/>
        <v>3634.8169554976462</v>
      </c>
      <c r="M36" s="3">
        <f t="shared" si="4"/>
        <v>4080.1905925094243</v>
      </c>
    </row>
    <row r="37" spans="2:13" x14ac:dyDescent="0.35">
      <c r="B37">
        <v>2049</v>
      </c>
      <c r="C37">
        <f t="shared" si="6"/>
        <v>19.203999999999994</v>
      </c>
      <c r="D37" s="3">
        <f t="shared" si="1"/>
        <v>12688.059526909641</v>
      </c>
      <c r="E37" s="3">
        <f t="shared" si="2"/>
        <v>28755.127034595331</v>
      </c>
      <c r="F37" s="3">
        <f t="shared" si="3"/>
        <v>10782.144293836558</v>
      </c>
      <c r="H37">
        <v>2049</v>
      </c>
      <c r="I37">
        <v>4</v>
      </c>
      <c r="J37">
        <f t="shared" si="0"/>
        <v>0.04</v>
      </c>
      <c r="K37" s="3">
        <f t="shared" si="4"/>
        <v>4347.6864320225441</v>
      </c>
      <c r="L37" s="3">
        <f t="shared" si="4"/>
        <v>3634.8169554976462</v>
      </c>
      <c r="M37" s="3">
        <f t="shared" si="4"/>
        <v>4080.1905925094243</v>
      </c>
    </row>
    <row r="38" spans="2:13" x14ac:dyDescent="0.35">
      <c r="B38">
        <v>2050</v>
      </c>
      <c r="C38">
        <v>19.2</v>
      </c>
      <c r="D38" s="3">
        <f t="shared" si="1"/>
        <v>12685.416731757196</v>
      </c>
      <c r="E38" s="3">
        <f t="shared" si="2"/>
        <v>28749.137630922225</v>
      </c>
      <c r="F38" s="3">
        <f t="shared" si="3"/>
        <v>10779.898481652883</v>
      </c>
      <c r="H38">
        <v>2050</v>
      </c>
      <c r="I38">
        <v>4</v>
      </c>
      <c r="J38">
        <f t="shared" si="0"/>
        <v>0.04</v>
      </c>
      <c r="K38" s="3">
        <f t="shared" si="4"/>
        <v>4347.6864320225441</v>
      </c>
      <c r="L38" s="3">
        <f t="shared" si="4"/>
        <v>3634.8169554976462</v>
      </c>
      <c r="M38" s="3">
        <f t="shared" si="4"/>
        <v>4080.1905925094243</v>
      </c>
    </row>
    <row r="40" spans="2:13" x14ac:dyDescent="0.35">
      <c r="C40" t="s">
        <v>51</v>
      </c>
      <c r="D40" s="3">
        <f>SUM(D17:D38)</f>
        <v>289881.59328429529</v>
      </c>
      <c r="E40" s="3">
        <f>SUM(E17:E38)</f>
        <v>656962.71539412113</v>
      </c>
      <c r="F40" s="3">
        <f>SUM(F17:F38)</f>
        <v>246337.52389714599</v>
      </c>
      <c r="J40" t="s">
        <v>51</v>
      </c>
      <c r="K40" s="3">
        <f>SUM(K17:K38)</f>
        <v>95649.101504495964</v>
      </c>
      <c r="L40" s="3">
        <f>SUM(L17:L38)</f>
        <v>79965.973020948237</v>
      </c>
      <c r="M40" s="3">
        <f>SUM(M17:M38)</f>
        <v>89764.19303520731</v>
      </c>
    </row>
    <row r="41" spans="2:13" x14ac:dyDescent="0.35">
      <c r="J41" t="s">
        <v>60</v>
      </c>
      <c r="K41" s="3">
        <f>K40*(-1)</f>
        <v>-95649.101504495964</v>
      </c>
      <c r="L41" s="3">
        <f t="shared" ref="L41:M41" si="7">L40*(-1)</f>
        <v>-79965.973020948237</v>
      </c>
      <c r="M41" s="3">
        <f t="shared" si="7"/>
        <v>-89764.19303520731</v>
      </c>
    </row>
    <row r="42" spans="2:13" x14ac:dyDescent="0.35">
      <c r="B42" s="76" t="s">
        <v>84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</row>
    <row r="43" spans="2:13" x14ac:dyDescent="0.35">
      <c r="B43" s="40">
        <v>2021</v>
      </c>
      <c r="C43" s="40">
        <v>25.93</v>
      </c>
      <c r="D43" s="41">
        <f>$C43*$D$14/100</f>
        <v>17131.919575753338</v>
      </c>
      <c r="E43" s="41">
        <f>$C43*$E$14/100</f>
        <v>38826.309310927776</v>
      </c>
      <c r="F43" s="41">
        <f>$C43*$D$14/100</f>
        <v>17131.919575753338</v>
      </c>
      <c r="G43" s="40"/>
      <c r="H43" s="40">
        <v>2021</v>
      </c>
      <c r="I43" s="40">
        <v>8.83</v>
      </c>
      <c r="J43" s="40">
        <f>I43/100</f>
        <v>8.8300000000000003E-2</v>
      </c>
      <c r="K43" s="41">
        <f t="shared" ref="K43:M46" si="8">$J$43*K$14</f>
        <v>4347.6864320225441</v>
      </c>
      <c r="L43" s="41">
        <f t="shared" si="8"/>
        <v>3634.8169554976462</v>
      </c>
      <c r="M43" s="41">
        <f t="shared" si="8"/>
        <v>4080.1905925094243</v>
      </c>
    </row>
    <row r="44" spans="2:13" x14ac:dyDescent="0.35">
      <c r="B44" s="40">
        <v>2022</v>
      </c>
      <c r="C44" s="40">
        <v>27.12</v>
      </c>
      <c r="D44" s="41">
        <f>$C44*$D$14/100</f>
        <v>17918.15113360704</v>
      </c>
      <c r="E44" s="41">
        <f>$C44*$E$14/100</f>
        <v>40608.156903677649</v>
      </c>
      <c r="F44" s="41">
        <f>$C44*$D$14/100</f>
        <v>17918.15113360704</v>
      </c>
      <c r="G44" s="40"/>
      <c r="H44" s="40">
        <v>2022</v>
      </c>
      <c r="I44" s="40">
        <v>8.83</v>
      </c>
      <c r="J44" s="40">
        <f>I44/100</f>
        <v>8.8300000000000003E-2</v>
      </c>
      <c r="K44" s="41">
        <f t="shared" si="8"/>
        <v>4347.6864320225441</v>
      </c>
      <c r="L44" s="41">
        <f t="shared" si="8"/>
        <v>3634.8169554976462</v>
      </c>
      <c r="M44" s="41">
        <f t="shared" si="8"/>
        <v>4080.1905925094243</v>
      </c>
    </row>
    <row r="45" spans="2:13" x14ac:dyDescent="0.35">
      <c r="B45" s="40">
        <v>2023</v>
      </c>
      <c r="C45" s="40">
        <v>24.43</v>
      </c>
      <c r="D45" s="41">
        <f>$C45*$D$14/100</f>
        <v>16140.871393584806</v>
      </c>
      <c r="E45" s="41">
        <f>$C45*$E$14/100</f>
        <v>36580.282933511982</v>
      </c>
      <c r="F45" s="41">
        <f>$C45*$D$14/100</f>
        <v>16140.871393584806</v>
      </c>
      <c r="G45" s="40"/>
      <c r="H45" s="40">
        <v>2023</v>
      </c>
      <c r="I45" s="40">
        <v>8.83</v>
      </c>
      <c r="J45" s="40">
        <f>I45/100</f>
        <v>8.8300000000000003E-2</v>
      </c>
      <c r="K45" s="41">
        <f t="shared" si="8"/>
        <v>4347.6864320225441</v>
      </c>
      <c r="L45" s="41">
        <f t="shared" si="8"/>
        <v>3634.8169554976462</v>
      </c>
      <c r="M45" s="41">
        <f t="shared" si="8"/>
        <v>4080.1905925094243</v>
      </c>
    </row>
    <row r="46" spans="2:13" x14ac:dyDescent="0.35">
      <c r="B46" s="40">
        <v>2024</v>
      </c>
      <c r="C46" s="40">
        <v>24.62</v>
      </c>
      <c r="D46" s="41">
        <f>$C46*$D$14/100</f>
        <v>16266.404163326155</v>
      </c>
      <c r="E46" s="41">
        <f>$C46*$E$14/100</f>
        <v>36864.779607984652</v>
      </c>
      <c r="F46" s="41">
        <f>$C46*$D$14/100</f>
        <v>16266.404163326155</v>
      </c>
      <c r="G46" s="40"/>
      <c r="H46" s="40">
        <v>2024</v>
      </c>
      <c r="I46" s="40">
        <v>8.83</v>
      </c>
      <c r="J46" s="40">
        <f>I46/100</f>
        <v>8.8300000000000003E-2</v>
      </c>
      <c r="K46" s="41">
        <f t="shared" si="8"/>
        <v>4347.6864320225441</v>
      </c>
      <c r="L46" s="41">
        <f t="shared" si="8"/>
        <v>3634.8169554976462</v>
      </c>
      <c r="M46" s="41">
        <f t="shared" si="8"/>
        <v>4080.1905925094243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90C2-65B1-4381-A0FC-3F8F0BA4C507}">
  <dimension ref="A1:K42"/>
  <sheetViews>
    <sheetView zoomScale="130" zoomScaleNormal="130" workbookViewId="0">
      <selection activeCell="D13" sqref="D13"/>
    </sheetView>
  </sheetViews>
  <sheetFormatPr baseColWidth="10" defaultRowHeight="14.5" x14ac:dyDescent="0.35"/>
  <cols>
    <col min="2" max="2" width="20.36328125" customWidth="1"/>
    <col min="3" max="4" width="14" bestFit="1" customWidth="1"/>
    <col min="5" max="5" width="13.54296875" customWidth="1"/>
    <col min="6" max="6" width="13" bestFit="1" customWidth="1"/>
    <col min="7" max="7" width="13.1796875" bestFit="1" customWidth="1"/>
    <col min="8" max="8" width="31.90625" bestFit="1" customWidth="1"/>
    <col min="9" max="9" width="17" bestFit="1" customWidth="1"/>
    <col min="10" max="10" width="12.54296875" bestFit="1" customWidth="1"/>
    <col min="11" max="11" width="19.81640625" bestFit="1" customWidth="1"/>
  </cols>
  <sheetData>
    <row r="1" spans="1:11" x14ac:dyDescent="0.35">
      <c r="H1" t="s">
        <v>113</v>
      </c>
    </row>
    <row r="2" spans="1:11" x14ac:dyDescent="0.35">
      <c r="B2" s="42" t="str" cm="1">
        <f t="array" ref="B2:B9">dezentral!C30:C37</f>
        <v>dezentral</v>
      </c>
      <c r="C2" s="42" t="str" cm="1">
        <f t="array" ref="C2:C9">'kalte NW'!C34:C41</f>
        <v>KNW</v>
      </c>
      <c r="D2" s="42" t="str" cm="1">
        <f t="array" ref="D2:D9">'NT-WN'!C31:C38</f>
        <v>NT-WN</v>
      </c>
      <c r="G2" s="42" t="s">
        <v>114</v>
      </c>
      <c r="I2" s="42" t="s">
        <v>47</v>
      </c>
      <c r="J2" s="42" t="s">
        <v>111</v>
      </c>
      <c r="K2" s="42" t="s">
        <v>48</v>
      </c>
    </row>
    <row r="3" spans="1:11" x14ac:dyDescent="0.35">
      <c r="A3" t="str" cm="1">
        <f t="array" ref="A3:A7">dezentral!B31:B35</f>
        <v>Sanierung</v>
      </c>
      <c r="B3" s="2">
        <v>1580000</v>
      </c>
      <c r="C3" s="2">
        <v>1580000</v>
      </c>
      <c r="D3" s="2">
        <v>630000</v>
      </c>
      <c r="E3" s="2"/>
      <c r="G3" s="2">
        <v>0.32923427140105138</v>
      </c>
      <c r="H3" t="s">
        <v>105</v>
      </c>
      <c r="I3" s="2">
        <f t="shared" ref="I3:K7" si="0">B3/B$9</f>
        <v>0.76343974359810018</v>
      </c>
      <c r="J3" s="2">
        <f t="shared" si="0"/>
        <v>0.73051543080244696</v>
      </c>
      <c r="K3" s="2">
        <f t="shared" si="0"/>
        <v>0.35424094374360549</v>
      </c>
    </row>
    <row r="4" spans="1:11" x14ac:dyDescent="0.35">
      <c r="A4" t="str">
        <v>Wärmeverteilung- und Speicherung</v>
      </c>
      <c r="B4" s="2">
        <v>0</v>
      </c>
      <c r="C4" s="2">
        <v>97050.562896637624</v>
      </c>
      <c r="D4" s="2">
        <v>296127.68564031721</v>
      </c>
      <c r="E4" s="2"/>
      <c r="G4" s="2">
        <v>0.15475457591026892</v>
      </c>
      <c r="H4" t="s">
        <v>107</v>
      </c>
      <c r="I4" s="2">
        <f t="shared" si="0"/>
        <v>0</v>
      </c>
      <c r="J4" s="2">
        <f t="shared" si="0"/>
        <v>4.4871477065858992E-2</v>
      </c>
      <c r="K4" s="2">
        <f t="shared" si="0"/>
        <v>0.16650881084100905</v>
      </c>
    </row>
    <row r="5" spans="1:11" x14ac:dyDescent="0.35">
      <c r="A5" t="str">
        <v>Wärmeerzeugung</v>
      </c>
      <c r="B5" s="2">
        <v>247848</v>
      </c>
      <c r="C5" s="2">
        <v>257469.9</v>
      </c>
      <c r="D5" s="2">
        <v>251901.11850488459</v>
      </c>
      <c r="E5" s="2"/>
      <c r="G5" s="2">
        <v>0.1414249948836401</v>
      </c>
      <c r="H5" t="s">
        <v>106</v>
      </c>
      <c r="I5" s="2">
        <f t="shared" si="0"/>
        <v>0.11975760352614045</v>
      </c>
      <c r="J5" s="2">
        <f t="shared" si="0"/>
        <v>0.11904160437795122</v>
      </c>
      <c r="K5" s="2">
        <f t="shared" si="0"/>
        <v>0.14164077769720654</v>
      </c>
    </row>
    <row r="6" spans="1:11" x14ac:dyDescent="0.35">
      <c r="A6" t="str">
        <v>Energiekosten</v>
      </c>
      <c r="B6" s="2">
        <v>194232.49177979934</v>
      </c>
      <c r="C6" s="2">
        <v>156573.33086193868</v>
      </c>
      <c r="D6" s="2">
        <v>576996.74237317289</v>
      </c>
      <c r="E6" s="2"/>
      <c r="G6" s="2">
        <v>0.36433024895385607</v>
      </c>
      <c r="H6" t="s">
        <v>10</v>
      </c>
      <c r="I6" s="2">
        <f t="shared" si="0"/>
        <v>9.3851141596702589E-2</v>
      </c>
      <c r="J6" s="2">
        <f t="shared" si="0"/>
        <v>7.239192040935645E-2</v>
      </c>
      <c r="K6" s="2">
        <f t="shared" si="0"/>
        <v>0.32443788977025201</v>
      </c>
    </row>
    <row r="7" spans="1:11" x14ac:dyDescent="0.35">
      <c r="A7" t="str">
        <v>Instandhaltungskosten</v>
      </c>
      <c r="B7" s="2">
        <v>47500</v>
      </c>
      <c r="C7" s="2">
        <v>71762.640724159399</v>
      </c>
      <c r="D7" s="2">
        <v>23425</v>
      </c>
      <c r="E7" s="2"/>
      <c r="G7" s="2">
        <v>1.0255908851183545E-2</v>
      </c>
      <c r="H7" t="s">
        <v>109</v>
      </c>
      <c r="I7" s="2">
        <f t="shared" si="0"/>
        <v>2.2951511279056806E-2</v>
      </c>
      <c r="J7" s="2">
        <f t="shared" si="0"/>
        <v>3.3179567344386408E-2</v>
      </c>
      <c r="K7" s="2">
        <f t="shared" si="0"/>
        <v>1.3171577947926918E-2</v>
      </c>
    </row>
    <row r="8" spans="1:11" x14ac:dyDescent="0.35">
      <c r="B8" t="str">
        <v xml:space="preserve"> </v>
      </c>
      <c r="C8" t="str">
        <v xml:space="preserve"> </v>
      </c>
      <c r="D8" t="str">
        <v xml:space="preserve"> </v>
      </c>
    </row>
    <row r="9" spans="1:11" x14ac:dyDescent="0.35">
      <c r="A9" t="str">
        <f>dezentral!B37</f>
        <v>Kontrollsumme</v>
      </c>
      <c r="B9" s="2">
        <v>2069580.4917797993</v>
      </c>
      <c r="C9" s="2">
        <v>2162856.4344827356</v>
      </c>
      <c r="D9" s="2">
        <v>1778450.5465183747</v>
      </c>
      <c r="E9" s="2"/>
      <c r="H9" t="s">
        <v>108</v>
      </c>
      <c r="I9" s="42">
        <f>SUM(I3:I7)</f>
        <v>1</v>
      </c>
      <c r="J9" s="42">
        <f t="shared" ref="J9:K9" si="1">SUM(J3:J7)</f>
        <v>1</v>
      </c>
      <c r="K9" s="42">
        <f t="shared" si="1"/>
        <v>0.99999999999999989</v>
      </c>
    </row>
    <row r="10" spans="1:11" x14ac:dyDescent="0.35">
      <c r="C10" s="2">
        <f>C9-B9</f>
        <v>93275.942702936241</v>
      </c>
    </row>
    <row r="11" spans="1:11" x14ac:dyDescent="0.35">
      <c r="A11" t="s">
        <v>115</v>
      </c>
      <c r="B11" t="s">
        <v>116</v>
      </c>
      <c r="C11" t="s">
        <v>48</v>
      </c>
      <c r="D11" t="s">
        <v>111</v>
      </c>
    </row>
    <row r="12" spans="1:11" x14ac:dyDescent="0.35">
      <c r="B12" s="46">
        <f>ROUND(B9,-4)</f>
        <v>2070000</v>
      </c>
      <c r="C12" s="46">
        <f>ROUND(D9,-4)</f>
        <v>1780000</v>
      </c>
      <c r="D12" s="46">
        <f>ROUND(C9,-4)</f>
        <v>2160000</v>
      </c>
    </row>
    <row r="13" spans="1:11" x14ac:dyDescent="0.35">
      <c r="I13" s="45"/>
      <c r="J13" s="45"/>
      <c r="K13" s="45"/>
    </row>
    <row r="14" spans="1:11" x14ac:dyDescent="0.35">
      <c r="I14" s="45"/>
      <c r="J14" s="45"/>
      <c r="K14" s="45"/>
    </row>
    <row r="15" spans="1:11" x14ac:dyDescent="0.35">
      <c r="I15" s="45"/>
      <c r="J15" s="45"/>
      <c r="K15" s="45"/>
    </row>
    <row r="16" spans="1:11" x14ac:dyDescent="0.35">
      <c r="I16" s="45"/>
      <c r="J16" s="45"/>
      <c r="K16" s="45"/>
    </row>
    <row r="17" spans="7:11" x14ac:dyDescent="0.35">
      <c r="I17" s="45"/>
      <c r="J17" s="45"/>
      <c r="K17" s="45"/>
    </row>
    <row r="28" spans="7:11" x14ac:dyDescent="0.35">
      <c r="G28" t="s">
        <v>124</v>
      </c>
    </row>
    <row r="29" spans="7:11" x14ac:dyDescent="0.35">
      <c r="G29" s="2">
        <v>195000</v>
      </c>
      <c r="H29" s="2">
        <v>168000</v>
      </c>
    </row>
    <row r="30" spans="7:11" x14ac:dyDescent="0.35">
      <c r="G30" s="2">
        <v>47500</v>
      </c>
      <c r="H30" s="2">
        <v>67800</v>
      </c>
    </row>
    <row r="32" spans="7:11" x14ac:dyDescent="0.35">
      <c r="G32" s="42">
        <f>SUM(G29:G30)</f>
        <v>242500</v>
      </c>
      <c r="H32" s="42">
        <f>SUM(H29:H30)</f>
        <v>235800</v>
      </c>
    </row>
    <row r="34" spans="2:5" x14ac:dyDescent="0.35">
      <c r="C34" s="42" t="s">
        <v>47</v>
      </c>
      <c r="D34" s="42" t="s">
        <v>111</v>
      </c>
      <c r="E34" s="42" t="s">
        <v>48</v>
      </c>
    </row>
    <row r="35" spans="2:5" x14ac:dyDescent="0.35">
      <c r="B35" t="s">
        <v>105</v>
      </c>
      <c r="C35" s="2" cm="1">
        <f t="array" ref="C35:E39">B3:D7</f>
        <v>1580000</v>
      </c>
      <c r="D35" s="2">
        <v>1580000</v>
      </c>
      <c r="E35" s="2">
        <v>630000</v>
      </c>
    </row>
    <row r="36" spans="2:5" x14ac:dyDescent="0.35">
      <c r="B36" s="4" t="s">
        <v>107</v>
      </c>
      <c r="C36" s="48">
        <v>0</v>
      </c>
      <c r="D36" s="48">
        <v>97050.562896637624</v>
      </c>
      <c r="E36" s="48">
        <v>296127.68564031721</v>
      </c>
    </row>
    <row r="37" spans="2:5" x14ac:dyDescent="0.35">
      <c r="B37" t="s">
        <v>106</v>
      </c>
      <c r="C37" s="2">
        <v>247848</v>
      </c>
      <c r="D37" s="2">
        <v>257469.9</v>
      </c>
      <c r="E37" s="2">
        <v>251901.11850488459</v>
      </c>
    </row>
    <row r="38" spans="2:5" x14ac:dyDescent="0.35">
      <c r="B38" t="s">
        <v>10</v>
      </c>
      <c r="C38" s="2">
        <v>194232.49177979934</v>
      </c>
      <c r="D38" s="2">
        <v>156573.33086193868</v>
      </c>
      <c r="E38" s="2">
        <v>576996.74237317289</v>
      </c>
    </row>
    <row r="39" spans="2:5" x14ac:dyDescent="0.35">
      <c r="B39" t="s">
        <v>109</v>
      </c>
      <c r="C39" s="2">
        <v>47500</v>
      </c>
      <c r="D39" s="2">
        <v>71762.640724159399</v>
      </c>
      <c r="E39" s="2">
        <v>23425</v>
      </c>
    </row>
    <row r="41" spans="2:5" x14ac:dyDescent="0.35">
      <c r="C41" s="42" t="s">
        <v>47</v>
      </c>
      <c r="D41" s="42" t="s">
        <v>111</v>
      </c>
      <c r="E41" s="42" t="s">
        <v>48</v>
      </c>
    </row>
    <row r="42" spans="2:5" x14ac:dyDescent="0.35">
      <c r="B42" t="s">
        <v>106</v>
      </c>
      <c r="C42" s="2">
        <v>247848</v>
      </c>
      <c r="D42" s="2">
        <v>243744</v>
      </c>
      <c r="E42" s="2">
        <v>251901.11850488459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="115" zoomScaleNormal="115" workbookViewId="0">
      <selection activeCell="D12" sqref="D12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Parameter'!C8:C9</f>
        <v>289881.59328429529</v>
      </c>
    </row>
    <row r="6" spans="1:19" x14ac:dyDescent="0.35">
      <c r="B6" s="53" t="s">
        <v>36</v>
      </c>
      <c r="C6" s="52">
        <f>D6*E6</f>
        <v>98267.999999999985</v>
      </c>
      <c r="D6">
        <f>[2]dezentral!$C$8</f>
        <v>86.199999999999989</v>
      </c>
      <c r="E6" s="25">
        <v>1140</v>
      </c>
      <c r="F6" s="26" t="s">
        <v>37</v>
      </c>
      <c r="G6" s="20" t="s">
        <v>33</v>
      </c>
      <c r="K6" t="s">
        <v>6</v>
      </c>
      <c r="L6" s="7">
        <v>-95649.101504495964</v>
      </c>
      <c r="N6">
        <v>130</v>
      </c>
      <c r="O6" t="s">
        <v>62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G8" s="20"/>
      <c r="K8"/>
    </row>
    <row r="9" spans="1:19" x14ac:dyDescent="0.35">
      <c r="B9" s="19" t="s">
        <v>5</v>
      </c>
      <c r="C9" s="9" t="s">
        <v>5</v>
      </c>
      <c r="G9" s="20"/>
      <c r="K9"/>
    </row>
    <row r="10" spans="1:19" x14ac:dyDescent="0.35">
      <c r="B10" s="51" t="s">
        <v>3</v>
      </c>
      <c r="C10" s="52"/>
      <c r="G10" s="20"/>
      <c r="K10"/>
    </row>
    <row r="11" spans="1:19" x14ac:dyDescent="0.35">
      <c r="B11" s="53" t="s">
        <v>35</v>
      </c>
      <c r="C11" s="52"/>
      <c r="F11" t="s">
        <v>31</v>
      </c>
      <c r="G11" s="20" t="s">
        <v>33</v>
      </c>
      <c r="H11" t="s">
        <v>30</v>
      </c>
      <c r="I11" s="6" t="s">
        <v>53</v>
      </c>
      <c r="K11"/>
    </row>
    <row r="12" spans="1:19" x14ac:dyDescent="0.35">
      <c r="B12" s="53" t="s">
        <v>16</v>
      </c>
      <c r="C12" s="52">
        <f>D12*E12</f>
        <v>27600</v>
      </c>
      <c r="D12">
        <v>20</v>
      </c>
      <c r="E12" s="25">
        <v>1380</v>
      </c>
      <c r="F12" s="26" t="s">
        <v>29</v>
      </c>
      <c r="G12" s="20" t="s">
        <v>33</v>
      </c>
      <c r="I12" s="7">
        <v>350</v>
      </c>
      <c r="K12"/>
    </row>
    <row r="13" spans="1:19" x14ac:dyDescent="0.35">
      <c r="B13" s="53" t="s">
        <v>28</v>
      </c>
      <c r="C13" s="52">
        <f t="shared" ref="C13:C15" si="0">D13*E13</f>
        <v>43350</v>
      </c>
      <c r="D13">
        <v>50</v>
      </c>
      <c r="E13" s="25">
        <v>867</v>
      </c>
      <c r="F13" s="26" t="s">
        <v>29</v>
      </c>
      <c r="G13" s="20" t="s">
        <v>33</v>
      </c>
      <c r="I13" s="7">
        <v>533</v>
      </c>
      <c r="K13"/>
    </row>
    <row r="14" spans="1:19" x14ac:dyDescent="0.35">
      <c r="B14" s="53" t="s">
        <v>27</v>
      </c>
      <c r="C14" s="52">
        <f t="shared" si="0"/>
        <v>51030</v>
      </c>
      <c r="D14">
        <v>70</v>
      </c>
      <c r="E14" s="25">
        <v>729</v>
      </c>
      <c r="F14" s="26" t="s">
        <v>29</v>
      </c>
      <c r="G14" s="20" t="s">
        <v>33</v>
      </c>
      <c r="I14" s="7">
        <v>667</v>
      </c>
      <c r="K14"/>
    </row>
    <row r="15" spans="1:19" x14ac:dyDescent="0.35">
      <c r="B15" s="53" t="s">
        <v>26</v>
      </c>
      <c r="C15" s="52">
        <f t="shared" si="0"/>
        <v>27600</v>
      </c>
      <c r="D15">
        <v>20</v>
      </c>
      <c r="E15" s="25">
        <v>1380</v>
      </c>
      <c r="F15" s="26" t="s">
        <v>29</v>
      </c>
      <c r="G15" s="20" t="s">
        <v>34</v>
      </c>
      <c r="I15" s="7">
        <v>350</v>
      </c>
      <c r="K15"/>
    </row>
    <row r="16" spans="1:19" x14ac:dyDescent="0.35">
      <c r="G16" s="20"/>
      <c r="K16"/>
    </row>
    <row r="17" spans="1:19" x14ac:dyDescent="0.35">
      <c r="B17" s="58" t="s">
        <v>7</v>
      </c>
      <c r="C17" s="59"/>
      <c r="G17" s="20"/>
      <c r="K17"/>
    </row>
    <row r="18" spans="1:19" x14ac:dyDescent="0.35">
      <c r="B18" s="60" t="s">
        <v>121</v>
      </c>
      <c r="C18" s="59"/>
      <c r="G18" s="20"/>
      <c r="K18"/>
    </row>
    <row r="19" spans="1:19" x14ac:dyDescent="0.35">
      <c r="B19" s="60" t="s">
        <v>17</v>
      </c>
      <c r="C19" s="59">
        <v>420000</v>
      </c>
      <c r="G19" s="20"/>
      <c r="K19"/>
    </row>
    <row r="20" spans="1:19" x14ac:dyDescent="0.35">
      <c r="B20" s="60" t="s">
        <v>18</v>
      </c>
      <c r="C20" s="59">
        <v>170000</v>
      </c>
      <c r="G20" s="20"/>
      <c r="K20"/>
    </row>
    <row r="21" spans="1:19" x14ac:dyDescent="0.35">
      <c r="B21" s="60" t="s">
        <v>19</v>
      </c>
      <c r="C21" s="59">
        <v>790000</v>
      </c>
      <c r="G21" s="20"/>
      <c r="K21"/>
    </row>
    <row r="22" spans="1:19" x14ac:dyDescent="0.35">
      <c r="B22" s="60" t="s">
        <v>20</v>
      </c>
      <c r="C22" s="59">
        <v>200000</v>
      </c>
      <c r="G22" s="20"/>
      <c r="K22"/>
    </row>
    <row r="23" spans="1:19" x14ac:dyDescent="0.35">
      <c r="G23" s="20"/>
      <c r="H23" t="s">
        <v>78</v>
      </c>
      <c r="I23" s="39">
        <f>SUM(I5:I22)</f>
        <v>1900</v>
      </c>
      <c r="K23"/>
    </row>
    <row r="24" spans="1:19" s="27" customFormat="1" ht="15" thickBot="1" x14ac:dyDescent="0.4">
      <c r="B24" s="19"/>
      <c r="C24" s="6"/>
      <c r="D24"/>
      <c r="E24"/>
      <c r="F24"/>
      <c r="G24" s="20"/>
      <c r="H24" t="s">
        <v>79</v>
      </c>
      <c r="I24" s="8">
        <f>I23*'Allgemeine Parameter'!C3</f>
        <v>47500</v>
      </c>
      <c r="J24"/>
      <c r="K24"/>
      <c r="L24" s="6"/>
      <c r="M24"/>
      <c r="N24"/>
      <c r="O24"/>
      <c r="P24"/>
      <c r="Q24"/>
      <c r="R24"/>
      <c r="S24"/>
    </row>
    <row r="25" spans="1:19" s="31" customFormat="1" ht="15" thickBot="1" x14ac:dyDescent="0.4">
      <c r="A25" s="30"/>
      <c r="B25" s="30" t="s">
        <v>52</v>
      </c>
      <c r="C25" s="10"/>
      <c r="G25" s="32"/>
      <c r="I25" s="5"/>
      <c r="L25" s="5"/>
      <c r="M25"/>
      <c r="N25"/>
      <c r="O25"/>
      <c r="P25"/>
      <c r="Q25"/>
      <c r="R25"/>
      <c r="S25"/>
    </row>
    <row r="26" spans="1:19" s="27" customFormat="1" ht="15" thickBot="1" x14ac:dyDescent="0.4">
      <c r="A26" s="28"/>
      <c r="B26" s="33">
        <f>SUM(C26,I26,L26)</f>
        <v>2069580.4917797993</v>
      </c>
      <c r="C26" s="17">
        <f>SUM(C1:C23)</f>
        <v>1827848</v>
      </c>
      <c r="G26" s="29"/>
      <c r="I26" s="57">
        <f>SUM(I24)</f>
        <v>47500</v>
      </c>
      <c r="L26" s="54">
        <f>SUM(L5:L6)</f>
        <v>194232.49177979934</v>
      </c>
      <c r="M26"/>
      <c r="N26"/>
      <c r="O26"/>
      <c r="P26"/>
      <c r="Q26"/>
      <c r="R26"/>
      <c r="S26"/>
    </row>
    <row r="27" spans="1:19" x14ac:dyDescent="0.35">
      <c r="B27"/>
      <c r="C27" s="34"/>
      <c r="I27"/>
      <c r="K27"/>
      <c r="L27"/>
    </row>
    <row r="28" spans="1:19" x14ac:dyDescent="0.35">
      <c r="B28" t="s">
        <v>80</v>
      </c>
      <c r="C28" s="34"/>
      <c r="I28"/>
      <c r="K28"/>
      <c r="L28"/>
    </row>
    <row r="29" spans="1:19" x14ac:dyDescent="0.35">
      <c r="B29"/>
      <c r="C29" s="34"/>
      <c r="I29"/>
      <c r="K29"/>
      <c r="L29"/>
    </row>
    <row r="30" spans="1:19" x14ac:dyDescent="0.35">
      <c r="B30" s="1" t="s">
        <v>112</v>
      </c>
      <c r="C30" s="34" t="s">
        <v>47</v>
      </c>
      <c r="I30"/>
      <c r="K30"/>
      <c r="L30"/>
    </row>
    <row r="31" spans="1:19" x14ac:dyDescent="0.35">
      <c r="B31" s="60" t="s">
        <v>105</v>
      </c>
      <c r="C31" s="63">
        <f>SUM(C19:C22)</f>
        <v>1580000</v>
      </c>
      <c r="I31"/>
      <c r="K31"/>
      <c r="L31"/>
    </row>
    <row r="32" spans="1:19" x14ac:dyDescent="0.35">
      <c r="B32" s="49" t="s">
        <v>107</v>
      </c>
      <c r="C32" s="64">
        <v>0</v>
      </c>
      <c r="I32"/>
      <c r="K32"/>
      <c r="L32"/>
    </row>
    <row r="33" spans="2:3" customFormat="1" x14ac:dyDescent="0.35">
      <c r="B33" s="53" t="s">
        <v>106</v>
      </c>
      <c r="C33" s="65">
        <f>SUM(C12:C15,C6)</f>
        <v>247848</v>
      </c>
    </row>
    <row r="34" spans="2:3" customFormat="1" x14ac:dyDescent="0.35">
      <c r="B34" s="66" t="s">
        <v>10</v>
      </c>
      <c r="C34" s="67">
        <f>SUM(L26)</f>
        <v>194232.49177979934</v>
      </c>
    </row>
    <row r="35" spans="2:3" customFormat="1" x14ac:dyDescent="0.35">
      <c r="B35" s="55" t="s">
        <v>109</v>
      </c>
      <c r="C35" s="56">
        <f>SUM(I26)</f>
        <v>47500</v>
      </c>
    </row>
    <row r="36" spans="2:3" customFormat="1" ht="15" thickBot="1" x14ac:dyDescent="0.4">
      <c r="B36" s="19"/>
      <c r="C36" s="9" t="s">
        <v>33</v>
      </c>
    </row>
    <row r="37" spans="2:3" customFormat="1" ht="15" thickBot="1" x14ac:dyDescent="0.4">
      <c r="B37" t="s">
        <v>108</v>
      </c>
      <c r="C37" s="33">
        <f>SUM(C31:C35)</f>
        <v>2069580.4917797993</v>
      </c>
    </row>
  </sheetData>
  <mergeCells count="2"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3"/>
  <sheetViews>
    <sheetView tabSelected="1" topLeftCell="A9" zoomScaleNormal="100" workbookViewId="0">
      <selection activeCell="E23" sqref="E23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H5" t="s">
        <v>30</v>
      </c>
      <c r="I5" s="6" t="s">
        <v>53</v>
      </c>
      <c r="J5" s="11"/>
      <c r="K5" s="37" t="s">
        <v>11</v>
      </c>
      <c r="L5" s="7" cm="1">
        <f t="array" ref="L5:L6">'Allgemeine Parameter'!E8:E9</f>
        <v>246337.52389714599</v>
      </c>
    </row>
    <row r="6" spans="1:19" x14ac:dyDescent="0.35">
      <c r="B6" s="53" t="s">
        <v>36</v>
      </c>
      <c r="C6" s="52">
        <f>D6*E6</f>
        <v>120452.4</v>
      </c>
      <c r="D6" s="4">
        <v>105.66</v>
      </c>
      <c r="E6" s="25">
        <v>1140</v>
      </c>
      <c r="F6" s="26" t="s">
        <v>37</v>
      </c>
      <c r="G6" s="20" t="s">
        <v>33</v>
      </c>
      <c r="K6" t="s">
        <v>6</v>
      </c>
      <c r="L6" s="7">
        <v>-89764.19303520731</v>
      </c>
      <c r="N6" t="s">
        <v>63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D8" s="18" t="s">
        <v>87</v>
      </c>
      <c r="E8" s="18" t="s">
        <v>65</v>
      </c>
      <c r="G8" s="20"/>
      <c r="H8" t="s">
        <v>4</v>
      </c>
      <c r="K8"/>
    </row>
    <row r="9" spans="1:19" x14ac:dyDescent="0.35">
      <c r="B9" s="49" t="s">
        <v>93</v>
      </c>
      <c r="C9" s="50">
        <f>D9*E9</f>
        <v>36573</v>
      </c>
      <c r="D9">
        <f>7+66</f>
        <v>73</v>
      </c>
      <c r="E9">
        <v>501</v>
      </c>
      <c r="F9" s="26" t="s">
        <v>86</v>
      </c>
      <c r="G9" s="20" t="s">
        <v>33</v>
      </c>
      <c r="H9" t="s">
        <v>90</v>
      </c>
      <c r="K9"/>
    </row>
    <row r="10" spans="1:19" x14ac:dyDescent="0.35">
      <c r="B10" s="49" t="s">
        <v>88</v>
      </c>
      <c r="C10" s="50">
        <f>D10*E10</f>
        <v>15282</v>
      </c>
      <c r="D10">
        <f>27+15+12</f>
        <v>54</v>
      </c>
      <c r="E10">
        <v>283</v>
      </c>
      <c r="F10" s="26" t="s">
        <v>86</v>
      </c>
      <c r="G10" s="20" t="s">
        <v>33</v>
      </c>
      <c r="H10" t="s">
        <v>92</v>
      </c>
      <c r="K10"/>
    </row>
    <row r="11" spans="1:19" x14ac:dyDescent="0.35">
      <c r="B11" s="49"/>
      <c r="C11" s="50"/>
      <c r="D11" t="s">
        <v>39</v>
      </c>
      <c r="E11" s="18" t="s">
        <v>32</v>
      </c>
      <c r="F11" s="26"/>
      <c r="G11" s="20"/>
      <c r="H11" s="42">
        <f>SUM(C9:C13)</f>
        <v>97050.562896637624</v>
      </c>
      <c r="I11" s="8">
        <f>H11*0.01</f>
        <v>970.50562896637621</v>
      </c>
      <c r="K11"/>
    </row>
    <row r="12" spans="1:19" x14ac:dyDescent="0.35">
      <c r="B12" s="49" t="s">
        <v>126</v>
      </c>
      <c r="C12" s="50">
        <v>15704.362896637633</v>
      </c>
      <c r="E12" s="18"/>
      <c r="F12" s="26"/>
      <c r="G12" s="20"/>
      <c r="H12" s="42"/>
      <c r="I12" s="8"/>
      <c r="K12"/>
    </row>
    <row r="13" spans="1:19" x14ac:dyDescent="0.35">
      <c r="B13" s="49" t="s">
        <v>89</v>
      </c>
      <c r="C13" s="50">
        <f>D13*E13</f>
        <v>29491.199999999997</v>
      </c>
      <c r="D13">
        <v>160</v>
      </c>
      <c r="E13" s="4">
        <v>184.32</v>
      </c>
      <c r="F13" s="26" t="s">
        <v>72</v>
      </c>
      <c r="G13" s="20" t="s">
        <v>33</v>
      </c>
      <c r="K13"/>
    </row>
    <row r="14" spans="1:19" x14ac:dyDescent="0.35">
      <c r="B14" s="19" t="s">
        <v>5</v>
      </c>
      <c r="C14" s="9" t="s">
        <v>5</v>
      </c>
      <c r="G14" s="20"/>
      <c r="K14"/>
    </row>
    <row r="15" spans="1:19" x14ac:dyDescent="0.35">
      <c r="B15" s="51" t="s">
        <v>120</v>
      </c>
      <c r="C15" s="52"/>
      <c r="E15" s="18" t="s">
        <v>32</v>
      </c>
      <c r="F15" t="s">
        <v>31</v>
      </c>
      <c r="G15" s="20" t="s">
        <v>33</v>
      </c>
      <c r="K15"/>
      <c r="N15" t="s">
        <v>85</v>
      </c>
    </row>
    <row r="16" spans="1:19" x14ac:dyDescent="0.35">
      <c r="B16" s="53" t="s">
        <v>16</v>
      </c>
      <c r="C16" s="52">
        <f>D16*E16</f>
        <v>22770</v>
      </c>
      <c r="D16">
        <v>16.5</v>
      </c>
      <c r="E16" s="25">
        <v>1380</v>
      </c>
      <c r="F16" s="26" t="s">
        <v>29</v>
      </c>
      <c r="G16" s="20" t="s">
        <v>33</v>
      </c>
      <c r="I16" s="7">
        <v>350</v>
      </c>
      <c r="K16"/>
      <c r="N16" s="19" t="s">
        <v>16</v>
      </c>
      <c r="O16">
        <v>20</v>
      </c>
    </row>
    <row r="17" spans="1:19" x14ac:dyDescent="0.35">
      <c r="B17" s="53" t="s">
        <v>28</v>
      </c>
      <c r="C17" s="52">
        <f t="shared" ref="C17:C20" si="0">D17*E17</f>
        <v>39708.6</v>
      </c>
      <c r="D17">
        <v>45.8</v>
      </c>
      <c r="E17" s="25">
        <v>867</v>
      </c>
      <c r="F17" s="26" t="s">
        <v>29</v>
      </c>
      <c r="G17" s="20" t="s">
        <v>33</v>
      </c>
      <c r="I17" s="7">
        <v>533</v>
      </c>
      <c r="K17"/>
      <c r="N17" s="19" t="s">
        <v>28</v>
      </c>
      <c r="O17">
        <v>50</v>
      </c>
    </row>
    <row r="18" spans="1:19" x14ac:dyDescent="0.35">
      <c r="B18" s="53" t="s">
        <v>27</v>
      </c>
      <c r="C18" s="52">
        <f t="shared" si="0"/>
        <v>58392.899999999994</v>
      </c>
      <c r="D18">
        <v>80.099999999999994</v>
      </c>
      <c r="E18" s="25">
        <v>729</v>
      </c>
      <c r="F18" s="26" t="s">
        <v>29</v>
      </c>
      <c r="G18" s="20" t="s">
        <v>33</v>
      </c>
      <c r="I18" s="7">
        <v>667</v>
      </c>
      <c r="K18"/>
      <c r="N18" s="19" t="s">
        <v>27</v>
      </c>
      <c r="O18">
        <v>70</v>
      </c>
    </row>
    <row r="19" spans="1:19" x14ac:dyDescent="0.35">
      <c r="B19" s="53" t="s">
        <v>26</v>
      </c>
      <c r="C19" s="52">
        <f t="shared" si="0"/>
        <v>16145.999999999998</v>
      </c>
      <c r="D19">
        <v>11.7</v>
      </c>
      <c r="E19" s="25">
        <v>1380</v>
      </c>
      <c r="F19" s="26" t="s">
        <v>29</v>
      </c>
      <c r="G19" s="20" t="s">
        <v>34</v>
      </c>
      <c r="I19" s="7">
        <v>350</v>
      </c>
      <c r="K19"/>
      <c r="N19" s="19" t="s">
        <v>26</v>
      </c>
      <c r="O19">
        <v>20</v>
      </c>
    </row>
    <row r="20" spans="1:19" x14ac:dyDescent="0.35">
      <c r="B20" s="53" t="s">
        <v>127</v>
      </c>
      <c r="C20" s="52">
        <f t="shared" si="0"/>
        <v>63939.759999999995</v>
      </c>
      <c r="D20">
        <v>112.57</v>
      </c>
      <c r="E20" s="25">
        <v>568</v>
      </c>
      <c r="F20" s="26" t="s">
        <v>29</v>
      </c>
      <c r="G20" s="20" t="s">
        <v>33</v>
      </c>
      <c r="I20" s="7"/>
      <c r="K20"/>
    </row>
    <row r="21" spans="1:19" x14ac:dyDescent="0.35">
      <c r="B21" s="19" t="s">
        <v>122</v>
      </c>
      <c r="C21" s="9" t="s">
        <v>5</v>
      </c>
      <c r="G21" s="20"/>
      <c r="K21"/>
    </row>
    <row r="22" spans="1:19" x14ac:dyDescent="0.35">
      <c r="B22" s="72">
        <f>SUM(C16:C19)</f>
        <v>137017.5</v>
      </c>
      <c r="G22" s="20"/>
      <c r="K22"/>
      <c r="O22">
        <f>SUM(O16:O19)</f>
        <v>160</v>
      </c>
    </row>
    <row r="23" spans="1:19" x14ac:dyDescent="0.35">
      <c r="B23" s="58" t="s">
        <v>7</v>
      </c>
      <c r="C23" s="59"/>
      <c r="G23" s="20"/>
      <c r="K23"/>
    </row>
    <row r="24" spans="1:19" x14ac:dyDescent="0.35">
      <c r="B24" s="60" t="s">
        <v>121</v>
      </c>
      <c r="C24" s="59"/>
      <c r="G24" s="20"/>
      <c r="K24"/>
    </row>
    <row r="25" spans="1:19" x14ac:dyDescent="0.35">
      <c r="B25" s="60" t="s">
        <v>17</v>
      </c>
      <c r="C25" s="59">
        <v>420000</v>
      </c>
      <c r="G25" s="20"/>
      <c r="K25"/>
    </row>
    <row r="26" spans="1:19" x14ac:dyDescent="0.35">
      <c r="B26" s="60" t="s">
        <v>18</v>
      </c>
      <c r="C26" s="59">
        <v>170000</v>
      </c>
      <c r="G26" s="20"/>
      <c r="K26"/>
    </row>
    <row r="27" spans="1:19" x14ac:dyDescent="0.35">
      <c r="B27" s="60" t="s">
        <v>19</v>
      </c>
      <c r="C27" s="59">
        <v>790000</v>
      </c>
      <c r="G27" s="20"/>
      <c r="K27"/>
    </row>
    <row r="28" spans="1:19" x14ac:dyDescent="0.35">
      <c r="B28" s="60" t="s">
        <v>20</v>
      </c>
      <c r="C28" s="59">
        <v>200000</v>
      </c>
      <c r="G28" s="20"/>
      <c r="K28"/>
    </row>
    <row r="29" spans="1:19" x14ac:dyDescent="0.35">
      <c r="G29" s="20"/>
      <c r="H29" t="s">
        <v>78</v>
      </c>
      <c r="I29" s="39">
        <f>SUM(I5:I28)</f>
        <v>2870.5056289663762</v>
      </c>
      <c r="K29"/>
    </row>
    <row r="30" spans="1:19" s="27" customFormat="1" ht="15" thickBot="1" x14ac:dyDescent="0.4">
      <c r="B30" s="19"/>
      <c r="C30" s="6"/>
      <c r="D30"/>
      <c r="E30"/>
      <c r="F30"/>
      <c r="G30" s="20"/>
      <c r="H30" t="s">
        <v>79</v>
      </c>
      <c r="I30" s="8">
        <f>I29*'Allgemeine Parameter'!C3</f>
        <v>71762.640724159399</v>
      </c>
      <c r="J30"/>
      <c r="K30"/>
      <c r="L30" s="6"/>
      <c r="M30"/>
      <c r="N30"/>
      <c r="O30"/>
      <c r="P30"/>
      <c r="Q30"/>
      <c r="R30"/>
      <c r="S30"/>
    </row>
    <row r="31" spans="1:19" s="31" customFormat="1" ht="15" thickBot="1" x14ac:dyDescent="0.4">
      <c r="A31" s="30"/>
      <c r="B31" s="30" t="s">
        <v>52</v>
      </c>
      <c r="C31" s="10"/>
      <c r="G31" s="32"/>
      <c r="I31" s="5"/>
      <c r="L31" s="5"/>
      <c r="M31"/>
      <c r="N31"/>
      <c r="O31"/>
      <c r="P31"/>
      <c r="Q31"/>
      <c r="R31"/>
      <c r="S31"/>
    </row>
    <row r="32" spans="1:19" s="27" customFormat="1" ht="15" thickBot="1" x14ac:dyDescent="0.4">
      <c r="A32" s="28"/>
      <c r="B32" s="33">
        <f>SUM(C32,I32,L32)</f>
        <v>2226796.1944827358</v>
      </c>
      <c r="C32" s="17">
        <f>SUM(C1:C29)</f>
        <v>1998460.2228966376</v>
      </c>
      <c r="G32" s="29"/>
      <c r="I32" s="57">
        <f>SUM(I30)</f>
        <v>71762.640724159399</v>
      </c>
      <c r="L32" s="54">
        <f>SUM(L5:L6)</f>
        <v>156573.33086193868</v>
      </c>
      <c r="M32"/>
      <c r="N32"/>
      <c r="O32"/>
      <c r="P32"/>
      <c r="Q32"/>
      <c r="R32"/>
      <c r="S32"/>
    </row>
    <row r="33" spans="2:12" ht="15" thickBot="1" x14ac:dyDescent="0.4">
      <c r="B33"/>
      <c r="C33" s="34"/>
      <c r="I33"/>
      <c r="K33"/>
      <c r="L33"/>
    </row>
    <row r="34" spans="2:12" x14ac:dyDescent="0.35">
      <c r="B34" s="61" t="s">
        <v>110</v>
      </c>
      <c r="C34" s="62" t="s">
        <v>111</v>
      </c>
      <c r="I34"/>
      <c r="K34"/>
      <c r="L34"/>
    </row>
    <row r="35" spans="2:12" x14ac:dyDescent="0.35">
      <c r="B35" s="60" t="s">
        <v>105</v>
      </c>
      <c r="C35" s="63">
        <f>SUM(C25:C28)</f>
        <v>1580000</v>
      </c>
      <c r="E35" s="4" t="s">
        <v>91</v>
      </c>
      <c r="F35" s="25"/>
      <c r="H35" s="3"/>
      <c r="I35"/>
      <c r="K35"/>
      <c r="L35"/>
    </row>
    <row r="36" spans="2:12" x14ac:dyDescent="0.35">
      <c r="B36" s="49" t="s">
        <v>107</v>
      </c>
      <c r="C36" s="64">
        <f>SUM(C9:C13)</f>
        <v>97050.562896637624</v>
      </c>
      <c r="I36"/>
      <c r="K36"/>
      <c r="L36"/>
    </row>
    <row r="37" spans="2:12" x14ac:dyDescent="0.35">
      <c r="B37" s="53" t="s">
        <v>106</v>
      </c>
      <c r="C37" s="65">
        <f>SUM(C16:C19,C6)</f>
        <v>257469.9</v>
      </c>
      <c r="I37"/>
      <c r="K37"/>
      <c r="L37"/>
    </row>
    <row r="38" spans="2:12" x14ac:dyDescent="0.35">
      <c r="B38" s="66" t="s">
        <v>10</v>
      </c>
      <c r="C38" s="67">
        <f>SUM(L32)</f>
        <v>156573.33086193868</v>
      </c>
      <c r="I38"/>
      <c r="K38"/>
      <c r="L38"/>
    </row>
    <row r="39" spans="2:12" x14ac:dyDescent="0.35">
      <c r="B39" s="55" t="s">
        <v>109</v>
      </c>
      <c r="C39" s="56">
        <f>SUM(I32)</f>
        <v>71762.640724159399</v>
      </c>
      <c r="I39"/>
      <c r="K39"/>
      <c r="L39"/>
    </row>
    <row r="40" spans="2:12" ht="15" thickBot="1" x14ac:dyDescent="0.4">
      <c r="C40" s="9" t="s">
        <v>33</v>
      </c>
      <c r="I40"/>
      <c r="K40"/>
      <c r="L40"/>
    </row>
    <row r="41" spans="2:12" ht="15" thickBot="1" x14ac:dyDescent="0.4">
      <c r="B41" s="28" t="s">
        <v>108</v>
      </c>
      <c r="C41" s="68">
        <f>SUM(C35:C39)</f>
        <v>2162856.4344827356</v>
      </c>
      <c r="I41"/>
      <c r="K41"/>
      <c r="L41"/>
    </row>
    <row r="42" spans="2:12" x14ac:dyDescent="0.35">
      <c r="I42"/>
      <c r="K42"/>
      <c r="L42"/>
    </row>
    <row r="43" spans="2:12" x14ac:dyDescent="0.35">
      <c r="I43"/>
      <c r="K43"/>
      <c r="L43"/>
    </row>
  </sheetData>
  <mergeCells count="2">
    <mergeCell ref="B1:G1"/>
    <mergeCell ref="H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39"/>
  <sheetViews>
    <sheetView topLeftCell="A6" zoomScale="130" zoomScaleNormal="130" workbookViewId="0">
      <selection activeCell="B17" sqref="B17:C17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3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Parameter'!D8:D9</f>
        <v>656962.71539412113</v>
      </c>
    </row>
    <row r="6" spans="1:19" x14ac:dyDescent="0.35">
      <c r="B6" s="53" t="s">
        <v>36</v>
      </c>
      <c r="C6" s="52">
        <f>D6*E6</f>
        <v>115581.11850488458</v>
      </c>
      <c r="D6">
        <f>'[2]NT WN'!$C$8</f>
        <v>101.3869460569163</v>
      </c>
      <c r="E6" s="25">
        <v>1140</v>
      </c>
      <c r="F6" s="26" t="s">
        <v>37</v>
      </c>
      <c r="G6" s="20" t="s">
        <v>33</v>
      </c>
      <c r="K6" t="s">
        <v>6</v>
      </c>
      <c r="L6" s="7">
        <v>-79965.973020948237</v>
      </c>
    </row>
    <row r="7" spans="1:19" x14ac:dyDescent="0.35">
      <c r="G7" s="20" t="s">
        <v>33</v>
      </c>
      <c r="K7"/>
    </row>
    <row r="8" spans="1:19" x14ac:dyDescent="0.35">
      <c r="B8" s="70" t="s">
        <v>81</v>
      </c>
      <c r="C8" s="50"/>
      <c r="D8" s="18" t="s">
        <v>87</v>
      </c>
      <c r="E8" s="18" t="s">
        <v>65</v>
      </c>
      <c r="G8" s="20"/>
      <c r="K8"/>
    </row>
    <row r="9" spans="1:19" x14ac:dyDescent="0.35">
      <c r="B9" s="49" t="s">
        <v>64</v>
      </c>
      <c r="C9" s="50">
        <f>D9*E9</f>
        <v>18615</v>
      </c>
      <c r="D9">
        <f>7+66</f>
        <v>73</v>
      </c>
      <c r="E9" s="25">
        <v>255</v>
      </c>
      <c r="F9" s="26" t="s">
        <v>72</v>
      </c>
      <c r="G9" s="20" t="s">
        <v>33</v>
      </c>
      <c r="K9"/>
    </row>
    <row r="10" spans="1:19" x14ac:dyDescent="0.35">
      <c r="B10" s="49" t="s">
        <v>75</v>
      </c>
      <c r="C10" s="50">
        <f>D10*E10</f>
        <v>131902.08029767123</v>
      </c>
      <c r="D10">
        <f>27+15</f>
        <v>42</v>
      </c>
      <c r="E10" s="25">
        <v>3140.5257213731243</v>
      </c>
      <c r="F10" s="26" t="s">
        <v>72</v>
      </c>
      <c r="G10" s="20" t="s">
        <v>33</v>
      </c>
      <c r="K10"/>
    </row>
    <row r="11" spans="1:19" x14ac:dyDescent="0.35">
      <c r="B11" s="49" t="s">
        <v>76</v>
      </c>
      <c r="C11" s="50">
        <f>D11*E11</f>
        <v>40529.005342645993</v>
      </c>
      <c r="D11">
        <v>12</v>
      </c>
      <c r="E11" s="2">
        <v>3377.4171118871664</v>
      </c>
      <c r="F11" s="26" t="s">
        <v>72</v>
      </c>
      <c r="G11" s="20" t="s">
        <v>33</v>
      </c>
      <c r="K11"/>
    </row>
    <row r="12" spans="1:19" x14ac:dyDescent="0.35">
      <c r="B12" s="49"/>
      <c r="C12" s="50"/>
      <c r="D12" s="18" t="s">
        <v>67</v>
      </c>
      <c r="E12" s="18" t="s">
        <v>66</v>
      </c>
      <c r="F12" s="26"/>
      <c r="G12" s="20"/>
      <c r="K12"/>
    </row>
    <row r="13" spans="1:19" x14ac:dyDescent="0.35">
      <c r="B13" s="49" t="s">
        <v>68</v>
      </c>
      <c r="C13" s="50">
        <f>D13*E13</f>
        <v>48844.799999999996</v>
      </c>
      <c r="D13">
        <v>0.24</v>
      </c>
      <c r="E13" s="25">
        <v>203520</v>
      </c>
      <c r="F13" s="26" t="s">
        <v>72</v>
      </c>
      <c r="G13" s="20" t="s">
        <v>33</v>
      </c>
      <c r="K13"/>
    </row>
    <row r="14" spans="1:19" x14ac:dyDescent="0.35">
      <c r="B14" s="49" t="s">
        <v>69</v>
      </c>
      <c r="C14" s="50">
        <f>D14*E14</f>
        <v>44236.799999999996</v>
      </c>
      <c r="D14">
        <v>0.24</v>
      </c>
      <c r="E14" s="25">
        <v>184320</v>
      </c>
      <c r="F14" s="26" t="s">
        <v>72</v>
      </c>
      <c r="G14" s="20" t="s">
        <v>33</v>
      </c>
      <c r="K14"/>
    </row>
    <row r="15" spans="1:19" x14ac:dyDescent="0.35">
      <c r="B15" s="24" t="s">
        <v>3</v>
      </c>
      <c r="E15" s="18" t="s">
        <v>32</v>
      </c>
      <c r="F15" t="s">
        <v>31</v>
      </c>
      <c r="G15" s="20" t="s">
        <v>33</v>
      </c>
      <c r="H15" t="s">
        <v>30</v>
      </c>
      <c r="I15" s="6" t="s">
        <v>53</v>
      </c>
      <c r="K15"/>
    </row>
    <row r="16" spans="1:19" x14ac:dyDescent="0.35">
      <c r="B16" s="53" t="s">
        <v>42</v>
      </c>
      <c r="C16" s="71">
        <f>D16*E16</f>
        <v>136320</v>
      </c>
      <c r="D16">
        <v>240</v>
      </c>
      <c r="E16" s="25">
        <v>568</v>
      </c>
      <c r="F16" s="26" t="s">
        <v>70</v>
      </c>
      <c r="G16" s="20" t="s">
        <v>33</v>
      </c>
      <c r="I16">
        <v>937</v>
      </c>
      <c r="K16"/>
      <c r="N16" t="s">
        <v>71</v>
      </c>
    </row>
    <row r="17" spans="1:19" x14ac:dyDescent="0.35">
      <c r="B17" s="49" t="s">
        <v>102</v>
      </c>
      <c r="C17" s="50">
        <v>12000</v>
      </c>
      <c r="F17" s="26" t="s">
        <v>103</v>
      </c>
      <c r="G17" s="20" t="s">
        <v>33</v>
      </c>
      <c r="K17"/>
      <c r="O17" t="s">
        <v>73</v>
      </c>
    </row>
    <row r="18" spans="1:19" x14ac:dyDescent="0.35">
      <c r="G18" s="20"/>
      <c r="K18"/>
      <c r="O18" t="s">
        <v>74</v>
      </c>
    </row>
    <row r="19" spans="1:19" x14ac:dyDescent="0.35">
      <c r="B19" s="58" t="s">
        <v>7</v>
      </c>
      <c r="C19" s="59"/>
      <c r="G19" s="20"/>
      <c r="K19"/>
    </row>
    <row r="20" spans="1:19" x14ac:dyDescent="0.35">
      <c r="B20" s="60" t="s">
        <v>21</v>
      </c>
      <c r="C20" s="59"/>
      <c r="G20" s="20"/>
      <c r="K20"/>
    </row>
    <row r="21" spans="1:19" x14ac:dyDescent="0.35">
      <c r="B21" s="60" t="s">
        <v>22</v>
      </c>
      <c r="C21" s="69">
        <v>110000</v>
      </c>
      <c r="G21" s="20"/>
      <c r="I21" s="7"/>
      <c r="K21"/>
    </row>
    <row r="22" spans="1:19" x14ac:dyDescent="0.35">
      <c r="B22" s="60" t="s">
        <v>23</v>
      </c>
      <c r="C22" s="69">
        <v>30000</v>
      </c>
      <c r="G22" s="20"/>
      <c r="I22" s="7"/>
      <c r="K22"/>
    </row>
    <row r="23" spans="1:19" x14ac:dyDescent="0.35">
      <c r="B23" s="60" t="s">
        <v>24</v>
      </c>
      <c r="C23" s="69">
        <v>440000</v>
      </c>
      <c r="G23" s="20"/>
      <c r="I23" s="7"/>
      <c r="K23"/>
    </row>
    <row r="24" spans="1:19" x14ac:dyDescent="0.35">
      <c r="B24" s="60" t="s">
        <v>25</v>
      </c>
      <c r="C24" s="69">
        <v>50000</v>
      </c>
      <c r="G24" s="20"/>
      <c r="I24" s="7"/>
      <c r="K24"/>
    </row>
    <row r="25" spans="1:19" x14ac:dyDescent="0.35">
      <c r="G25" s="20"/>
      <c r="H25" t="s">
        <v>78</v>
      </c>
      <c r="I25" s="6">
        <f>SUM(I5:I24)</f>
        <v>937</v>
      </c>
      <c r="K25"/>
    </row>
    <row r="26" spans="1:19" s="27" customFormat="1" ht="15" thickBot="1" x14ac:dyDescent="0.4">
      <c r="B26" s="19"/>
      <c r="C26" s="6"/>
      <c r="D26"/>
      <c r="E26"/>
      <c r="F26"/>
      <c r="G26" s="20"/>
      <c r="H26" t="s">
        <v>77</v>
      </c>
      <c r="I26" s="6">
        <f>I25*'Allgemeine Parameter'!C3</f>
        <v>23425</v>
      </c>
      <c r="J26"/>
      <c r="K26"/>
      <c r="L26" s="6"/>
      <c r="M26"/>
      <c r="N26"/>
      <c r="O26"/>
      <c r="P26"/>
      <c r="Q26"/>
      <c r="R26"/>
      <c r="S26"/>
    </row>
    <row r="27" spans="1:19" s="31" customFormat="1" ht="15" thickBot="1" x14ac:dyDescent="0.4">
      <c r="A27" s="30"/>
      <c r="B27" s="30" t="s">
        <v>52</v>
      </c>
      <c r="C27" s="10"/>
      <c r="G27" s="32"/>
      <c r="I27" s="5"/>
      <c r="L27" s="5"/>
      <c r="M27"/>
      <c r="N27"/>
      <c r="O27"/>
      <c r="P27"/>
      <c r="Q27"/>
      <c r="R27"/>
      <c r="S27"/>
    </row>
    <row r="28" spans="1:19" s="27" customFormat="1" ht="15" thickBot="1" x14ac:dyDescent="0.4">
      <c r="A28" s="28"/>
      <c r="B28" s="33">
        <f>SUM(C28,I28,L28)</f>
        <v>1778450.5465183747</v>
      </c>
      <c r="C28" s="17">
        <f>SUM(C1:C25)</f>
        <v>1178028.8041452018</v>
      </c>
      <c r="G28" s="29"/>
      <c r="I28" s="57">
        <f>SUM(I26)</f>
        <v>23425</v>
      </c>
      <c r="L28" s="54">
        <f>SUM(L5:L6)</f>
        <v>576996.74237317289</v>
      </c>
      <c r="M28"/>
      <c r="N28"/>
      <c r="O28"/>
      <c r="P28"/>
      <c r="Q28"/>
      <c r="R28"/>
      <c r="S28"/>
    </row>
    <row r="29" spans="1:19" x14ac:dyDescent="0.35">
      <c r="B29"/>
      <c r="C29" s="34"/>
      <c r="I29"/>
      <c r="K29"/>
      <c r="L29"/>
    </row>
    <row r="30" spans="1:19" x14ac:dyDescent="0.35">
      <c r="B30"/>
      <c r="C30" s="34"/>
      <c r="H30" s="25"/>
      <c r="I30"/>
      <c r="K30"/>
      <c r="L30" s="42">
        <f>'kalte NW'!L32</f>
        <v>156573.33086193868</v>
      </c>
      <c r="M30" s="80" t="s">
        <v>119</v>
      </c>
    </row>
    <row r="31" spans="1:19" x14ac:dyDescent="0.35">
      <c r="B31" s="1" t="s">
        <v>104</v>
      </c>
      <c r="C31" s="34" t="s">
        <v>48</v>
      </c>
      <c r="H31" s="3"/>
      <c r="I31"/>
      <c r="K31"/>
      <c r="L31" s="3">
        <f>L28-L30</f>
        <v>420423.41151123424</v>
      </c>
      <c r="M31" s="80"/>
    </row>
    <row r="32" spans="1:19" x14ac:dyDescent="0.35">
      <c r="B32" s="60" t="s">
        <v>105</v>
      </c>
      <c r="C32" s="63">
        <f>SUM(C21:C24)</f>
        <v>630000</v>
      </c>
      <c r="I32"/>
      <c r="K32"/>
      <c r="L32" s="3">
        <f>L31/25</f>
        <v>16816.936460449371</v>
      </c>
      <c r="M32" s="80"/>
    </row>
    <row r="33" spans="2:3" customFormat="1" x14ac:dyDescent="0.35">
      <c r="B33" s="49" t="s">
        <v>107</v>
      </c>
      <c r="C33" s="64">
        <f>SUM(C17,C9:C14)</f>
        <v>296127.68564031721</v>
      </c>
    </row>
    <row r="34" spans="2:3" customFormat="1" x14ac:dyDescent="0.35">
      <c r="B34" s="53" t="s">
        <v>106</v>
      </c>
      <c r="C34" s="65">
        <f>SUM(C6,C16)</f>
        <v>251901.11850488459</v>
      </c>
    </row>
    <row r="35" spans="2:3" customFormat="1" x14ac:dyDescent="0.35">
      <c r="B35" s="66" t="s">
        <v>10</v>
      </c>
      <c r="C35" s="67">
        <f>SUM(L28)</f>
        <v>576996.74237317289</v>
      </c>
    </row>
    <row r="36" spans="2:3" customFormat="1" x14ac:dyDescent="0.35">
      <c r="B36" s="55" t="s">
        <v>109</v>
      </c>
      <c r="C36" s="56">
        <f>SUM(I28)</f>
        <v>23425</v>
      </c>
    </row>
    <row r="37" spans="2:3" customFormat="1" ht="15" thickBot="1" x14ac:dyDescent="0.4">
      <c r="B37" s="19"/>
      <c r="C37" s="9" t="s">
        <v>33</v>
      </c>
    </row>
    <row r="38" spans="2:3" customFormat="1" ht="15" thickBot="1" x14ac:dyDescent="0.4">
      <c r="B38" t="s">
        <v>108</v>
      </c>
      <c r="C38" s="33">
        <f>SUM(C32:C36)</f>
        <v>1778450.5465183747</v>
      </c>
    </row>
    <row r="39" spans="2:3" customFormat="1" x14ac:dyDescent="0.35">
      <c r="C39" s="34"/>
    </row>
  </sheetData>
  <mergeCells count="3">
    <mergeCell ref="B1:G1"/>
    <mergeCell ref="H1:L1"/>
    <mergeCell ref="M30:M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Zusammenfassung</vt:lpstr>
      <vt:lpstr>Ergebnisse_Netzstrombedarfe</vt:lpstr>
      <vt:lpstr>Allgemeine Parameter</vt:lpstr>
      <vt:lpstr>Kostenposten_8.2.2</vt:lpstr>
      <vt:lpstr>dezentral</vt:lpstr>
      <vt:lpstr>kalte NW</vt:lpstr>
      <vt:lpstr>NT-WN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2025-01-11T09:37:02Z</dcterms:modified>
</cp:coreProperties>
</file>