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9_1_2_Kosten/"/>
    </mc:Choice>
  </mc:AlternateContent>
  <xr:revisionPtr revIDLastSave="1597" documentId="11_AD4DB114E441178AC67DF4879E90C19A693EDF21" xr6:coauthVersionLast="47" xr6:coauthVersionMax="47" xr10:uidLastSave="{A822971F-B204-4A0F-BE4A-A928876A8C0B}"/>
  <bookViews>
    <workbookView xWindow="-110" yWindow="-110" windowWidth="19420" windowHeight="10300" firstSheet="2" activeTab="5" xr2:uid="{00000000-000D-0000-FFFF-FFFF00000000}"/>
  </bookViews>
  <sheets>
    <sheet name="Zusammenfassung" sheetId="8" r:id="rId1"/>
    <sheet name="Ergebnisse_Netzstrombedarfe" sheetId="10" r:id="rId2"/>
    <sheet name="Allgemeine Parameter" sheetId="4" r:id="rId3"/>
    <sheet name="Kostenposten_8.2.2" sheetId="9" r:id="rId4"/>
    <sheet name="dezentral" sheetId="1" r:id="rId5"/>
    <sheet name="kalte NW" sheetId="7" r:id="rId6"/>
    <sheet name="NT-WN" sheetId="6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7" l="1"/>
  <c r="F14" i="4"/>
  <c r="F8" i="8"/>
  <c r="H32" i="9"/>
  <c r="G32" i="9"/>
  <c r="M14" i="4" l="1"/>
  <c r="M17" i="4" s="1"/>
  <c r="L14" i="4"/>
  <c r="L17" i="4" s="1"/>
  <c r="K14" i="4"/>
  <c r="K17" i="4" s="1"/>
  <c r="F23" i="4"/>
  <c r="E14" i="4"/>
  <c r="E17" i="4" s="1"/>
  <c r="F38" i="4" l="1"/>
  <c r="F30" i="4"/>
  <c r="F22" i="4"/>
  <c r="F29" i="4"/>
  <c r="F36" i="4"/>
  <c r="F19" i="4"/>
  <c r="F34" i="4"/>
  <c r="F26" i="4"/>
  <c r="F18" i="4"/>
  <c r="F17" i="4"/>
  <c r="F33" i="4"/>
  <c r="F25" i="4"/>
  <c r="F28" i="4"/>
  <c r="F35" i="4"/>
  <c r="F32" i="4"/>
  <c r="F24" i="4"/>
  <c r="F37" i="4"/>
  <c r="F21" i="4"/>
  <c r="F20" i="4"/>
  <c r="F27" i="4"/>
  <c r="F31" i="4"/>
  <c r="D14" i="4"/>
  <c r="D17" i="4" s="1"/>
  <c r="C35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32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6"/>
  <c r="D6" i="1"/>
  <c r="D14" i="8" l="1"/>
  <c r="C14" i="8"/>
  <c r="B14" i="8"/>
  <c r="C10" i="7" l="1"/>
  <c r="D9" i="7"/>
  <c r="C9" i="7" s="1"/>
  <c r="O22" i="7"/>
  <c r="I23" i="1"/>
  <c r="I25" i="6"/>
  <c r="I26" i="6"/>
  <c r="I28" i="6" s="1"/>
  <c r="C36" i="6" s="1"/>
  <c r="I24" i="1"/>
  <c r="I26" i="1" s="1"/>
  <c r="C14" i="6"/>
  <c r="C11" i="6"/>
  <c r="D10" i="6"/>
  <c r="C10" i="6" s="1"/>
  <c r="D9" i="6"/>
  <c r="C13" i="6" l="1"/>
  <c r="C9" i="6"/>
  <c r="C19" i="7" l="1"/>
  <c r="C18" i="7"/>
  <c r="C17" i="7"/>
  <c r="C16" i="7"/>
  <c r="C6" i="7"/>
  <c r="C16" i="6"/>
  <c r="C34" i="6" s="1"/>
  <c r="C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2" i="7" l="1"/>
  <c r="C37" i="7"/>
  <c r="C28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2" i="7" s="1"/>
  <c r="L28" i="6"/>
  <c r="C35" i="6" s="1"/>
  <c r="C13" i="7"/>
  <c r="H11" i="7" s="1"/>
  <c r="I11" i="7" s="1"/>
  <c r="I29" i="7" s="1"/>
  <c r="I30" i="7" s="1"/>
  <c r="I32" i="7" s="1"/>
  <c r="C39" i="7" s="1"/>
  <c r="B28" i="6" l="1"/>
  <c r="C5" i="8" s="1"/>
  <c r="C38" i="6"/>
  <c r="D2" i="9" s="1" a="1"/>
  <c r="L30" i="6"/>
  <c r="L31" i="6" s="1"/>
  <c r="L32" i="6" s="1"/>
  <c r="C38" i="7"/>
  <c r="L5" i="1" a="1"/>
  <c r="L5" i="1" s="1"/>
  <c r="L26" i="1" s="1"/>
  <c r="C32" i="7"/>
  <c r="B32" i="7" s="1"/>
  <c r="C36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41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K5" i="8"/>
  <c r="M5" i="8" s="1"/>
  <c r="D15" i="8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<sst xmlns="http://schemas.openxmlformats.org/spreadsheetml/2006/main" count="319" uniqueCount="128">
  <si>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</si>
  <si>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</si>
  <si>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</si>
  <si>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</si>
  <si>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</si>
  <si>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</si>
  <si>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</si>
  <si>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</si>
  <si>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</si>
  <si>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</si>
  <si>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</si>
  <si>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</si>
  <si>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</si>
  <si>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</si>
  <si>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</si>
  <si>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</si>
  <si>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</si>
  <si>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</si>
  <si>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</si>
  <si>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</si>
  <si>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</si>
  <si>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</si>
  <si>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</si>
  <si>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</si>
  <si>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</si>
  <si>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</si>
  <si>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</si>
  <si>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</si>
  <si>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</si>
  <si>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</si>
  <si>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</si>
  <si>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</si>
  <si>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</si>
  <si>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</si>
  <si>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</si>
  <si>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</si>
  <si>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</si>
  <si>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</si>
  <si>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</si>
  <si>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</si>
  <si>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</si>
  <si>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</si>
  <si>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</si>
  <si>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</si>
  <si>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</si>
  <si>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</si>
  <si>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</si>
  <si>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</si>
  <si>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</si>
  <si>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</si>
  <si>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</si>
  <si>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</si>
  <si>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</si>
  <si>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</si>
  <si>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</si>
  <si>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</si>
  <si>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</si>
  <si>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</si>
  <si>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</si>
  <si>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</si>
  <si>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</si>
  <si>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</si>
  <si>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</si>
  <si>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</si>
  <si>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</si>
  <si>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</si>
  <si>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</si>
  <si>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</si>
  <si>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</si>
  <si>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</si>
  <si>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</si>
  <si>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</si>
  <si>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</si>
  <si>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</si>
  <si>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</si>
  <si>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</si>
  <si>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</si>
  <si>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</si>
  <si>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</si>
  <si>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</si>
  <si>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</si>
  <si>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</si>
  <si>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</si>
  <si>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</si>
  <si>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</si>
  <si>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</si>
  <si>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</si>
  <si>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</si>
  <si>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</si>
  <si>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</si>
  <si>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</si>
  <si>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</si>
  <si>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</si>
  <si>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</si>
  <si>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</si>
  <si>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</si>
  <si>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</si>
  <si>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</si>
  <si>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</si>
  <si>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</si>
  <si>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</si>
  <si>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</si>
  <si>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</si>
  <si>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</si>
  <si>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</si>
  <si>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</si>
  <si>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</si>
  <si>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</si>
  <si>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</si>
  <si>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</si>
  <si>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</si>
  <si>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</si>
  <si>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</si>
  <si>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</si>
  <si>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</si>
  <si>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</si>
  <si>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</si>
  <si>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</si>
  <si>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</si>
  <si>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</si>
  <si>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</si>
  <si>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</si>
  <si>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</si>
  <si>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</si>
  <si>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</si>
  <si>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</si>
  <si>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 xml:space="preserve">Speicher, 20.500 l </t>
  </si>
  <si>
    <t>SW-WP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</si>
</sst>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230EE15-60B7-48F4-BB6B-9172A32F6F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BB0EA0-2C15-453F-9B4A-3BE169A39F6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B26D531-5809-46A2-A1BB-CEAD5D76DEE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2.2018208281342488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762325B-1F28-4FCB-8FF5-9EE1A935903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45ED0DD-A394-41C0-AB3B-2E6166CE41B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2.2018208281342488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97050.562896637624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246069.9</c:v>
                </c:pt>
                <c:pt idx="2">
                  <c:v>251901.11850488459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149052.84451345218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71762.640724159399</c:v>
                </c:pt>
                <c:pt idx="2">
                  <c:v>23425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0.73696231521048383</c:v>
                </c:pt>
                <c:pt idx="2">
                  <c:v>0.35424094374360549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4.5267473116953637E-2</c:v>
                </c:pt>
                <c:pt idx="2">
                  <c:v>0.16650881084100905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0.1147748374731723</c:v>
                </c:pt>
                <c:pt idx="2">
                  <c:v>0.14164077769720654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6.952299327933037E-2</c:v>
                </c:pt>
                <c:pt idx="2">
                  <c:v>0.32443788977025201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3.3472380920059913E-2</c:v>
                </c:pt>
                <c:pt idx="2">
                  <c:v>1.3171577947926918E-2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G16" sqref="G16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1.7784505465183746</v>
      </c>
      <c r="D2" s="42">
        <f t="shared" si="0"/>
        <v>2.2018208281342488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0.16369864533560521</v>
      </c>
      <c r="N3" s="3">
        <f>K3-K4</f>
        <v>0.29112994526142466</v>
      </c>
    </row>
    <row r="4" spans="1:14" x14ac:dyDescent="0.35">
      <c r="B4" s="43"/>
      <c r="C4" s="43"/>
      <c r="D4" s="43"/>
      <c r="J4" s="1" t="s">
        <v>48</v>
      </c>
      <c r="K4" s="73">
        <f>C2</f>
        <v>1.7784505465183746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'NT-WN'!B28</f>
        <v>1778450.5465183747</v>
      </c>
      <c r="D5" s="42">
        <f>'kalte NW'!B32</f>
        <v>2201820.828134249</v>
      </c>
      <c r="J5" s="1" t="s">
        <v>49</v>
      </c>
      <c r="K5" s="42">
        <f>D2</f>
        <v>2.2018208281342488</v>
      </c>
      <c r="L5" s="42">
        <v>243.30137300000001</v>
      </c>
      <c r="M5" s="3">
        <f>(K5-K4)/K4</f>
        <v>0.23805569541683064</v>
      </c>
      <c r="N5" s="3">
        <f>K5-K4</f>
        <v>0.4233702816158742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291129.94526142464</v>
      </c>
      <c r="C7" t="s">
        <v>5</v>
      </c>
      <c r="D7" s="3">
        <f>D5-C5</f>
        <v>423370.28161587426</v>
      </c>
      <c r="F7" s="3">
        <f>D2-C2</f>
        <v>0.4233702816158742</v>
      </c>
    </row>
    <row r="8" spans="1:14" x14ac:dyDescent="0.35">
      <c r="B8" s="45">
        <f>B7/C5</f>
        <v>0.16369864533560519</v>
      </c>
      <c r="C8" t="s">
        <v>5</v>
      </c>
      <c r="D8" s="45">
        <f>D7/C5</f>
        <v>0.23805569541683066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5.8716135684039827E-4</v>
      </c>
      <c r="D15">
        <f>D2/D14</f>
        <v>6.586955851626791E-4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2F1-548E-47AE-B2EB-F31F726CAF36}">
  <dimension ref="B3:C9"/>
  <sheetViews>
    <sheetView workbookViewId="0">
      <selection activeCell="G10" sqref="G10"/>
    </sheetView>
  </sheetViews>
  <sheetFormatPr baseColWidth="10" defaultRowHeight="14.5" x14ac:dyDescent="0.35"/>
  <cols>
    <col min="3" max="3" width="11.08984375" bestFit="1" customWidth="1"/>
  </cols>
  <sheetData>
    <row r="3" spans="2:3" x14ac:dyDescent="0.35">
      <c r="B3">
        <v>0</v>
      </c>
      <c r="C3" s="38">
        <v>58599.268913307198</v>
      </c>
    </row>
    <row r="4" spans="2:3" x14ac:dyDescent="0.35">
      <c r="B4">
        <v>2.5</v>
      </c>
      <c r="C4" s="38">
        <v>57877.749924749798</v>
      </c>
    </row>
    <row r="5" spans="2:3" x14ac:dyDescent="0.35">
      <c r="B5">
        <v>5</v>
      </c>
      <c r="C5" s="38">
        <v>57251.265989867599</v>
      </c>
    </row>
    <row r="6" spans="2:3" x14ac:dyDescent="0.35">
      <c r="B6">
        <v>7.5</v>
      </c>
      <c r="C6" s="38">
        <v>56677.745324288502</v>
      </c>
    </row>
    <row r="7" spans="2:3" x14ac:dyDescent="0.35">
      <c r="B7">
        <v>10</v>
      </c>
      <c r="C7" s="38">
        <v>56145.304591942098</v>
      </c>
    </row>
    <row r="8" spans="2:3" x14ac:dyDescent="0.35">
      <c r="B8">
        <v>12.5</v>
      </c>
      <c r="C8" s="38">
        <v>55655.736265198</v>
      </c>
    </row>
    <row r="9" spans="2:3" x14ac:dyDescent="0.35">
      <c r="B9">
        <v>20</v>
      </c>
      <c r="C9" s="38">
        <v>54431.233629324102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F15" sqref="F15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238817.03754865949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Ergebnisse_Netzstrombedarfe!C9</f>
        <v>54431.233629324102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12361.333157219506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11631.954626586561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11174.732264100239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10989.666069760537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10957.007329582942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11005.995439849334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10995.109193123468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10984.222946397604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10973.336699671738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10962.450452945875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10951.56420622001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10840.524489616188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10729.484773012367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10618.445056408545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10507.405339804725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10396.365623200905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10461.683103556092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10459.505854210918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10457.328604865745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10455.151355520571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10452.974106175396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10450.796856830228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238817.03754865949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NW'!C34:C41</f>
        <v>KNW</v>
      </c>
      <c r="D2" s="42" t="str" cm="1">
        <f t="array" ref="D2:D9">'NT-WN'!C31:C38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0.73696231521048383</v>
      </c>
      <c r="K3" s="2">
        <f t="shared" si="0"/>
        <v>0.35424094374360549</v>
      </c>
    </row>
    <row r="4" spans="1:11" x14ac:dyDescent="0.35">
      <c r="A4" t="str">
        <v>Wärmeverteilung- und Speicherung</v>
      </c>
      <c r="B4" s="2">
        <v>0</v>
      </c>
      <c r="C4" s="2">
        <v>97050.562896637624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4.5267473116953637E-2</v>
      </c>
      <c r="K4" s="2">
        <f t="shared" si="0"/>
        <v>0.16650881084100905</v>
      </c>
    </row>
    <row r="5" spans="1:11" x14ac:dyDescent="0.35">
      <c r="A5" t="str">
        <v>Wärmeerzeugung</v>
      </c>
      <c r="B5" s="2">
        <v>247848</v>
      </c>
      <c r="C5" s="2">
        <v>246069.9</v>
      </c>
      <c r="D5" s="2">
        <v>251901.11850488459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0.1147748374731723</v>
      </c>
      <c r="K5" s="2">
        <f t="shared" si="0"/>
        <v>0.14164077769720654</v>
      </c>
    </row>
    <row r="6" spans="1:11" x14ac:dyDescent="0.35">
      <c r="A6" t="str">
        <v>Energiekosten</v>
      </c>
      <c r="B6" s="2">
        <v>194232.49177979934</v>
      </c>
      <c r="C6" s="2">
        <v>149052.84451345218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6.952299327933037E-2</v>
      </c>
      <c r="K6" s="2">
        <f t="shared" si="0"/>
        <v>0.32443788977025201</v>
      </c>
    </row>
    <row r="7" spans="1:11" x14ac:dyDescent="0.35">
      <c r="A7" t="str">
        <v>Instandhaltungskosten</v>
      </c>
      <c r="B7" s="2">
        <v>47500</v>
      </c>
      <c r="C7" s="2">
        <v>71762.640724159399</v>
      </c>
      <c r="D7" s="2">
        <v>23425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3.3472380920059913E-2</v>
      </c>
      <c r="K7" s="2">
        <f t="shared" si="0"/>
        <v>1.3171577947926918E-2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2143935.9481342491</v>
      </c>
      <c r="D9" s="2">
        <v>1778450.5465183747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0.99999999999999989</v>
      </c>
    </row>
    <row r="10" spans="1:11" x14ac:dyDescent="0.35">
      <c r="C10" s="2">
        <f>C9-B9</f>
        <v>74355.456354449736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97050.562896637624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246069.9</v>
      </c>
      <c r="E37" s="2">
        <v>251901.11850488459</v>
      </c>
    </row>
    <row r="38" spans="2:5" x14ac:dyDescent="0.35">
      <c r="B38" t="s">
        <v>10</v>
      </c>
      <c r="C38" s="2">
        <v>194232.49177979934</v>
      </c>
      <c r="D38" s="2">
        <v>149052.84451345218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71762.640724159399</v>
      </c>
      <c r="E39" s="2">
        <v>23425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D12" sqref="D12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3"/>
  <sheetViews>
    <sheetView tabSelected="1" topLeftCell="A6" zoomScaleNormal="100" workbookViewId="0">
      <selection activeCell="H19" sqref="H1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238817.03754865949</v>
      </c>
    </row>
    <row r="6" spans="1:19" x14ac:dyDescent="0.35">
      <c r="B6" s="53" t="s">
        <v>36</v>
      </c>
      <c r="C6" s="52">
        <f>D6*E6</f>
        <v>109052.4</v>
      </c>
      <c r="D6" s="4">
        <v>95.66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SUM(C9:C13)</f>
        <v>97050.562896637624</v>
      </c>
      <c r="I11" s="8">
        <f>H11*0.01</f>
        <v>970.50562896637621</v>
      </c>
      <c r="K11"/>
    </row>
    <row r="12" spans="1:19" x14ac:dyDescent="0.35">
      <c r="B12" s="49" t="s">
        <v>126</v>
      </c>
      <c r="C12" s="50">
        <v>15704.362896637633</v>
      </c>
      <c r="E12" s="18"/>
      <c r="F12" s="26"/>
      <c r="G12" s="20"/>
      <c r="H12" s="42"/>
      <c r="I12" s="8"/>
      <c r="K12"/>
    </row>
    <row r="13" spans="1:19" x14ac:dyDescent="0.35">
      <c r="B13" s="49" t="s">
        <v>89</v>
      </c>
      <c r="C13" s="50">
        <f>D13*E13</f>
        <v>29491.199999999997</v>
      </c>
      <c r="D13">
        <v>160</v>
      </c>
      <c r="E13" s="4">
        <v>184.32</v>
      </c>
      <c r="F13" s="26" t="s">
        <v>72</v>
      </c>
      <c r="G13" s="20" t="s">
        <v>33</v>
      </c>
      <c r="K13"/>
    </row>
    <row r="14" spans="1:19" x14ac:dyDescent="0.35">
      <c r="B14" s="19" t="s">
        <v>5</v>
      </c>
      <c r="C14" s="9" t="s">
        <v>5</v>
      </c>
      <c r="G14" s="20"/>
      <c r="K14"/>
    </row>
    <row r="15" spans="1:19" x14ac:dyDescent="0.35">
      <c r="B15" s="51" t="s">
        <v>120</v>
      </c>
      <c r="C15" s="52"/>
      <c r="E15" s="18" t="s">
        <v>32</v>
      </c>
      <c r="F15" t="s">
        <v>31</v>
      </c>
      <c r="G15" s="20" t="s">
        <v>33</v>
      </c>
      <c r="K15"/>
      <c r="N15" t="s">
        <v>85</v>
      </c>
    </row>
    <row r="16" spans="1:19" x14ac:dyDescent="0.35">
      <c r="B16" s="53" t="s">
        <v>16</v>
      </c>
      <c r="C16" s="52">
        <f>D16*E16</f>
        <v>22770</v>
      </c>
      <c r="D16">
        <v>16.5</v>
      </c>
      <c r="E16" s="25">
        <v>1380</v>
      </c>
      <c r="F16" s="26" t="s">
        <v>29</v>
      </c>
      <c r="G16" s="20" t="s">
        <v>33</v>
      </c>
      <c r="I16" s="7">
        <v>350</v>
      </c>
      <c r="K16"/>
      <c r="N16" s="19" t="s">
        <v>16</v>
      </c>
      <c r="O16">
        <v>20</v>
      </c>
    </row>
    <row r="17" spans="1:19" x14ac:dyDescent="0.35">
      <c r="B17" s="53" t="s">
        <v>28</v>
      </c>
      <c r="C17" s="52">
        <f t="shared" ref="C17:C20" si="0">D17*E17</f>
        <v>39708.6</v>
      </c>
      <c r="D17">
        <v>45.8</v>
      </c>
      <c r="E17" s="25">
        <v>867</v>
      </c>
      <c r="F17" s="26" t="s">
        <v>29</v>
      </c>
      <c r="G17" s="20" t="s">
        <v>33</v>
      </c>
      <c r="I17" s="7">
        <v>533</v>
      </c>
      <c r="K17"/>
      <c r="N17" s="19" t="s">
        <v>28</v>
      </c>
      <c r="O17">
        <v>50</v>
      </c>
    </row>
    <row r="18" spans="1:19" x14ac:dyDescent="0.35">
      <c r="B18" s="53" t="s">
        <v>27</v>
      </c>
      <c r="C18" s="52">
        <f t="shared" si="0"/>
        <v>58392.899999999994</v>
      </c>
      <c r="D18">
        <v>80.099999999999994</v>
      </c>
      <c r="E18" s="25">
        <v>729</v>
      </c>
      <c r="F18" s="26" t="s">
        <v>29</v>
      </c>
      <c r="G18" s="20" t="s">
        <v>33</v>
      </c>
      <c r="I18" s="7">
        <v>667</v>
      </c>
      <c r="K18"/>
      <c r="N18" s="19" t="s">
        <v>27</v>
      </c>
      <c r="O18">
        <v>70</v>
      </c>
    </row>
    <row r="19" spans="1:19" x14ac:dyDescent="0.35">
      <c r="B19" s="53" t="s">
        <v>26</v>
      </c>
      <c r="C19" s="52">
        <f t="shared" si="0"/>
        <v>16145.999999999998</v>
      </c>
      <c r="D19">
        <v>11.7</v>
      </c>
      <c r="E19" s="25">
        <v>1380</v>
      </c>
      <c r="F19" s="26" t="s">
        <v>29</v>
      </c>
      <c r="G19" s="20" t="s">
        <v>34</v>
      </c>
      <c r="I19" s="7">
        <v>350</v>
      </c>
      <c r="K19"/>
      <c r="N19" s="19" t="s">
        <v>26</v>
      </c>
      <c r="O19">
        <v>20</v>
      </c>
    </row>
    <row r="20" spans="1:19" x14ac:dyDescent="0.35">
      <c r="B20" s="53" t="s">
        <v>127</v>
      </c>
      <c r="C20" s="52">
        <f t="shared" si="0"/>
        <v>57884.88</v>
      </c>
      <c r="D20">
        <v>101.91</v>
      </c>
      <c r="E20" s="25">
        <v>568</v>
      </c>
      <c r="F20" s="26" t="s">
        <v>29</v>
      </c>
      <c r="G20" s="20" t="s">
        <v>33</v>
      </c>
      <c r="I20" s="7"/>
      <c r="K20"/>
    </row>
    <row r="21" spans="1:19" x14ac:dyDescent="0.35">
      <c r="B21" s="19" t="s">
        <v>122</v>
      </c>
      <c r="C21" s="9" t="s">
        <v>5</v>
      </c>
      <c r="G21" s="20"/>
      <c r="K21"/>
    </row>
    <row r="22" spans="1:19" x14ac:dyDescent="0.35">
      <c r="B22" s="72">
        <f>SUM(C16:C19)</f>
        <v>137017.5</v>
      </c>
      <c r="G22" s="20"/>
      <c r="K22"/>
      <c r="O22">
        <f>SUM(O16:O19)</f>
        <v>160</v>
      </c>
    </row>
    <row r="23" spans="1:19" x14ac:dyDescent="0.35">
      <c r="B23" s="58" t="s">
        <v>7</v>
      </c>
      <c r="C23" s="59"/>
      <c r="G23" s="20"/>
      <c r="K23"/>
    </row>
    <row r="24" spans="1:19" x14ac:dyDescent="0.35">
      <c r="B24" s="60" t="s">
        <v>121</v>
      </c>
      <c r="C24" s="59"/>
      <c r="G24" s="20"/>
      <c r="K24"/>
    </row>
    <row r="25" spans="1:19" x14ac:dyDescent="0.35">
      <c r="B25" s="60" t="s">
        <v>17</v>
      </c>
      <c r="C25" s="59">
        <v>420000</v>
      </c>
      <c r="G25" s="20"/>
      <c r="K25"/>
    </row>
    <row r="26" spans="1:19" x14ac:dyDescent="0.35">
      <c r="B26" s="60" t="s">
        <v>18</v>
      </c>
      <c r="C26" s="59">
        <v>170000</v>
      </c>
      <c r="G26" s="20"/>
      <c r="K26"/>
    </row>
    <row r="27" spans="1:19" x14ac:dyDescent="0.35">
      <c r="B27" s="60" t="s">
        <v>19</v>
      </c>
      <c r="C27" s="59">
        <v>790000</v>
      </c>
      <c r="G27" s="20"/>
      <c r="K27"/>
    </row>
    <row r="28" spans="1:19" x14ac:dyDescent="0.35">
      <c r="B28" s="60" t="s">
        <v>20</v>
      </c>
      <c r="C28" s="59">
        <v>200000</v>
      </c>
      <c r="G28" s="20"/>
      <c r="K28"/>
    </row>
    <row r="29" spans="1:19" x14ac:dyDescent="0.35">
      <c r="G29" s="20"/>
      <c r="H29" t="s">
        <v>78</v>
      </c>
      <c r="I29" s="39">
        <f>SUM(I5:I28)</f>
        <v>2870.5056289663762</v>
      </c>
      <c r="K29"/>
    </row>
    <row r="30" spans="1:19" s="27" customFormat="1" ht="15" thickBot="1" x14ac:dyDescent="0.4">
      <c r="B30" s="19"/>
      <c r="C30" s="6"/>
      <c r="D30"/>
      <c r="E30"/>
      <c r="F30"/>
      <c r="G30" s="20"/>
      <c r="H30" t="s">
        <v>79</v>
      </c>
      <c r="I30" s="8">
        <f>I29*'Allgemeine Parameter'!C3</f>
        <v>71762.640724159399</v>
      </c>
      <c r="J30"/>
      <c r="K30"/>
      <c r="L30" s="6"/>
      <c r="M30"/>
      <c r="N30"/>
      <c r="O30"/>
      <c r="P30"/>
      <c r="Q30"/>
      <c r="R30"/>
      <c r="S30"/>
    </row>
    <row r="31" spans="1:19" s="31" customFormat="1" ht="15" thickBot="1" x14ac:dyDescent="0.4">
      <c r="A31" s="30"/>
      <c r="B31" s="30" t="s">
        <v>52</v>
      </c>
      <c r="C31" s="10"/>
      <c r="G31" s="32"/>
      <c r="I31" s="5"/>
      <c r="L31" s="5"/>
      <c r="M31"/>
      <c r="N31"/>
      <c r="O31"/>
      <c r="P31"/>
      <c r="Q31"/>
      <c r="R31"/>
      <c r="S31"/>
    </row>
    <row r="32" spans="1:19" s="27" customFormat="1" ht="15" thickBot="1" x14ac:dyDescent="0.4">
      <c r="A32" s="28"/>
      <c r="B32" s="33">
        <f>SUM(C32,I32,L32)</f>
        <v>2201820.828134249</v>
      </c>
      <c r="C32" s="17">
        <f>SUM(C1:C29)</f>
        <v>1981005.3428966375</v>
      </c>
      <c r="G32" s="29"/>
      <c r="I32" s="57">
        <f>SUM(I30)</f>
        <v>71762.640724159399</v>
      </c>
      <c r="L32" s="54">
        <f>SUM(L5:L6)</f>
        <v>149052.84451345218</v>
      </c>
      <c r="M32"/>
      <c r="N32"/>
      <c r="O32"/>
      <c r="P32"/>
      <c r="Q32"/>
      <c r="R32"/>
      <c r="S32"/>
    </row>
    <row r="33" spans="2:12" ht="15" thickBot="1" x14ac:dyDescent="0.4">
      <c r="B33"/>
      <c r="C33" s="34"/>
      <c r="I33"/>
      <c r="K33"/>
      <c r="L33"/>
    </row>
    <row r="34" spans="2:12" x14ac:dyDescent="0.35">
      <c r="B34" s="61" t="s">
        <v>110</v>
      </c>
      <c r="C34" s="62" t="s">
        <v>111</v>
      </c>
      <c r="I34"/>
      <c r="K34"/>
      <c r="L34"/>
    </row>
    <row r="35" spans="2:12" x14ac:dyDescent="0.35">
      <c r="B35" s="60" t="s">
        <v>105</v>
      </c>
      <c r="C35" s="63">
        <f>SUM(C25:C28)</f>
        <v>1580000</v>
      </c>
      <c r="E35" s="4" t="s">
        <v>91</v>
      </c>
      <c r="F35" s="25"/>
      <c r="H35" s="3"/>
      <c r="I35"/>
      <c r="K35"/>
      <c r="L35"/>
    </row>
    <row r="36" spans="2:12" x14ac:dyDescent="0.35">
      <c r="B36" s="49" t="s">
        <v>107</v>
      </c>
      <c r="C36" s="64">
        <f>SUM(C9:C13)</f>
        <v>97050.562896637624</v>
      </c>
      <c r="I36"/>
      <c r="K36"/>
      <c r="L36"/>
    </row>
    <row r="37" spans="2:12" x14ac:dyDescent="0.35">
      <c r="B37" s="53" t="s">
        <v>106</v>
      </c>
      <c r="C37" s="65">
        <f>SUM(C16:C19,C6)</f>
        <v>246069.9</v>
      </c>
      <c r="I37"/>
      <c r="K37"/>
      <c r="L37"/>
    </row>
    <row r="38" spans="2:12" x14ac:dyDescent="0.35">
      <c r="B38" s="66" t="s">
        <v>10</v>
      </c>
      <c r="C38" s="67">
        <f>SUM(L32)</f>
        <v>149052.84451345218</v>
      </c>
      <c r="I38"/>
      <c r="K38"/>
      <c r="L38"/>
    </row>
    <row r="39" spans="2:12" x14ac:dyDescent="0.35">
      <c r="B39" s="55" t="s">
        <v>109</v>
      </c>
      <c r="C39" s="56">
        <f>SUM(I32)</f>
        <v>71762.640724159399</v>
      </c>
      <c r="I39"/>
      <c r="K39"/>
      <c r="L39"/>
    </row>
    <row r="40" spans="2:12" ht="15" thickBot="1" x14ac:dyDescent="0.4">
      <c r="C40" s="9" t="s">
        <v>33</v>
      </c>
      <c r="I40"/>
      <c r="K40"/>
      <c r="L40"/>
    </row>
    <row r="41" spans="2:12" ht="15" thickBot="1" x14ac:dyDescent="0.4">
      <c r="B41" s="28" t="s">
        <v>108</v>
      </c>
      <c r="C41" s="68">
        <f>SUM(C35:C39)</f>
        <v>2143935.9481342491</v>
      </c>
      <c r="I41"/>
      <c r="K41"/>
      <c r="L41"/>
    </row>
    <row r="42" spans="2:12" x14ac:dyDescent="0.35">
      <c r="I42"/>
      <c r="K42"/>
      <c r="L42"/>
    </row>
    <row r="43" spans="2:12" x14ac:dyDescent="0.35">
      <c r="I43"/>
      <c r="K43"/>
      <c r="L43"/>
    </row>
  </sheetData>
  <mergeCells count="2">
    <mergeCell ref="B1:G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39"/>
  <sheetViews>
    <sheetView topLeftCell="A6" zoomScale="130" zoomScaleNormal="130" workbookViewId="0">
      <selection activeCell="B17" sqref="B17:C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115581.11850488458</v>
      </c>
      <c r="D6">
        <f>'[2]NT WN'!$C$8</f>
        <v>101.3869460569163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136320</v>
      </c>
      <c r="D16">
        <v>240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49" t="s">
        <v>102</v>
      </c>
      <c r="C17" s="50">
        <v>12000</v>
      </c>
      <c r="F17" s="26" t="s">
        <v>103</v>
      </c>
      <c r="G17" s="20" t="s">
        <v>33</v>
      </c>
      <c r="K17"/>
      <c r="O17" t="s">
        <v>73</v>
      </c>
    </row>
    <row r="18" spans="1:19" x14ac:dyDescent="0.35">
      <c r="G18" s="20"/>
      <c r="K18"/>
      <c r="O18" t="s">
        <v>74</v>
      </c>
    </row>
    <row r="19" spans="1:19" x14ac:dyDescent="0.35">
      <c r="B19" s="58" t="s">
        <v>7</v>
      </c>
      <c r="C19" s="59"/>
      <c r="G19" s="20"/>
      <c r="K19"/>
    </row>
    <row r="20" spans="1:19" x14ac:dyDescent="0.35">
      <c r="B20" s="60" t="s">
        <v>21</v>
      </c>
      <c r="C20" s="59"/>
      <c r="G20" s="20"/>
      <c r="K20"/>
    </row>
    <row r="21" spans="1:19" x14ac:dyDescent="0.35">
      <c r="B21" s="60" t="s">
        <v>22</v>
      </c>
      <c r="C21" s="69">
        <v>110000</v>
      </c>
      <c r="G21" s="20"/>
      <c r="I21" s="7"/>
      <c r="K21"/>
    </row>
    <row r="22" spans="1:19" x14ac:dyDescent="0.35">
      <c r="B22" s="60" t="s">
        <v>23</v>
      </c>
      <c r="C22" s="69">
        <v>30000</v>
      </c>
      <c r="G22" s="20"/>
      <c r="I22" s="7"/>
      <c r="K22"/>
    </row>
    <row r="23" spans="1:19" x14ac:dyDescent="0.35">
      <c r="B23" s="60" t="s">
        <v>24</v>
      </c>
      <c r="C23" s="69">
        <v>440000</v>
      </c>
      <c r="G23" s="20"/>
      <c r="I23" s="7"/>
      <c r="K23"/>
    </row>
    <row r="24" spans="1:19" x14ac:dyDescent="0.35">
      <c r="B24" s="60" t="s">
        <v>25</v>
      </c>
      <c r="C24" s="69">
        <v>50000</v>
      </c>
      <c r="G24" s="20"/>
      <c r="I24" s="7"/>
      <c r="K24"/>
    </row>
    <row r="25" spans="1:19" x14ac:dyDescent="0.35">
      <c r="G25" s="20"/>
      <c r="H25" t="s">
        <v>78</v>
      </c>
      <c r="I25" s="6">
        <f>SUM(I5:I24)</f>
        <v>937</v>
      </c>
      <c r="K25"/>
    </row>
    <row r="26" spans="1:19" s="27" customFormat="1" ht="15" thickBot="1" x14ac:dyDescent="0.4">
      <c r="B26" s="19"/>
      <c r="C26" s="6"/>
      <c r="D26"/>
      <c r="E26"/>
      <c r="F26"/>
      <c r="G26" s="20"/>
      <c r="H26" t="s">
        <v>77</v>
      </c>
      <c r="I26" s="6">
        <f>I25*'Allgemeine Parameter'!C3</f>
        <v>23425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" thickBot="1" x14ac:dyDescent="0.4">
      <c r="A27" s="30"/>
      <c r="B27" s="30" t="s">
        <v>52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" thickBot="1" x14ac:dyDescent="0.4">
      <c r="A28" s="28"/>
      <c r="B28" s="33">
        <f>SUM(C28,I28,L28)</f>
        <v>1778450.5465183747</v>
      </c>
      <c r="C28" s="17">
        <f>SUM(C1:C25)</f>
        <v>1178028.8041452018</v>
      </c>
      <c r="G28" s="29"/>
      <c r="I28" s="57">
        <f>SUM(I26)</f>
        <v>23425</v>
      </c>
      <c r="L28" s="54">
        <f>SUM(L5:L6)</f>
        <v>576996.74237317289</v>
      </c>
      <c r="M28"/>
      <c r="N28"/>
      <c r="O28"/>
      <c r="P28"/>
      <c r="Q28"/>
      <c r="R28"/>
      <c r="S28"/>
    </row>
    <row r="29" spans="1:19" x14ac:dyDescent="0.35">
      <c r="B29"/>
      <c r="C29" s="34"/>
      <c r="I29"/>
      <c r="K29"/>
      <c r="L29"/>
    </row>
    <row r="30" spans="1:19" x14ac:dyDescent="0.35">
      <c r="B30"/>
      <c r="C30" s="34"/>
      <c r="H30" s="25"/>
      <c r="I30"/>
      <c r="K30"/>
      <c r="L30" s="42">
        <f>'kalte NW'!L32</f>
        <v>149052.84451345218</v>
      </c>
      <c r="M30" s="80" t="s">
        <v>119</v>
      </c>
    </row>
    <row r="31" spans="1:19" x14ac:dyDescent="0.35">
      <c r="B31" s="1" t="s">
        <v>104</v>
      </c>
      <c r="C31" s="34" t="s">
        <v>48</v>
      </c>
      <c r="H31" s="3"/>
      <c r="I31"/>
      <c r="K31"/>
      <c r="L31" s="3">
        <f>L28-L30</f>
        <v>427943.89785972075</v>
      </c>
      <c r="M31" s="80"/>
    </row>
    <row r="32" spans="1:19" x14ac:dyDescent="0.35">
      <c r="B32" s="60" t="s">
        <v>105</v>
      </c>
      <c r="C32" s="63">
        <f>SUM(C21:C24)</f>
        <v>630000</v>
      </c>
      <c r="I32"/>
      <c r="K32"/>
      <c r="L32" s="3">
        <f>L31/25</f>
        <v>17117.755914388828</v>
      </c>
      <c r="M32" s="80"/>
    </row>
    <row r="33" spans="2:3" customFormat="1" x14ac:dyDescent="0.35">
      <c r="B33" s="49" t="s">
        <v>107</v>
      </c>
      <c r="C33" s="64">
        <f>SUM(C17,C9:C14)</f>
        <v>296127.68564031721</v>
      </c>
    </row>
    <row r="34" spans="2:3" customFormat="1" x14ac:dyDescent="0.35">
      <c r="B34" s="53" t="s">
        <v>106</v>
      </c>
      <c r="C34" s="65">
        <f>SUM(C6,C16)</f>
        <v>251901.11850488459</v>
      </c>
    </row>
    <row r="35" spans="2:3" customFormat="1" x14ac:dyDescent="0.35">
      <c r="B35" s="66" t="s">
        <v>10</v>
      </c>
      <c r="C35" s="67">
        <f>SUM(L28)</f>
        <v>576996.74237317289</v>
      </c>
    </row>
    <row r="36" spans="2:3" customFormat="1" x14ac:dyDescent="0.35">
      <c r="B36" s="55" t="s">
        <v>109</v>
      </c>
      <c r="C36" s="56">
        <f>SUM(I28)</f>
        <v>23425</v>
      </c>
    </row>
    <row r="37" spans="2:3" customFormat="1" ht="15" thickBot="1" x14ac:dyDescent="0.4">
      <c r="B37" s="19"/>
      <c r="C37" s="9" t="s">
        <v>33</v>
      </c>
    </row>
    <row r="38" spans="2:3" customFormat="1" ht="15" thickBot="1" x14ac:dyDescent="0.4">
      <c r="B38" t="s">
        <v>108</v>
      </c>
      <c r="C38" s="33">
        <f>SUM(C32:C36)</f>
        <v>1778450.5465183747</v>
      </c>
    </row>
    <row r="39" spans="2:3" customFormat="1" x14ac:dyDescent="0.35">
      <c r="C39" s="34"/>
    </row>
  </sheetData>
  <mergeCells count="3">
    <mergeCell ref="B1:G1"/>
    <mergeCell ref="H1:L1"/>
    <mergeCell ref="M30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Zusammenfassung</vt:lpstr>
      <vt:lpstr>Ergebnisse_Netzstrombedarfe</vt:lpstr>
      <vt:lpstr>Allgemeine Parameter</vt:lpstr>
      <vt:lpstr>Kostenposten_8.2.2</vt:lpstr>
      <vt:lpstr>dezentral</vt:lpstr>
      <vt:lpstr>kalte NW</vt:lpstr>
      <vt:lpstr>NT-WN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2025-01-11T09:37:10Z</dcterms:modified>
</cp:coreProperties>
</file>