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"/>
    </mc:Choice>
  </mc:AlternateContent>
  <xr:revisionPtr revIDLastSave="1148" documentId="11_AD4DB114E441178AC67DF4879E90C19A693EDF21" xr6:coauthVersionLast="47" xr6:coauthVersionMax="47" xr10:uidLastSave="{95BC9F91-A042-43B6-85ED-BED790AA392B}"/>
  <bookViews>
    <workbookView xWindow="19090" yWindow="-140" windowWidth="19420" windowHeight="10300" xr2:uid="{00000000-000D-0000-FFFF-FFFF00000000}"/>
  </bookViews>
  <sheets>
    <sheet name="Zusammenfassung" sheetId="8" r:id="rId1"/>
    <sheet name="Allgemeine Parameter" sheetId="4" r:id="rId2"/>
    <sheet name="NT-WN" sheetId="6" r:id="rId3"/>
    <sheet name="dezentral" sheetId="1" r:id="rId4"/>
    <sheet name="kalte NW" sheetId="7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7" l="1"/>
  <c r="E17" i="1"/>
  <c r="E18" i="6"/>
  <c r="A17" i="8" a="1"/>
  <c r="A17" i="8" s="1"/>
  <c r="C20" i="7"/>
  <c r="C18" i="6"/>
  <c r="C6" i="7" l="1"/>
  <c r="C6" i="6"/>
  <c r="C6" i="1"/>
  <c r="C17" i="1"/>
  <c r="N6" i="6"/>
  <c r="N6" i="1"/>
  <c r="N6" i="7"/>
  <c r="D10" i="8" l="1"/>
  <c r="C10" i="8"/>
  <c r="B10" i="8"/>
  <c r="D10" i="7" l="1"/>
  <c r="C10" i="7" s="1"/>
  <c r="D9" i="7"/>
  <c r="C9" i="7" s="1"/>
  <c r="O21" i="7"/>
  <c r="I28" i="7"/>
  <c r="I29" i="7" s="1"/>
  <c r="I31" i="7" s="1"/>
  <c r="I25" i="1"/>
  <c r="I26" i="6"/>
  <c r="I27" i="6" s="1"/>
  <c r="I29" i="6" s="1"/>
  <c r="I26" i="1"/>
  <c r="I28" i="1" s="1"/>
  <c r="C14" i="6"/>
  <c r="C11" i="6"/>
  <c r="D10" i="6"/>
  <c r="C10" i="6" s="1"/>
  <c r="D9" i="6"/>
  <c r="C13" i="6" l="1"/>
  <c r="C9" i="6"/>
  <c r="C18" i="7" l="1"/>
  <c r="C17" i="7"/>
  <c r="C16" i="7"/>
  <c r="C15" i="7"/>
  <c r="C1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C29" i="6" l="1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17" i="4"/>
  <c r="L38" i="4"/>
  <c r="M35" i="4"/>
  <c r="K33" i="4"/>
  <c r="L30" i="4"/>
  <c r="M27" i="4"/>
  <c r="L22" i="4"/>
  <c r="M19" i="4"/>
  <c r="K17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M17" i="4"/>
  <c r="F44" i="4"/>
  <c r="F45" i="4"/>
  <c r="F46" i="4"/>
  <c r="F17" i="4"/>
  <c r="F18" i="4"/>
  <c r="F19" i="4"/>
  <c r="F20" i="4"/>
  <c r="F21" i="4"/>
  <c r="F22" i="4"/>
  <c r="F27" i="4"/>
  <c r="F32" i="4"/>
  <c r="F33" i="4"/>
  <c r="F38" i="4"/>
  <c r="F43" i="4"/>
  <c r="D44" i="4"/>
  <c r="D45" i="4"/>
  <c r="D46" i="4"/>
  <c r="D17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7" i="4"/>
  <c r="E18" i="4"/>
  <c r="E19" i="4"/>
  <c r="E20" i="4"/>
  <c r="E21" i="4"/>
  <c r="E22" i="4"/>
  <c r="E27" i="4"/>
  <c r="E32" i="4"/>
  <c r="E33" i="4"/>
  <c r="E38" i="4"/>
  <c r="E43" i="4"/>
  <c r="C34" i="4"/>
  <c r="C35" i="4" s="1"/>
  <c r="C36" i="4" s="1"/>
  <c r="C37" i="4" s="1"/>
  <c r="E37" i="4" s="1"/>
  <c r="C28" i="4"/>
  <c r="C29" i="4" s="1"/>
  <c r="C30" i="4" s="1"/>
  <c r="C31" i="4" s="1"/>
  <c r="D31" i="4" s="1"/>
  <c r="C23" i="4"/>
  <c r="C24" i="4" s="1"/>
  <c r="C25" i="4" s="1"/>
  <c r="C26" i="4" s="1"/>
  <c r="F26" i="4" s="1"/>
  <c r="C13" i="1"/>
  <c r="C14" i="1"/>
  <c r="C15" i="1"/>
  <c r="C12" i="1"/>
  <c r="E24" i="4" l="1"/>
  <c r="D26" i="4"/>
  <c r="F25" i="4"/>
  <c r="E23" i="4"/>
  <c r="D25" i="4"/>
  <c r="F24" i="4"/>
  <c r="F23" i="4"/>
  <c r="E34" i="4"/>
  <c r="E26" i="4"/>
  <c r="E25" i="4"/>
  <c r="D30" i="4"/>
  <c r="D36" i="4"/>
  <c r="D28" i="4"/>
  <c r="F31" i="4"/>
  <c r="D37" i="4"/>
  <c r="L40" i="4"/>
  <c r="L41" i="4" s="1"/>
  <c r="F37" i="4"/>
  <c r="F29" i="4"/>
  <c r="F30" i="4"/>
  <c r="E29" i="4"/>
  <c r="F36" i="4"/>
  <c r="F28" i="4"/>
  <c r="E31" i="4"/>
  <c r="D35" i="4"/>
  <c r="E30" i="4"/>
  <c r="E36" i="4"/>
  <c r="E28" i="4"/>
  <c r="D24" i="4"/>
  <c r="F35" i="4"/>
  <c r="M40" i="4"/>
  <c r="M41" i="4" s="1"/>
  <c r="K40" i="4"/>
  <c r="K41" i="4" s="1"/>
  <c r="D29" i="4"/>
  <c r="D34" i="4"/>
  <c r="E35" i="4"/>
  <c r="D23" i="4"/>
  <c r="F34" i="4"/>
  <c r="C28" i="1"/>
  <c r="C9" i="4" l="1" a="1"/>
  <c r="C9" i="4" s="1"/>
  <c r="D40" i="4"/>
  <c r="E40" i="4"/>
  <c r="F40" i="4"/>
  <c r="C8" i="4" l="1" a="1"/>
  <c r="C8" i="4" l="1"/>
  <c r="L5" i="1" s="1" a="1"/>
  <c r="L5" i="1" s="1"/>
  <c r="L28" i="1" s="1"/>
  <c r="B28" i="1" s="1"/>
  <c r="B5" i="8" s="1"/>
  <c r="B3" i="8" s="1"/>
  <c r="L5" i="7" a="1"/>
  <c r="L5" i="7" s="1"/>
  <c r="L31" i="7" s="1"/>
  <c r="L5" i="6" a="1"/>
  <c r="L5" i="6" s="1"/>
  <c r="L29" i="6" s="1"/>
  <c r="B29" i="6" s="1"/>
  <c r="C5" i="8" s="1"/>
  <c r="C3" i="8" s="1"/>
  <c r="C12" i="7"/>
  <c r="C31" i="7" l="1"/>
  <c r="B31" i="7" s="1"/>
  <c r="H11" i="7"/>
  <c r="K4" i="8"/>
  <c r="C11" i="8"/>
  <c r="B11" i="8"/>
  <c r="K3" i="8"/>
  <c r="D5" i="8" l="1"/>
  <c r="D3" i="8" s="1"/>
  <c r="K5" i="8" s="1"/>
  <c r="N3" i="8"/>
  <c r="M3" i="8"/>
  <c r="M5" i="8" l="1"/>
  <c r="N5" i="8"/>
  <c r="D1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<sst xmlns="http://schemas.openxmlformats.org/spreadsheetml/2006/main" count="270" uniqueCount="115">
  <si>
    <t>Investitionskosten</t>
  </si>
  <si>
    <t>Kosten</t>
  </si>
  <si>
    <t xml:space="preserve">Speicher, x l 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</si>
  <si>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</si>
  <si>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</si>
  <si>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</si>
  <si>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</si>
  <si>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</si>
  <si>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</si>
  <si>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</si>
  <si>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</si>
  <si>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</si>
  <si>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</si>
  <si>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</si>
  <si>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</si>
  <si>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</si>
  <si>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</si>
  <si>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Ambitioniert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</si>
  <si>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</si>
  <si>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</si>
  <si>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</si>
  <si>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</si>
  <si>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</si>
  <si>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</si>
  <si>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</si>
  <si>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</si>
  <si>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</si>
  <si>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</si>
  <si>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</si>
  <si>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</si>
  <si>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</si>
  <si>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kW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</si>
  <si>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</si>
  <si>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</si>
  <si>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</si>
  <si>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</si>
  <si>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</si>
  <si>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</si>
  <si>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</si>
  <si>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</si>
  <si>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</si>
  <si>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</si>
  <si>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</si>
  <si>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</si>
  <si>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</si>
  <si>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</si>
  <si>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</si>
  <si>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</si>
  <si>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</si>
  <si>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</si>
  <si>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</si>
  <si>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</si>
  <si>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</si>
  <si>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Strombedarf [kWh]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</si>
  <si>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</si>
  <si>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</si>
  <si>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</si>
  <si>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</si>
  <si>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</si>
  <si>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</si>
  <si>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</si>
  <si>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</si>
  <si>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</si>
  <si>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</si>
  <si>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</si>
  <si>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</si>
  <si>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</si>
  <si>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</si>
  <si>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</si>
  <si>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</si>
  <si>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</si>
  <si>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</si>
  <si>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</si>
  <si>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</si>
  <si>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</si>
  <si>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</si>
  <si>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</si>
  <si>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</si>
  <si>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</si>
  <si>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</si>
  <si>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</si>
  <si>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</si>
  <si>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</si>
  <si>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</si>
  <si>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</si>
  <si>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Wärmeabgabe an Gebäude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</si>
  <si>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</si>
  <si>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</si>
  <si>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</si>
  <si>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</si>
  <si>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</si>
  <si>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</si>
  <si>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</si>
  <si>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</si>
  <si>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</si>
  <si>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</si>
  <si>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</si>
  <si>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</si>
  <si>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</si>
  <si>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</si>
  <si>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</si>
  <si>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</si>
  <si>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</si>
  <si>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</si>
  <si>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</si>
  <si>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</si>
  <si>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 xml:space="preserve">FBH </t>
  </si>
  <si>
    <t>Es ist mit Aufschlag von ca. 30% bei Bestandsbauten zu rechnen. Durchschnittlicher Kostenwert FBH: https://www.buderus.de/de/fussbodenheizung/kosten</t>
  </si>
  <si>
    <t>[€/m²]</t>
  </si>
  <si>
    <t>[m²]</t>
  </si>
  <si>
    <t>alt</t>
  </si>
  <si>
    <t>ehemals</t>
  </si>
  <si>
    <t>ALT &amp; (neu ergänzen)</t>
  </si>
  <si>
    <t>NEU</t>
  </si>
  <si>
    <t>Vergleich: ohne FBH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</si>
</sst>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49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43" fontId="2" fillId="4" borderId="1" xfId="2" applyNumberFormat="1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8E4E247-CE55-4264-A31F-296FF378CF65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BE1F996-452E-4391-BE5D-91EE3D210E5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F1B9C96-04AF-4A14-AAD9-35B21B8A2A0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2.7262479852000001</c:v>
                </c:pt>
                <c:pt idx="1">
                  <c:v>2.3097269362403172</c:v>
                </c:pt>
                <c:pt idx="2">
                  <c:v>2.8065558118000005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173</c:v>
                </c:pt>
                <c:pt idx="1">
                  <c:v>341</c:v>
                </c:pt>
                <c:pt idx="2">
                  <c:v>148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mit_FBH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3342000-853F-4161-AEE4-189A95CF38B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700FAFF-7EE4-4D6F-AE1C-0AAD6DDBFB9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4A0370C-8FD7-4AFB-8849-57E146515E4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BB-4825-9593-0D78916F98C3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2.7262479852000001</c:v>
                </c:pt>
                <c:pt idx="1">
                  <c:v>2.3097269362403172</c:v>
                </c:pt>
                <c:pt idx="2">
                  <c:v>2.8065558118000005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173</c:v>
                </c:pt>
                <c:pt idx="1">
                  <c:v>341</c:v>
                </c:pt>
                <c:pt idx="2">
                  <c:v>148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DBB-4825-9593-0D78916F98C3}"/>
            </c:ext>
          </c:extLst>
        </c:ser>
        <c:ser>
          <c:idx val="1"/>
          <c:order val="1"/>
          <c:tx>
            <c:v>ohneFBH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A09CF41-10A8-4484-9A8A-2BE033A32F5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71993F3-EA80-4A8A-9A8C-3967F17F8C4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EDBA723-CAC6-4C3B-9618-A591EEB5304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BB-4825-9593-0D78916F98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Zusammenfassung!$B$18:$B$20</c:f>
              <c:numCache>
                <c:formatCode>_(* #,##0.00_);_(* \(#,##0.00\);_(* "-"??_);_(@_)</c:formatCode>
                <c:ptCount val="3"/>
                <c:pt idx="0">
                  <c:v>2.1092882011910987</c:v>
                </c:pt>
                <c:pt idx="1">
                  <c:v>1.9015310468106639</c:v>
                </c:pt>
                <c:pt idx="2">
                  <c:v>2.1924153096603871</c:v>
                </c:pt>
              </c:numCache>
            </c:numRef>
          </c:xVal>
          <c:yVal>
            <c:numRef>
              <c:f>Zusammenfassung!$C$18:$C$20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Zusammenfassung!$A$18:$A$20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DBB-4825-9593-0D78916F9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40033</xdr:colOff>
      <xdr:row>6</xdr:row>
      <xdr:rowOff>13182</xdr:rowOff>
    </xdr:from>
    <xdr:to>
      <xdr:col>14</xdr:col>
      <xdr:colOff>684558</xdr:colOff>
      <xdr:row>21</xdr:row>
      <xdr:rowOff>55700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49696</xdr:colOff>
      <xdr:row>24</xdr:row>
      <xdr:rowOff>49695</xdr:rowOff>
    </xdr:from>
    <xdr:to>
      <xdr:col>14</xdr:col>
      <xdr:colOff>694221</xdr:colOff>
      <xdr:row>39</xdr:row>
      <xdr:rowOff>92213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5A52DF4-3317-4477-81A0-40E6C5D52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8_2_&#214;konomie/8_2_Kosten.xlsx" TargetMode="External"/><Relationship Id="rId1" Type="http://schemas.openxmlformats.org/officeDocument/2006/relationships/externalLinkPath" Target="/personal/lara_josephine_barnic_iee_fraunhofer_de/Documents/A_Bearbeitung/8_Bewertung_Gesamtsysteme_REP/8_2_&#214;konomie/8_2_Kost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7_auslegung%20der%20Erdw&#228;rmesonden.xlsx" TargetMode="External"/><Relationship Id="rId1" Type="http://schemas.openxmlformats.org/officeDocument/2006/relationships/externalLinkPath" Target="/personal/lara_josephine_barnic_iee_fraunhofer_de/Documents/A_Bearbeitung/9_Parameterstudi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dezentral"/>
      <sheetName val="NT-WN"/>
      <sheetName val="kalte NW"/>
    </sheetNames>
    <sheetDataSet>
      <sheetData sheetId="0">
        <row r="2">
          <cell r="K2" t="str">
            <v>Kosten bezogen auf Zeitraum von 2025 - 2050 [€]</v>
          </cell>
          <cell r="L2" t="str">
            <v>CO2</v>
          </cell>
          <cell r="M2" t="str">
            <v>rel Abw</v>
          </cell>
          <cell r="N2" t="str">
            <v>abs Abw</v>
          </cell>
        </row>
        <row r="3">
          <cell r="J3" t="str">
            <v>dezentral</v>
          </cell>
          <cell r="K3">
            <v>2.1092882011910987</v>
          </cell>
          <cell r="L3">
            <v>268.86148700000001</v>
          </cell>
          <cell r="M3">
            <v>0.10925782922603067</v>
          </cell>
          <cell r="N3">
            <v>0.20775715438043485</v>
          </cell>
        </row>
        <row r="4">
          <cell r="J4" t="str">
            <v>NT-WN</v>
          </cell>
          <cell r="K4">
            <v>1.9015310468106639</v>
          </cell>
          <cell r="L4">
            <v>557.10423600000001</v>
          </cell>
        </row>
        <row r="5">
          <cell r="J5" t="str">
            <v>kalte NW</v>
          </cell>
          <cell r="K5">
            <v>2.1924153096603871</v>
          </cell>
          <cell r="L5">
            <v>243.30137300000001</v>
          </cell>
          <cell r="M5">
            <v>0.15297371207144256</v>
          </cell>
          <cell r="N5">
            <v>0.29088426284972324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23"/>
  <sheetViews>
    <sheetView tabSelected="1" zoomScale="115" zoomScaleNormal="115" workbookViewId="0">
      <selection activeCell="K3" sqref="K3:K5"/>
    </sheetView>
  </sheetViews>
  <sheetFormatPr baseColWidth="10" defaultRowHeight="15" x14ac:dyDescent="0.25"/>
  <cols>
    <col min="2" max="4" width="16.7109375" bestFit="1" customWidth="1"/>
    <col min="6" max="6" width="13.42578125" bestFit="1" customWidth="1"/>
    <col min="11" max="11" width="15.42578125" customWidth="1"/>
    <col min="14" max="14" width="12.85546875" bestFit="1" customWidth="1"/>
  </cols>
  <sheetData>
    <row r="1" spans="1:14" x14ac:dyDescent="0.25">
      <c r="B1" s="1" t="s">
        <v>113</v>
      </c>
    </row>
    <row r="2" spans="1:14" x14ac:dyDescent="0.25">
      <c r="B2" s="1" t="s">
        <v>50</v>
      </c>
      <c r="C2" s="1" t="s">
        <v>51</v>
      </c>
      <c r="D2" s="1" t="s">
        <v>52</v>
      </c>
      <c r="F2" t="s">
        <v>101</v>
      </c>
      <c r="K2" s="1" t="s">
        <v>98</v>
      </c>
      <c r="L2" s="1" t="s">
        <v>99</v>
      </c>
      <c r="M2" t="s">
        <v>104</v>
      </c>
      <c r="N2" t="s">
        <v>105</v>
      </c>
    </row>
    <row r="3" spans="1:14" x14ac:dyDescent="0.25">
      <c r="A3" s="1" t="s">
        <v>98</v>
      </c>
      <c r="B3" s="41">
        <f>B5/1000000</f>
        <v>2.7262479852000001</v>
      </c>
      <c r="C3" s="41">
        <f t="shared" ref="C3:D3" si="0">C5/1000000</f>
        <v>2.3097269362403172</v>
      </c>
      <c r="D3" s="41">
        <f t="shared" si="0"/>
        <v>2.8065558118000005</v>
      </c>
      <c r="F3" s="2">
        <v>1000000</v>
      </c>
      <c r="J3" s="1" t="s">
        <v>50</v>
      </c>
      <c r="K3" s="41">
        <f>B3</f>
        <v>2.7262479852000001</v>
      </c>
      <c r="L3" s="41">
        <v>173</v>
      </c>
      <c r="M3" s="3">
        <f>(K3-K4)/K4</f>
        <v>0.18033345952040525</v>
      </c>
      <c r="N3" s="3">
        <f>K3-K4</f>
        <v>0.41652104895968289</v>
      </c>
    </row>
    <row r="4" spans="1:14" x14ac:dyDescent="0.25">
      <c r="A4" s="1" t="s">
        <v>99</v>
      </c>
      <c r="B4" s="41">
        <v>268.86148700000001</v>
      </c>
      <c r="C4" s="41">
        <v>557.10423600000001</v>
      </c>
      <c r="D4" s="41">
        <v>243.30137300000001</v>
      </c>
      <c r="F4" s="41">
        <v>3586</v>
      </c>
      <c r="J4" s="1" t="s">
        <v>51</v>
      </c>
      <c r="K4" s="41">
        <f>C3</f>
        <v>2.3097269362403172</v>
      </c>
      <c r="L4" s="41">
        <v>341</v>
      </c>
    </row>
    <row r="5" spans="1:14" x14ac:dyDescent="0.25">
      <c r="B5" s="42">
        <f>dezentral!B28</f>
        <v>2726247.9852</v>
      </c>
      <c r="C5" s="42">
        <f>'NT-WN'!B29</f>
        <v>2309726.9362403173</v>
      </c>
      <c r="D5" s="42">
        <f>'kalte NW'!B31</f>
        <v>2806555.8118000003</v>
      </c>
      <c r="J5" s="1" t="s">
        <v>52</v>
      </c>
      <c r="K5" s="41">
        <f>D3</f>
        <v>2.8065558118000005</v>
      </c>
      <c r="L5" s="41">
        <v>148</v>
      </c>
      <c r="M5" s="3">
        <f>(K5-K4)/K4</f>
        <v>0.2151028624917895</v>
      </c>
      <c r="N5" s="3">
        <f>K5-K4</f>
        <v>0.49682887555968325</v>
      </c>
    </row>
    <row r="9" spans="1:14" x14ac:dyDescent="0.25">
      <c r="A9" s="44" t="s">
        <v>103</v>
      </c>
      <c r="B9" s="44"/>
      <c r="C9" s="44"/>
      <c r="D9" s="44"/>
    </row>
    <row r="10" spans="1:14" x14ac:dyDescent="0.25">
      <c r="A10" t="s">
        <v>100</v>
      </c>
      <c r="B10" s="3">
        <f>F4-B4</f>
        <v>3317.1385129999999</v>
      </c>
      <c r="C10" s="3">
        <f>F4-C4</f>
        <v>3028.8957639999999</v>
      </c>
      <c r="D10" s="3">
        <f>F4-D4</f>
        <v>3342.6986269999998</v>
      </c>
    </row>
    <row r="11" spans="1:14" x14ac:dyDescent="0.25">
      <c r="A11" t="s">
        <v>102</v>
      </c>
      <c r="B11">
        <f>(B3-F3)/B10</f>
        <v>-301.46382788448091</v>
      </c>
      <c r="C11">
        <f>C3/C10</f>
        <v>7.6256402207452035E-4</v>
      </c>
      <c r="D11">
        <f>D3/D10</f>
        <v>8.3960779148038961E-4</v>
      </c>
    </row>
    <row r="16" spans="1:14" x14ac:dyDescent="0.25">
      <c r="A16" t="s">
        <v>114</v>
      </c>
    </row>
    <row r="17" spans="1:10" x14ac:dyDescent="0.25">
      <c r="A17" cm="1">
        <f t="array" ref="A17:E20">[1]Zusammenfassung!$J$2:$N$5</f>
        <v>0</v>
      </c>
      <c r="B17" s="1" t="str">
        <v>Kosten bezogen auf Zeitraum von 2025 - 2050 [€]</v>
      </c>
      <c r="C17" s="1" t="str">
        <v>CO2</v>
      </c>
      <c r="D17" t="str">
        <v>rel Abw</v>
      </c>
      <c r="E17" t="str">
        <v>abs Abw</v>
      </c>
    </row>
    <row r="18" spans="1:10" x14ac:dyDescent="0.25">
      <c r="A18" s="1" t="str">
        <v>dezentral</v>
      </c>
      <c r="B18" s="41">
        <v>2.1092882011910987</v>
      </c>
      <c r="C18" s="41">
        <v>268.86148700000001</v>
      </c>
      <c r="D18" s="3">
        <v>0.10925782922603067</v>
      </c>
      <c r="E18" s="3">
        <v>0.20775715438043485</v>
      </c>
    </row>
    <row r="19" spans="1:10" x14ac:dyDescent="0.25">
      <c r="A19" s="1" t="str">
        <v>NT-WN</v>
      </c>
      <c r="B19" s="41">
        <v>1.9015310468106639</v>
      </c>
      <c r="C19" s="41">
        <v>557.10423600000001</v>
      </c>
      <c r="D19">
        <v>0</v>
      </c>
      <c r="E19">
        <v>0</v>
      </c>
    </row>
    <row r="20" spans="1:10" x14ac:dyDescent="0.25">
      <c r="A20" s="1" t="str">
        <v>kalte NW</v>
      </c>
      <c r="B20" s="41">
        <v>2.1924153096603871</v>
      </c>
      <c r="C20" s="41">
        <v>243.30137300000001</v>
      </c>
      <c r="D20" s="3">
        <v>0.15297371207144256</v>
      </c>
      <c r="E20" s="3">
        <v>0.29088426284972324</v>
      </c>
    </row>
    <row r="23" spans="1:10" x14ac:dyDescent="0.25">
      <c r="J23" s="4" t="s">
        <v>112</v>
      </c>
    </row>
  </sheetData>
  <mergeCells count="1">
    <mergeCell ref="A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topLeftCell="A4" workbookViewId="0">
      <selection activeCell="H8" sqref="H8"/>
    </sheetView>
  </sheetViews>
  <sheetFormatPr baseColWidth="10" defaultRowHeight="15" x14ac:dyDescent="0.25"/>
  <cols>
    <col min="3" max="4" width="13" bestFit="1" customWidth="1"/>
    <col min="5" max="5" width="14.5703125" bestFit="1" customWidth="1"/>
    <col min="6" max="6" width="13" bestFit="1" customWidth="1"/>
    <col min="11" max="11" width="13.7109375" customWidth="1"/>
    <col min="12" max="12" width="16.7109375" bestFit="1" customWidth="1"/>
    <col min="13" max="13" width="15.42578125" customWidth="1"/>
  </cols>
  <sheetData>
    <row r="1" spans="2:13" x14ac:dyDescent="0.25">
      <c r="B1" t="s">
        <v>15</v>
      </c>
    </row>
    <row r="3" spans="2:13" x14ac:dyDescent="0.25">
      <c r="B3" t="s">
        <v>14</v>
      </c>
      <c r="C3">
        <v>25</v>
      </c>
      <c r="D3" t="s">
        <v>16</v>
      </c>
    </row>
    <row r="4" spans="2:13" x14ac:dyDescent="0.25">
      <c r="B4" t="s">
        <v>86</v>
      </c>
      <c r="C4" t="s">
        <v>87</v>
      </c>
    </row>
    <row r="6" spans="2:13" x14ac:dyDescent="0.25">
      <c r="B6" s="1" t="s">
        <v>65</v>
      </c>
    </row>
    <row r="7" spans="2:13" x14ac:dyDescent="0.25">
      <c r="C7" t="s">
        <v>50</v>
      </c>
      <c r="D7" t="s">
        <v>51</v>
      </c>
      <c r="E7" t="s">
        <v>52</v>
      </c>
    </row>
    <row r="8" spans="2:13" x14ac:dyDescent="0.25">
      <c r="B8" t="s">
        <v>12</v>
      </c>
      <c r="C8" s="2" cm="1">
        <f t="array" ref="C8:E8">D40:F40</f>
        <v>167111.1</v>
      </c>
      <c r="D8" s="2">
        <v>381835.35</v>
      </c>
      <c r="E8" s="2">
        <v>167111.1</v>
      </c>
    </row>
    <row r="9" spans="2:13" x14ac:dyDescent="0.25">
      <c r="B9" t="s">
        <v>7</v>
      </c>
      <c r="C9" s="2" cm="1">
        <f t="array" ref="C9:E9">K41:M41</f>
        <v>-97126.114799999967</v>
      </c>
      <c r="D9" s="2">
        <v>-83860.099399999992</v>
      </c>
      <c r="E9" s="2">
        <v>-92578.488200000036</v>
      </c>
    </row>
    <row r="11" spans="2:13" x14ac:dyDescent="0.25">
      <c r="B11" s="1" t="s">
        <v>48</v>
      </c>
    </row>
    <row r="12" spans="2:13" x14ac:dyDescent="0.25">
      <c r="B12" s="1" t="s">
        <v>49</v>
      </c>
      <c r="G12" s="1" t="s">
        <v>44</v>
      </c>
      <c r="I12" t="s">
        <v>58</v>
      </c>
    </row>
    <row r="13" spans="2:13" x14ac:dyDescent="0.25">
      <c r="D13" s="44" t="s">
        <v>53</v>
      </c>
      <c r="E13" s="44"/>
      <c r="F13" s="44"/>
      <c r="I13" t="s">
        <v>59</v>
      </c>
    </row>
    <row r="14" spans="2:13" x14ac:dyDescent="0.25">
      <c r="B14" t="s">
        <v>47</v>
      </c>
      <c r="D14" s="43">
        <v>38088</v>
      </c>
      <c r="E14" s="43">
        <v>87028</v>
      </c>
      <c r="F14" s="43">
        <v>31037</v>
      </c>
      <c r="I14" t="s">
        <v>63</v>
      </c>
      <c r="K14" s="43">
        <v>49998</v>
      </c>
      <c r="L14" s="43">
        <v>43169</v>
      </c>
      <c r="M14" s="43">
        <v>47657</v>
      </c>
    </row>
    <row r="15" spans="2:13" x14ac:dyDescent="0.25">
      <c r="D15" t="s">
        <v>50</v>
      </c>
      <c r="E15" t="s">
        <v>51</v>
      </c>
      <c r="F15" t="s">
        <v>52</v>
      </c>
      <c r="K15" t="s">
        <v>50</v>
      </c>
      <c r="L15" t="s">
        <v>51</v>
      </c>
      <c r="M15" t="s">
        <v>52</v>
      </c>
    </row>
    <row r="16" spans="2:13" x14ac:dyDescent="0.25">
      <c r="B16" t="s">
        <v>54</v>
      </c>
      <c r="D16" s="18" t="s">
        <v>41</v>
      </c>
      <c r="E16" s="18" t="s">
        <v>41</v>
      </c>
      <c r="F16" s="18" t="s">
        <v>41</v>
      </c>
      <c r="I16" s="18" t="s">
        <v>61</v>
      </c>
      <c r="J16" s="18" t="s">
        <v>62</v>
      </c>
    </row>
    <row r="17" spans="2:13" x14ac:dyDescent="0.25">
      <c r="B17">
        <v>2025</v>
      </c>
      <c r="C17">
        <v>22.71</v>
      </c>
      <c r="D17" s="3">
        <f t="shared" ref="D17:D38" si="0">$C17*$D$14/100</f>
        <v>8649.7847999999994</v>
      </c>
      <c r="E17" s="3">
        <f t="shared" ref="E17:E38" si="1">$C17*$E$14/100</f>
        <v>19764.058800000003</v>
      </c>
      <c r="F17" s="3">
        <f t="shared" ref="F17:F38" si="2">$C17*$D$14/100</f>
        <v>8649.7847999999994</v>
      </c>
      <c r="H17">
        <v>2025</v>
      </c>
      <c r="I17">
        <v>8.83</v>
      </c>
      <c r="J17">
        <f t="shared" ref="J17:J38" si="3">I17/100</f>
        <v>8.8300000000000003E-2</v>
      </c>
      <c r="K17" s="3">
        <f t="shared" ref="K17:M38" si="4">$J$43*K$14</f>
        <v>4414.8234000000002</v>
      </c>
      <c r="L17" s="3">
        <f t="shared" si="4"/>
        <v>3811.8227000000002</v>
      </c>
      <c r="M17" s="3">
        <f t="shared" si="4"/>
        <v>4208.1131000000005</v>
      </c>
    </row>
    <row r="18" spans="2:13" x14ac:dyDescent="0.25">
      <c r="B18">
        <v>2026</v>
      </c>
      <c r="C18">
        <v>21.37</v>
      </c>
      <c r="D18" s="3">
        <f t="shared" si="0"/>
        <v>8139.405600000001</v>
      </c>
      <c r="E18" s="3">
        <f t="shared" si="1"/>
        <v>18597.883600000001</v>
      </c>
      <c r="F18" s="3">
        <f t="shared" si="2"/>
        <v>8139.405600000001</v>
      </c>
      <c r="H18">
        <v>2026</v>
      </c>
      <c r="I18">
        <v>8.83</v>
      </c>
      <c r="J18">
        <f t="shared" si="3"/>
        <v>8.8300000000000003E-2</v>
      </c>
      <c r="K18" s="3">
        <f t="shared" si="4"/>
        <v>4414.8234000000002</v>
      </c>
      <c r="L18" s="3">
        <f t="shared" si="4"/>
        <v>3811.8227000000002</v>
      </c>
      <c r="M18" s="3">
        <f t="shared" si="4"/>
        <v>4208.1131000000005</v>
      </c>
    </row>
    <row r="19" spans="2:13" x14ac:dyDescent="0.25">
      <c r="B19">
        <v>2027</v>
      </c>
      <c r="C19">
        <v>20.53</v>
      </c>
      <c r="D19" s="3">
        <f t="shared" si="0"/>
        <v>7819.4664000000002</v>
      </c>
      <c r="E19" s="3">
        <f t="shared" si="1"/>
        <v>17866.848400000003</v>
      </c>
      <c r="F19" s="3">
        <f t="shared" si="2"/>
        <v>7819.4664000000002</v>
      </c>
      <c r="H19">
        <v>2027</v>
      </c>
      <c r="I19">
        <v>8.83</v>
      </c>
      <c r="J19">
        <f t="shared" si="3"/>
        <v>8.8300000000000003E-2</v>
      </c>
      <c r="K19" s="3">
        <f t="shared" si="4"/>
        <v>4414.8234000000002</v>
      </c>
      <c r="L19" s="3">
        <f t="shared" si="4"/>
        <v>3811.8227000000002</v>
      </c>
      <c r="M19" s="3">
        <f t="shared" si="4"/>
        <v>4208.1131000000005</v>
      </c>
    </row>
    <row r="20" spans="2:13" x14ac:dyDescent="0.25">
      <c r="B20">
        <v>2028</v>
      </c>
      <c r="C20">
        <v>20.190000000000001</v>
      </c>
      <c r="D20" s="3">
        <f t="shared" si="0"/>
        <v>7689.967200000001</v>
      </c>
      <c r="E20" s="3">
        <f t="shared" si="1"/>
        <v>17570.9532</v>
      </c>
      <c r="F20" s="3">
        <f t="shared" si="2"/>
        <v>7689.967200000001</v>
      </c>
      <c r="H20">
        <v>2028</v>
      </c>
      <c r="I20">
        <v>8.83</v>
      </c>
      <c r="J20">
        <f t="shared" si="3"/>
        <v>8.8300000000000003E-2</v>
      </c>
      <c r="K20" s="3">
        <f t="shared" si="4"/>
        <v>4414.8234000000002</v>
      </c>
      <c r="L20" s="3">
        <f t="shared" si="4"/>
        <v>3811.8227000000002</v>
      </c>
      <c r="M20" s="3">
        <f t="shared" si="4"/>
        <v>4208.1131000000005</v>
      </c>
    </row>
    <row r="21" spans="2:13" x14ac:dyDescent="0.25">
      <c r="B21">
        <v>2029</v>
      </c>
      <c r="C21">
        <v>20.13</v>
      </c>
      <c r="D21" s="3">
        <f t="shared" si="0"/>
        <v>7667.1143999999995</v>
      </c>
      <c r="E21" s="3">
        <f t="shared" si="1"/>
        <v>17518.736399999998</v>
      </c>
      <c r="F21" s="3">
        <f t="shared" si="2"/>
        <v>7667.1143999999995</v>
      </c>
      <c r="H21">
        <v>2029</v>
      </c>
      <c r="I21">
        <v>8.83</v>
      </c>
      <c r="J21">
        <f t="shared" si="3"/>
        <v>8.8300000000000003E-2</v>
      </c>
      <c r="K21" s="3">
        <f t="shared" si="4"/>
        <v>4414.8234000000002</v>
      </c>
      <c r="L21" s="3">
        <f t="shared" si="4"/>
        <v>3811.8227000000002</v>
      </c>
      <c r="M21" s="3">
        <f t="shared" si="4"/>
        <v>4208.1131000000005</v>
      </c>
    </row>
    <row r="22" spans="2:13" x14ac:dyDescent="0.25">
      <c r="B22">
        <v>2030</v>
      </c>
      <c r="C22">
        <v>20.22</v>
      </c>
      <c r="D22" s="3">
        <f t="shared" si="0"/>
        <v>7701.3935999999994</v>
      </c>
      <c r="E22" s="3">
        <f t="shared" si="1"/>
        <v>17597.061600000001</v>
      </c>
      <c r="F22" s="3">
        <f t="shared" si="2"/>
        <v>7701.3935999999994</v>
      </c>
      <c r="H22">
        <v>2030</v>
      </c>
      <c r="I22">
        <v>8.83</v>
      </c>
      <c r="J22">
        <f t="shared" si="3"/>
        <v>8.8300000000000003E-2</v>
      </c>
      <c r="K22" s="3">
        <f t="shared" si="4"/>
        <v>4414.8234000000002</v>
      </c>
      <c r="L22" s="3">
        <f t="shared" si="4"/>
        <v>3811.8227000000002</v>
      </c>
      <c r="M22" s="3">
        <f t="shared" si="4"/>
        <v>4208.1131000000005</v>
      </c>
    </row>
    <row r="23" spans="2:13" x14ac:dyDescent="0.25">
      <c r="B23">
        <v>2031</v>
      </c>
      <c r="C23">
        <f>C22-0.02</f>
        <v>20.2</v>
      </c>
      <c r="D23" s="3">
        <f t="shared" si="0"/>
        <v>7693.7759999999998</v>
      </c>
      <c r="E23" s="3">
        <f t="shared" si="1"/>
        <v>17579.655999999999</v>
      </c>
      <c r="F23" s="3">
        <f t="shared" si="2"/>
        <v>7693.7759999999998</v>
      </c>
      <c r="H23">
        <v>2031</v>
      </c>
      <c r="I23">
        <v>8.83</v>
      </c>
      <c r="J23">
        <f t="shared" si="3"/>
        <v>8.8300000000000003E-2</v>
      </c>
      <c r="K23" s="3">
        <f t="shared" si="4"/>
        <v>4414.8234000000002</v>
      </c>
      <c r="L23" s="3">
        <f t="shared" si="4"/>
        <v>3811.8227000000002</v>
      </c>
      <c r="M23" s="3">
        <f t="shared" si="4"/>
        <v>4208.1131000000005</v>
      </c>
    </row>
    <row r="24" spans="2:13" x14ac:dyDescent="0.25">
      <c r="B24">
        <v>2032</v>
      </c>
      <c r="C24">
        <f>C23-0.02</f>
        <v>20.18</v>
      </c>
      <c r="D24" s="3">
        <f t="shared" si="0"/>
        <v>7686.1583999999993</v>
      </c>
      <c r="E24" s="3">
        <f t="shared" si="1"/>
        <v>17562.250400000001</v>
      </c>
      <c r="F24" s="3">
        <f t="shared" si="2"/>
        <v>7686.1583999999993</v>
      </c>
      <c r="H24">
        <v>2032</v>
      </c>
      <c r="I24">
        <v>8.83</v>
      </c>
      <c r="J24">
        <f t="shared" si="3"/>
        <v>8.8300000000000003E-2</v>
      </c>
      <c r="K24" s="3">
        <f t="shared" si="4"/>
        <v>4414.8234000000002</v>
      </c>
      <c r="L24" s="3">
        <f t="shared" si="4"/>
        <v>3811.8227000000002</v>
      </c>
      <c r="M24" s="3">
        <f t="shared" si="4"/>
        <v>4208.1131000000005</v>
      </c>
    </row>
    <row r="25" spans="2:13" x14ac:dyDescent="0.25">
      <c r="B25">
        <v>2033</v>
      </c>
      <c r="C25">
        <f>C24-0.02</f>
        <v>20.16</v>
      </c>
      <c r="D25" s="3">
        <f t="shared" si="0"/>
        <v>7678.5407999999998</v>
      </c>
      <c r="E25" s="3">
        <f t="shared" si="1"/>
        <v>17544.844799999999</v>
      </c>
      <c r="F25" s="3">
        <f t="shared" si="2"/>
        <v>7678.5407999999998</v>
      </c>
      <c r="H25">
        <v>2033</v>
      </c>
      <c r="I25">
        <v>8.83</v>
      </c>
      <c r="J25">
        <f t="shared" si="3"/>
        <v>8.8300000000000003E-2</v>
      </c>
      <c r="K25" s="3">
        <f t="shared" si="4"/>
        <v>4414.8234000000002</v>
      </c>
      <c r="L25" s="3">
        <f t="shared" si="4"/>
        <v>3811.8227000000002</v>
      </c>
      <c r="M25" s="3">
        <f t="shared" si="4"/>
        <v>4208.1131000000005</v>
      </c>
    </row>
    <row r="26" spans="2:13" x14ac:dyDescent="0.25">
      <c r="B26">
        <v>2034</v>
      </c>
      <c r="C26">
        <f>C25-0.02</f>
        <v>20.14</v>
      </c>
      <c r="D26" s="3">
        <f t="shared" si="0"/>
        <v>7670.9232000000011</v>
      </c>
      <c r="E26" s="3">
        <f t="shared" si="1"/>
        <v>17527.439200000001</v>
      </c>
      <c r="F26" s="3">
        <f t="shared" si="2"/>
        <v>7670.9232000000011</v>
      </c>
      <c r="H26">
        <v>2034</v>
      </c>
      <c r="I26">
        <v>8.83</v>
      </c>
      <c r="J26">
        <f t="shared" si="3"/>
        <v>8.8300000000000003E-2</v>
      </c>
      <c r="K26" s="3">
        <f t="shared" si="4"/>
        <v>4414.8234000000002</v>
      </c>
      <c r="L26" s="3">
        <f t="shared" si="4"/>
        <v>3811.8227000000002</v>
      </c>
      <c r="M26" s="3">
        <f t="shared" si="4"/>
        <v>4208.1131000000005</v>
      </c>
    </row>
    <row r="27" spans="2:13" x14ac:dyDescent="0.25">
      <c r="B27">
        <v>2035</v>
      </c>
      <c r="C27">
        <v>20.12</v>
      </c>
      <c r="D27" s="3">
        <f t="shared" si="0"/>
        <v>7663.3056000000006</v>
      </c>
      <c r="E27" s="3">
        <f t="shared" si="1"/>
        <v>17510.033600000002</v>
      </c>
      <c r="F27" s="3">
        <f t="shared" si="2"/>
        <v>7663.3056000000006</v>
      </c>
      <c r="G27" t="s">
        <v>60</v>
      </c>
      <c r="H27">
        <v>2035</v>
      </c>
      <c r="I27">
        <v>4</v>
      </c>
      <c r="J27">
        <f>I27/100</f>
        <v>0.04</v>
      </c>
      <c r="K27" s="3">
        <f t="shared" si="4"/>
        <v>4414.8234000000002</v>
      </c>
      <c r="L27" s="3">
        <f t="shared" si="4"/>
        <v>3811.8227000000002</v>
      </c>
      <c r="M27" s="3">
        <f t="shared" si="4"/>
        <v>4208.1131000000005</v>
      </c>
    </row>
    <row r="28" spans="2:13" x14ac:dyDescent="0.25">
      <c r="B28">
        <v>2036</v>
      </c>
      <c r="C28">
        <f>C27-0.204</f>
        <v>19.916</v>
      </c>
      <c r="D28" s="3">
        <f t="shared" si="0"/>
        <v>7585.6060800000005</v>
      </c>
      <c r="E28" s="3">
        <f t="shared" si="1"/>
        <v>17332.496480000002</v>
      </c>
      <c r="F28" s="3">
        <f t="shared" si="2"/>
        <v>7585.6060800000005</v>
      </c>
      <c r="H28">
        <v>2036</v>
      </c>
      <c r="I28">
        <v>4</v>
      </c>
      <c r="J28">
        <f t="shared" si="3"/>
        <v>0.04</v>
      </c>
      <c r="K28" s="3">
        <f t="shared" si="4"/>
        <v>4414.8234000000002</v>
      </c>
      <c r="L28" s="3">
        <f t="shared" si="4"/>
        <v>3811.8227000000002</v>
      </c>
      <c r="M28" s="3">
        <f t="shared" si="4"/>
        <v>4208.1131000000005</v>
      </c>
    </row>
    <row r="29" spans="2:13" x14ac:dyDescent="0.25">
      <c r="B29">
        <v>2037</v>
      </c>
      <c r="C29">
        <f t="shared" ref="C29:C31" si="5">C28-0.204</f>
        <v>19.712</v>
      </c>
      <c r="D29" s="3">
        <f t="shared" si="0"/>
        <v>7507.9065599999994</v>
      </c>
      <c r="E29" s="3">
        <f t="shared" si="1"/>
        <v>17154.959360000001</v>
      </c>
      <c r="F29" s="3">
        <f t="shared" si="2"/>
        <v>7507.9065599999994</v>
      </c>
      <c r="H29">
        <v>2037</v>
      </c>
      <c r="I29">
        <v>4</v>
      </c>
      <c r="J29">
        <f t="shared" si="3"/>
        <v>0.04</v>
      </c>
      <c r="K29" s="3">
        <f t="shared" si="4"/>
        <v>4414.8234000000002</v>
      </c>
      <c r="L29" s="3">
        <f t="shared" si="4"/>
        <v>3811.8227000000002</v>
      </c>
      <c r="M29" s="3">
        <f t="shared" si="4"/>
        <v>4208.1131000000005</v>
      </c>
    </row>
    <row r="30" spans="2:13" x14ac:dyDescent="0.25">
      <c r="B30">
        <v>2038</v>
      </c>
      <c r="C30">
        <f t="shared" si="5"/>
        <v>19.507999999999999</v>
      </c>
      <c r="D30" s="3">
        <f t="shared" si="0"/>
        <v>7430.2070399999993</v>
      </c>
      <c r="E30" s="3">
        <f t="shared" si="1"/>
        <v>16977.42224</v>
      </c>
      <c r="F30" s="3">
        <f t="shared" si="2"/>
        <v>7430.2070399999993</v>
      </c>
      <c r="H30">
        <v>2038</v>
      </c>
      <c r="I30">
        <v>4</v>
      </c>
      <c r="J30">
        <f t="shared" si="3"/>
        <v>0.04</v>
      </c>
      <c r="K30" s="3">
        <f t="shared" si="4"/>
        <v>4414.8234000000002</v>
      </c>
      <c r="L30" s="3">
        <f t="shared" si="4"/>
        <v>3811.8227000000002</v>
      </c>
      <c r="M30" s="3">
        <f t="shared" si="4"/>
        <v>4208.1131000000005</v>
      </c>
    </row>
    <row r="31" spans="2:13" x14ac:dyDescent="0.25">
      <c r="B31">
        <v>2039</v>
      </c>
      <c r="C31">
        <f t="shared" si="5"/>
        <v>19.303999999999998</v>
      </c>
      <c r="D31" s="3">
        <f t="shared" si="0"/>
        <v>7352.5075200000001</v>
      </c>
      <c r="E31" s="3">
        <f t="shared" si="1"/>
        <v>16799.885119999999</v>
      </c>
      <c r="F31" s="3">
        <f t="shared" si="2"/>
        <v>7352.5075200000001</v>
      </c>
      <c r="H31">
        <v>2039</v>
      </c>
      <c r="I31">
        <v>4</v>
      </c>
      <c r="J31">
        <f t="shared" si="3"/>
        <v>0.04</v>
      </c>
      <c r="K31" s="3">
        <f t="shared" si="4"/>
        <v>4414.8234000000002</v>
      </c>
      <c r="L31" s="3">
        <f t="shared" si="4"/>
        <v>3811.8227000000002</v>
      </c>
      <c r="M31" s="3">
        <f t="shared" si="4"/>
        <v>4208.1131000000005</v>
      </c>
    </row>
    <row r="32" spans="2:13" x14ac:dyDescent="0.25">
      <c r="B32">
        <v>2040</v>
      </c>
      <c r="C32">
        <v>19.100000000000001</v>
      </c>
      <c r="D32" s="3">
        <f t="shared" si="0"/>
        <v>7274.8080000000009</v>
      </c>
      <c r="E32" s="3">
        <f t="shared" si="1"/>
        <v>16622.348000000002</v>
      </c>
      <c r="F32" s="3">
        <f t="shared" si="2"/>
        <v>7274.8080000000009</v>
      </c>
      <c r="H32">
        <v>2040</v>
      </c>
      <c r="I32">
        <v>4</v>
      </c>
      <c r="J32">
        <f t="shared" si="3"/>
        <v>0.04</v>
      </c>
      <c r="K32" s="3">
        <f t="shared" si="4"/>
        <v>4414.8234000000002</v>
      </c>
      <c r="L32" s="3">
        <f t="shared" si="4"/>
        <v>3811.8227000000002</v>
      </c>
      <c r="M32" s="3">
        <f t="shared" si="4"/>
        <v>4208.1131000000005</v>
      </c>
    </row>
    <row r="33" spans="2:13" x14ac:dyDescent="0.25">
      <c r="B33">
        <v>2045</v>
      </c>
      <c r="C33">
        <v>19.22</v>
      </c>
      <c r="D33" s="3">
        <f t="shared" si="0"/>
        <v>7320.5136000000002</v>
      </c>
      <c r="E33" s="3">
        <f t="shared" si="1"/>
        <v>16726.781599999998</v>
      </c>
      <c r="F33" s="3">
        <f t="shared" si="2"/>
        <v>7320.5136000000002</v>
      </c>
      <c r="H33">
        <v>2045</v>
      </c>
      <c r="I33">
        <v>4</v>
      </c>
      <c r="J33">
        <f t="shared" si="3"/>
        <v>0.04</v>
      </c>
      <c r="K33" s="3">
        <f t="shared" si="4"/>
        <v>4414.8234000000002</v>
      </c>
      <c r="L33" s="3">
        <f t="shared" si="4"/>
        <v>3811.8227000000002</v>
      </c>
      <c r="M33" s="3">
        <f t="shared" si="4"/>
        <v>4208.1131000000005</v>
      </c>
    </row>
    <row r="34" spans="2:13" x14ac:dyDescent="0.25">
      <c r="B34">
        <v>2046</v>
      </c>
      <c r="C34">
        <f>C33-0.004</f>
        <v>19.215999999999998</v>
      </c>
      <c r="D34" s="3">
        <f t="shared" si="0"/>
        <v>7318.9900799999996</v>
      </c>
      <c r="E34" s="3">
        <f t="shared" si="1"/>
        <v>16723.300479999998</v>
      </c>
      <c r="F34" s="3">
        <f t="shared" si="2"/>
        <v>7318.9900799999996</v>
      </c>
      <c r="H34">
        <v>2046</v>
      </c>
      <c r="I34">
        <v>4</v>
      </c>
      <c r="J34">
        <f t="shared" si="3"/>
        <v>0.04</v>
      </c>
      <c r="K34" s="3">
        <f t="shared" si="4"/>
        <v>4414.8234000000002</v>
      </c>
      <c r="L34" s="3">
        <f t="shared" si="4"/>
        <v>3811.8227000000002</v>
      </c>
      <c r="M34" s="3">
        <f t="shared" si="4"/>
        <v>4208.1131000000005</v>
      </c>
    </row>
    <row r="35" spans="2:13" x14ac:dyDescent="0.25">
      <c r="B35">
        <v>2047</v>
      </c>
      <c r="C35">
        <f t="shared" ref="C35:C37" si="6">C34-0.004</f>
        <v>19.211999999999996</v>
      </c>
      <c r="D35" s="3">
        <f t="shared" si="0"/>
        <v>7317.466559999998</v>
      </c>
      <c r="E35" s="3">
        <f t="shared" si="1"/>
        <v>16719.819359999998</v>
      </c>
      <c r="F35" s="3">
        <f t="shared" si="2"/>
        <v>7317.466559999998</v>
      </c>
      <c r="H35">
        <v>2047</v>
      </c>
      <c r="I35">
        <v>4</v>
      </c>
      <c r="J35">
        <f t="shared" si="3"/>
        <v>0.04</v>
      </c>
      <c r="K35" s="3">
        <f t="shared" si="4"/>
        <v>4414.8234000000002</v>
      </c>
      <c r="L35" s="3">
        <f t="shared" si="4"/>
        <v>3811.8227000000002</v>
      </c>
      <c r="M35" s="3">
        <f t="shared" si="4"/>
        <v>4208.1131000000005</v>
      </c>
    </row>
    <row r="36" spans="2:13" x14ac:dyDescent="0.25">
      <c r="B36">
        <v>2048</v>
      </c>
      <c r="C36">
        <f t="shared" si="6"/>
        <v>19.207999999999995</v>
      </c>
      <c r="D36" s="3">
        <f t="shared" si="0"/>
        <v>7315.9430399999974</v>
      </c>
      <c r="E36" s="3">
        <f t="shared" si="1"/>
        <v>16716.338239999997</v>
      </c>
      <c r="F36" s="3">
        <f t="shared" si="2"/>
        <v>7315.9430399999974</v>
      </c>
      <c r="H36">
        <v>2048</v>
      </c>
      <c r="I36">
        <v>4</v>
      </c>
      <c r="J36">
        <f t="shared" si="3"/>
        <v>0.04</v>
      </c>
      <c r="K36" s="3">
        <f t="shared" si="4"/>
        <v>4414.8234000000002</v>
      </c>
      <c r="L36" s="3">
        <f t="shared" si="4"/>
        <v>3811.8227000000002</v>
      </c>
      <c r="M36" s="3">
        <f t="shared" si="4"/>
        <v>4208.1131000000005</v>
      </c>
    </row>
    <row r="37" spans="2:13" x14ac:dyDescent="0.25">
      <c r="B37">
        <v>2049</v>
      </c>
      <c r="C37">
        <f t="shared" si="6"/>
        <v>19.203999999999994</v>
      </c>
      <c r="D37" s="3">
        <f t="shared" si="0"/>
        <v>7314.4195199999967</v>
      </c>
      <c r="E37" s="3">
        <f t="shared" si="1"/>
        <v>16712.857119999993</v>
      </c>
      <c r="F37" s="3">
        <f t="shared" si="2"/>
        <v>7314.4195199999967</v>
      </c>
      <c r="H37">
        <v>2049</v>
      </c>
      <c r="I37">
        <v>4</v>
      </c>
      <c r="J37">
        <f t="shared" si="3"/>
        <v>0.04</v>
      </c>
      <c r="K37" s="3">
        <f t="shared" si="4"/>
        <v>4414.8234000000002</v>
      </c>
      <c r="L37" s="3">
        <f t="shared" si="4"/>
        <v>3811.8227000000002</v>
      </c>
      <c r="M37" s="3">
        <f t="shared" si="4"/>
        <v>4208.1131000000005</v>
      </c>
    </row>
    <row r="38" spans="2:13" x14ac:dyDescent="0.25">
      <c r="B38">
        <v>2050</v>
      </c>
      <c r="C38">
        <v>19.2</v>
      </c>
      <c r="D38" s="3">
        <f t="shared" si="0"/>
        <v>7312.8959999999997</v>
      </c>
      <c r="E38" s="3">
        <f t="shared" si="1"/>
        <v>16709.376</v>
      </c>
      <c r="F38" s="3">
        <f t="shared" si="2"/>
        <v>7312.8959999999997</v>
      </c>
      <c r="H38">
        <v>2050</v>
      </c>
      <c r="I38">
        <v>4</v>
      </c>
      <c r="J38">
        <f t="shared" si="3"/>
        <v>0.04</v>
      </c>
      <c r="K38" s="3">
        <f t="shared" si="4"/>
        <v>4414.8234000000002</v>
      </c>
      <c r="L38" s="3">
        <f t="shared" si="4"/>
        <v>3811.8227000000002</v>
      </c>
      <c r="M38" s="3">
        <f t="shared" si="4"/>
        <v>4208.1131000000005</v>
      </c>
    </row>
    <row r="40" spans="2:13" x14ac:dyDescent="0.25">
      <c r="C40" t="s">
        <v>55</v>
      </c>
      <c r="D40" s="3">
        <f>SUM(D17:D38)</f>
        <v>167111.1</v>
      </c>
      <c r="E40" s="3">
        <f>SUM(E17:E38)</f>
        <v>381835.35</v>
      </c>
      <c r="F40" s="3">
        <f>SUM(F17:F38)</f>
        <v>167111.1</v>
      </c>
      <c r="J40" t="s">
        <v>55</v>
      </c>
      <c r="K40" s="3">
        <f>SUM(K17:K38)</f>
        <v>97126.114799999967</v>
      </c>
      <c r="L40" s="3">
        <f>SUM(L17:L38)</f>
        <v>83860.099399999992</v>
      </c>
      <c r="M40" s="3">
        <f>SUM(M17:M38)</f>
        <v>92578.488200000036</v>
      </c>
    </row>
    <row r="41" spans="2:13" x14ac:dyDescent="0.25">
      <c r="J41" t="s">
        <v>64</v>
      </c>
      <c r="K41" s="3">
        <f>K40*(-1)</f>
        <v>-97126.114799999967</v>
      </c>
      <c r="L41" s="3">
        <f t="shared" ref="L41:M41" si="7">L40*(-1)</f>
        <v>-83860.099399999992</v>
      </c>
      <c r="M41" s="3">
        <f t="shared" si="7"/>
        <v>-92578.488200000036</v>
      </c>
    </row>
    <row r="42" spans="2:13" x14ac:dyDescent="0.25">
      <c r="B42" s="45" t="s">
        <v>88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</row>
    <row r="43" spans="2:13" x14ac:dyDescent="0.25">
      <c r="B43" s="39">
        <v>2021</v>
      </c>
      <c r="C43" s="39">
        <v>25.93</v>
      </c>
      <c r="D43" s="40">
        <f>$C43*$D$14/100</f>
        <v>9876.2183999999997</v>
      </c>
      <c r="E43" s="40">
        <f>$C43*$E$14/100</f>
        <v>22566.360400000001</v>
      </c>
      <c r="F43" s="40">
        <f>$C43*$D$14/100</f>
        <v>9876.2183999999997</v>
      </c>
      <c r="G43" s="39"/>
      <c r="H43" s="39">
        <v>2021</v>
      </c>
      <c r="I43" s="39">
        <v>8.83</v>
      </c>
      <c r="J43" s="39">
        <f>I43/100</f>
        <v>8.8300000000000003E-2</v>
      </c>
      <c r="K43" s="40">
        <f t="shared" ref="K43:M46" si="8">$J$43*K$14</f>
        <v>4414.8234000000002</v>
      </c>
      <c r="L43" s="40">
        <f t="shared" si="8"/>
        <v>3811.8227000000002</v>
      </c>
      <c r="M43" s="40">
        <f t="shared" si="8"/>
        <v>4208.1131000000005</v>
      </c>
    </row>
    <row r="44" spans="2:13" x14ac:dyDescent="0.25">
      <c r="B44" s="39">
        <v>2022</v>
      </c>
      <c r="C44" s="39">
        <v>27.12</v>
      </c>
      <c r="D44" s="40">
        <f>$C44*$D$14/100</f>
        <v>10329.465600000001</v>
      </c>
      <c r="E44" s="40">
        <f>$C44*$E$14/100</f>
        <v>23601.993599999998</v>
      </c>
      <c r="F44" s="40">
        <f>$C44*$D$14/100</f>
        <v>10329.465600000001</v>
      </c>
      <c r="G44" s="39"/>
      <c r="H44" s="39">
        <v>2022</v>
      </c>
      <c r="I44" s="39">
        <v>8.83</v>
      </c>
      <c r="J44" s="39">
        <f>I44/100</f>
        <v>8.8300000000000003E-2</v>
      </c>
      <c r="K44" s="40">
        <f t="shared" si="8"/>
        <v>4414.8234000000002</v>
      </c>
      <c r="L44" s="40">
        <f t="shared" si="8"/>
        <v>3811.8227000000002</v>
      </c>
      <c r="M44" s="40">
        <f t="shared" si="8"/>
        <v>4208.1131000000005</v>
      </c>
    </row>
    <row r="45" spans="2:13" x14ac:dyDescent="0.25">
      <c r="B45" s="39">
        <v>2023</v>
      </c>
      <c r="C45" s="39">
        <v>24.43</v>
      </c>
      <c r="D45" s="40">
        <f>$C45*$D$14/100</f>
        <v>9304.8984</v>
      </c>
      <c r="E45" s="40">
        <f>$C45*$E$14/100</f>
        <v>21260.940399999999</v>
      </c>
      <c r="F45" s="40">
        <f>$C45*$D$14/100</f>
        <v>9304.8984</v>
      </c>
      <c r="G45" s="39"/>
      <c r="H45" s="39">
        <v>2023</v>
      </c>
      <c r="I45" s="39">
        <v>8.83</v>
      </c>
      <c r="J45" s="39">
        <f>I45/100</f>
        <v>8.8300000000000003E-2</v>
      </c>
      <c r="K45" s="40">
        <f t="shared" si="8"/>
        <v>4414.8234000000002</v>
      </c>
      <c r="L45" s="40">
        <f t="shared" si="8"/>
        <v>3811.8227000000002</v>
      </c>
      <c r="M45" s="40">
        <f t="shared" si="8"/>
        <v>4208.1131000000005</v>
      </c>
    </row>
    <row r="46" spans="2:13" x14ac:dyDescent="0.25">
      <c r="B46" s="39">
        <v>2024</v>
      </c>
      <c r="C46" s="39">
        <v>24.62</v>
      </c>
      <c r="D46" s="40">
        <f>$C46*$D$14/100</f>
        <v>9377.2656000000006</v>
      </c>
      <c r="E46" s="40">
        <f>$C46*$E$14/100</f>
        <v>21426.293599999997</v>
      </c>
      <c r="F46" s="40">
        <f>$C46*$D$14/100</f>
        <v>9377.2656000000006</v>
      </c>
      <c r="G46" s="39"/>
      <c r="H46" s="39">
        <v>2024</v>
      </c>
      <c r="I46" s="39">
        <v>8.83</v>
      </c>
      <c r="J46" s="39">
        <f>I46/100</f>
        <v>8.8300000000000003E-2</v>
      </c>
      <c r="K46" s="40">
        <f t="shared" si="8"/>
        <v>4414.8234000000002</v>
      </c>
      <c r="L46" s="40">
        <f t="shared" si="8"/>
        <v>3811.8227000000002</v>
      </c>
      <c r="M46" s="40">
        <f t="shared" si="8"/>
        <v>4208.1131000000005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workbookViewId="0">
      <selection activeCell="E19" sqref="E19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6" t="s">
        <v>9</v>
      </c>
      <c r="C1" s="47"/>
      <c r="D1" s="47"/>
      <c r="E1" s="47"/>
      <c r="F1" s="47"/>
      <c r="G1" s="48"/>
      <c r="H1" s="46" t="s">
        <v>10</v>
      </c>
      <c r="I1" s="47"/>
      <c r="J1" s="47"/>
      <c r="K1" s="47"/>
      <c r="L1" s="48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Parameter'!D8:D9</f>
        <v>381835.35</v>
      </c>
    </row>
    <row r="6" spans="1:19" x14ac:dyDescent="0.25">
      <c r="B6" s="19" t="s">
        <v>39</v>
      </c>
      <c r="C6" s="9">
        <f>D6*E6</f>
        <v>171000</v>
      </c>
      <c r="D6">
        <v>150</v>
      </c>
      <c r="E6" s="25">
        <v>1140</v>
      </c>
      <c r="F6" s="26" t="s">
        <v>40</v>
      </c>
      <c r="G6" s="20" t="s">
        <v>36</v>
      </c>
      <c r="K6" t="s">
        <v>7</v>
      </c>
      <c r="L6" s="7">
        <v>-83860.099399999992</v>
      </c>
      <c r="M6" t="s">
        <v>110</v>
      </c>
      <c r="N6" s="4">
        <f>'[2]NT WN'!$C$8</f>
        <v>101.3869460569163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84</v>
      </c>
      <c r="D8" s="18" t="s">
        <v>91</v>
      </c>
      <c r="E8" s="18" t="s">
        <v>68</v>
      </c>
      <c r="G8" s="20"/>
      <c r="K8"/>
    </row>
    <row r="9" spans="1:19" x14ac:dyDescent="0.25">
      <c r="B9" s="19" t="s">
        <v>67</v>
      </c>
      <c r="C9" s="9">
        <f>D9*E9</f>
        <v>18615</v>
      </c>
      <c r="D9">
        <f>7+66</f>
        <v>73</v>
      </c>
      <c r="E9" s="25">
        <v>255</v>
      </c>
      <c r="F9" s="26" t="s">
        <v>75</v>
      </c>
      <c r="G9" s="20" t="s">
        <v>36</v>
      </c>
      <c r="K9"/>
    </row>
    <row r="10" spans="1:19" x14ac:dyDescent="0.25">
      <c r="B10" s="19" t="s">
        <v>78</v>
      </c>
      <c r="C10" s="9">
        <f>D10*E10</f>
        <v>131902.08029767123</v>
      </c>
      <c r="D10">
        <f>27+15</f>
        <v>42</v>
      </c>
      <c r="E10" s="25">
        <v>3140.5257213731243</v>
      </c>
      <c r="F10" s="26" t="s">
        <v>75</v>
      </c>
      <c r="G10" s="20" t="s">
        <v>36</v>
      </c>
      <c r="K10"/>
    </row>
    <row r="11" spans="1:19" x14ac:dyDescent="0.25">
      <c r="B11" s="19" t="s">
        <v>79</v>
      </c>
      <c r="C11" s="9">
        <f>D11*E11</f>
        <v>40529.005342645993</v>
      </c>
      <c r="D11">
        <v>12</v>
      </c>
      <c r="E11" s="2">
        <v>3377.4171118871664</v>
      </c>
      <c r="F11" s="26" t="s">
        <v>75</v>
      </c>
      <c r="G11" s="20" t="s">
        <v>36</v>
      </c>
      <c r="K11"/>
    </row>
    <row r="12" spans="1:19" x14ac:dyDescent="0.25">
      <c r="D12" s="18" t="s">
        <v>70</v>
      </c>
      <c r="E12" s="18" t="s">
        <v>69</v>
      </c>
      <c r="F12" s="26"/>
      <c r="G12" s="20"/>
      <c r="K12"/>
    </row>
    <row r="13" spans="1:19" x14ac:dyDescent="0.25">
      <c r="B13" s="19" t="s">
        <v>71</v>
      </c>
      <c r="C13" s="9">
        <f>D13*E13</f>
        <v>48844.799999999996</v>
      </c>
      <c r="D13">
        <v>0.24</v>
      </c>
      <c r="E13" s="25">
        <v>203520</v>
      </c>
      <c r="F13" s="26" t="s">
        <v>75</v>
      </c>
      <c r="G13" s="20" t="s">
        <v>36</v>
      </c>
      <c r="K13"/>
    </row>
    <row r="14" spans="1:19" x14ac:dyDescent="0.25">
      <c r="B14" s="19" t="s">
        <v>72</v>
      </c>
      <c r="C14" s="9">
        <f>D14*E14</f>
        <v>44236.799999999996</v>
      </c>
      <c r="D14">
        <v>0.24</v>
      </c>
      <c r="E14" s="25">
        <v>184320</v>
      </c>
      <c r="F14" s="26" t="s">
        <v>75</v>
      </c>
      <c r="G14" s="20" t="s">
        <v>36</v>
      </c>
      <c r="K14"/>
    </row>
    <row r="15" spans="1:19" x14ac:dyDescent="0.25">
      <c r="B15" s="24" t="s">
        <v>4</v>
      </c>
      <c r="E15" s="18" t="s">
        <v>35</v>
      </c>
      <c r="F15" t="s">
        <v>34</v>
      </c>
      <c r="G15" s="20" t="s">
        <v>36</v>
      </c>
      <c r="H15" t="s">
        <v>33</v>
      </c>
      <c r="I15" s="6" t="s">
        <v>57</v>
      </c>
      <c r="K15"/>
    </row>
    <row r="16" spans="1:19" x14ac:dyDescent="0.25">
      <c r="B16" s="19" t="s">
        <v>45</v>
      </c>
      <c r="C16" s="8">
        <f>D16*E16</f>
        <v>155040</v>
      </c>
      <c r="D16">
        <v>240</v>
      </c>
      <c r="E16" s="25">
        <v>646</v>
      </c>
      <c r="F16" s="26" t="s">
        <v>73</v>
      </c>
      <c r="G16" s="20" t="s">
        <v>36</v>
      </c>
      <c r="I16" s="6">
        <v>785</v>
      </c>
      <c r="K16"/>
      <c r="N16" t="s">
        <v>74</v>
      </c>
    </row>
    <row r="17" spans="1:19" x14ac:dyDescent="0.25">
      <c r="A17" s="4"/>
      <c r="B17" s="19" t="s">
        <v>2</v>
      </c>
      <c r="C17" s="9" t="s">
        <v>6</v>
      </c>
      <c r="G17" s="20"/>
      <c r="K17"/>
      <c r="O17" t="s">
        <v>76</v>
      </c>
    </row>
    <row r="18" spans="1:19" x14ac:dyDescent="0.25">
      <c r="B18" s="19" t="s">
        <v>106</v>
      </c>
      <c r="C18" s="9">
        <f>D18*E18</f>
        <v>751959</v>
      </c>
      <c r="D18">
        <v>6427</v>
      </c>
      <c r="E18">
        <f>90*1.3</f>
        <v>117</v>
      </c>
      <c r="F18" s="26" t="s">
        <v>107</v>
      </c>
      <c r="G18" s="20" t="s">
        <v>36</v>
      </c>
      <c r="K18"/>
    </row>
    <row r="19" spans="1:19" x14ac:dyDescent="0.25">
      <c r="G19" s="20"/>
      <c r="K19"/>
      <c r="O19" t="s">
        <v>77</v>
      </c>
    </row>
    <row r="20" spans="1:19" x14ac:dyDescent="0.25">
      <c r="B20" s="24" t="s">
        <v>8</v>
      </c>
      <c r="G20" s="20"/>
      <c r="K20"/>
    </row>
    <row r="21" spans="1:19" x14ac:dyDescent="0.25">
      <c r="B21" s="19" t="s">
        <v>23</v>
      </c>
      <c r="G21" s="20"/>
      <c r="K21"/>
    </row>
    <row r="22" spans="1:19" x14ac:dyDescent="0.25">
      <c r="B22" s="19" t="s">
        <v>24</v>
      </c>
      <c r="C22" s="7">
        <v>110000</v>
      </c>
      <c r="G22" s="20"/>
      <c r="I22" s="7"/>
      <c r="K22"/>
    </row>
    <row r="23" spans="1:19" x14ac:dyDescent="0.25">
      <c r="B23" s="19" t="s">
        <v>25</v>
      </c>
      <c r="C23" s="7">
        <v>30000</v>
      </c>
      <c r="G23" s="20"/>
      <c r="I23" s="7"/>
      <c r="K23"/>
    </row>
    <row r="24" spans="1:19" x14ac:dyDescent="0.25">
      <c r="B24" s="19" t="s">
        <v>26</v>
      </c>
      <c r="C24" s="7">
        <v>440000</v>
      </c>
      <c r="G24" s="20"/>
      <c r="I24" s="7"/>
      <c r="K24"/>
    </row>
    <row r="25" spans="1:19" x14ac:dyDescent="0.25">
      <c r="B25" s="19" t="s">
        <v>27</v>
      </c>
      <c r="C25" s="7">
        <v>50000</v>
      </c>
      <c r="G25" s="20"/>
      <c r="I25" s="7"/>
      <c r="K25"/>
    </row>
    <row r="26" spans="1:19" x14ac:dyDescent="0.25">
      <c r="G26" s="20"/>
      <c r="H26" t="s">
        <v>81</v>
      </c>
      <c r="I26" s="6">
        <f>SUM(I5:I25)</f>
        <v>785</v>
      </c>
      <c r="K26"/>
    </row>
    <row r="27" spans="1:19" s="27" customFormat="1" ht="15.75" thickBot="1" x14ac:dyDescent="0.3">
      <c r="B27" s="19"/>
      <c r="C27" s="6"/>
      <c r="D27"/>
      <c r="E27"/>
      <c r="F27"/>
      <c r="G27" s="20"/>
      <c r="H27" t="s">
        <v>80</v>
      </c>
      <c r="I27" s="6">
        <f>I26*'Allgemeine Parameter'!C3</f>
        <v>19625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.75" thickBot="1" x14ac:dyDescent="0.3">
      <c r="A28" s="30"/>
      <c r="B28" s="30" t="s">
        <v>56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.75" thickBot="1" x14ac:dyDescent="0.3">
      <c r="A29" s="28"/>
      <c r="B29" s="33">
        <f>SUM(C29,I29,L29)</f>
        <v>2309726.9362403173</v>
      </c>
      <c r="C29" s="17">
        <f>SUM(C1:C26)</f>
        <v>1992126.6856403172</v>
      </c>
      <c r="G29" s="29"/>
      <c r="I29" s="17">
        <f>SUM(I27)</f>
        <v>19625</v>
      </c>
      <c r="L29" s="17">
        <f>SUM(L5:L6)</f>
        <v>297975.25059999997</v>
      </c>
      <c r="M29"/>
      <c r="N29"/>
      <c r="O29"/>
      <c r="P29"/>
      <c r="Q29"/>
      <c r="R29"/>
      <c r="S29"/>
    </row>
    <row r="30" spans="1:19" x14ac:dyDescent="0.25">
      <c r="B30"/>
      <c r="C30" s="34"/>
      <c r="I30"/>
      <c r="K30"/>
      <c r="L30"/>
    </row>
    <row r="31" spans="1:19" x14ac:dyDescent="0.25">
      <c r="B31"/>
      <c r="C31" s="34"/>
      <c r="H31" s="25"/>
      <c r="I31"/>
      <c r="K31"/>
      <c r="L31"/>
    </row>
    <row r="32" spans="1:19" x14ac:dyDescent="0.25">
      <c r="B32"/>
      <c r="C32" s="34"/>
      <c r="H32" s="3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  <row r="40" spans="3:3" customFormat="1" x14ac:dyDescent="0.25">
      <c r="C40" s="34"/>
    </row>
  </sheetData>
  <mergeCells count="2">
    <mergeCell ref="B1:G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6" t="s">
        <v>9</v>
      </c>
      <c r="C1" s="47"/>
      <c r="D1" s="47"/>
      <c r="E1" s="47"/>
      <c r="F1" s="47"/>
      <c r="G1" s="48"/>
      <c r="H1" s="46" t="s">
        <v>10</v>
      </c>
      <c r="I1" s="47"/>
      <c r="J1" s="47"/>
      <c r="K1" s="47"/>
      <c r="L1" s="48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Parameter'!C8:C9</f>
        <v>167111.1</v>
      </c>
    </row>
    <row r="6" spans="1:19" x14ac:dyDescent="0.25">
      <c r="B6" s="19" t="s">
        <v>39</v>
      </c>
      <c r="C6" s="9">
        <f>D6*E6</f>
        <v>127224</v>
      </c>
      <c r="D6">
        <v>111.6</v>
      </c>
      <c r="E6" s="25">
        <v>1140</v>
      </c>
      <c r="F6" s="26" t="s">
        <v>40</v>
      </c>
      <c r="G6" s="20" t="s">
        <v>36</v>
      </c>
      <c r="K6" t="s">
        <v>7</v>
      </c>
      <c r="L6" s="7">
        <v>-97126.114799999967</v>
      </c>
      <c r="N6" s="4">
        <f>[2]dezentral!$C$8</f>
        <v>86.199999999999989</v>
      </c>
      <c r="O6" t="s">
        <v>66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G8" s="20"/>
      <c r="K8"/>
    </row>
    <row r="9" spans="1:19" x14ac:dyDescent="0.25">
      <c r="B9" s="19" t="s">
        <v>6</v>
      </c>
      <c r="C9" s="9" t="s">
        <v>6</v>
      </c>
      <c r="G9" s="20"/>
      <c r="K9"/>
    </row>
    <row r="10" spans="1:19" x14ac:dyDescent="0.25">
      <c r="B10" s="24" t="s">
        <v>4</v>
      </c>
      <c r="G10" s="20"/>
      <c r="K10"/>
    </row>
    <row r="11" spans="1:19" x14ac:dyDescent="0.25">
      <c r="B11" s="19" t="s">
        <v>38</v>
      </c>
      <c r="F11" t="s">
        <v>34</v>
      </c>
      <c r="G11" s="20" t="s">
        <v>36</v>
      </c>
      <c r="H11" t="s">
        <v>33</v>
      </c>
      <c r="I11" s="6" t="s">
        <v>57</v>
      </c>
      <c r="K11"/>
    </row>
    <row r="12" spans="1:19" x14ac:dyDescent="0.25">
      <c r="B12" s="19" t="s">
        <v>18</v>
      </c>
      <c r="C12" s="9">
        <f>D12*E12</f>
        <v>27600</v>
      </c>
      <c r="D12">
        <v>20</v>
      </c>
      <c r="E12" s="25">
        <v>1380</v>
      </c>
      <c r="F12" s="26" t="s">
        <v>32</v>
      </c>
      <c r="G12" s="20" t="s">
        <v>36</v>
      </c>
      <c r="I12" s="7">
        <v>350</v>
      </c>
      <c r="K12"/>
    </row>
    <row r="13" spans="1:19" x14ac:dyDescent="0.25">
      <c r="B13" s="19" t="s">
        <v>30</v>
      </c>
      <c r="C13" s="9">
        <f t="shared" ref="C13:C15" si="0">D13*E13</f>
        <v>43350</v>
      </c>
      <c r="D13">
        <v>50</v>
      </c>
      <c r="E13" s="25">
        <v>867</v>
      </c>
      <c r="F13" s="26" t="s">
        <v>32</v>
      </c>
      <c r="G13" s="20" t="s">
        <v>36</v>
      </c>
      <c r="I13" s="7">
        <v>533</v>
      </c>
      <c r="K13"/>
    </row>
    <row r="14" spans="1:19" x14ac:dyDescent="0.25">
      <c r="B14" s="19" t="s">
        <v>29</v>
      </c>
      <c r="C14" s="9">
        <f t="shared" si="0"/>
        <v>51030</v>
      </c>
      <c r="D14">
        <v>70</v>
      </c>
      <c r="E14" s="25">
        <v>729</v>
      </c>
      <c r="F14" s="26" t="s">
        <v>32</v>
      </c>
      <c r="G14" s="20" t="s">
        <v>36</v>
      </c>
      <c r="I14" s="7">
        <v>667</v>
      </c>
      <c r="K14"/>
    </row>
    <row r="15" spans="1:19" x14ac:dyDescent="0.25">
      <c r="B15" s="19" t="s">
        <v>28</v>
      </c>
      <c r="C15" s="9">
        <f t="shared" si="0"/>
        <v>27600</v>
      </c>
      <c r="D15">
        <v>20</v>
      </c>
      <c r="E15" s="25">
        <v>1380</v>
      </c>
      <c r="F15" s="26" t="s">
        <v>32</v>
      </c>
      <c r="G15" s="20" t="s">
        <v>37</v>
      </c>
      <c r="I15" s="7">
        <v>350</v>
      </c>
      <c r="K15"/>
    </row>
    <row r="16" spans="1:19" x14ac:dyDescent="0.25">
      <c r="D16" s="18" t="s">
        <v>109</v>
      </c>
      <c r="E16" s="34" t="s">
        <v>108</v>
      </c>
      <c r="F16" s="26"/>
      <c r="G16" s="20"/>
      <c r="I16" s="7"/>
      <c r="K16"/>
    </row>
    <row r="17" spans="1:19" x14ac:dyDescent="0.25">
      <c r="B17" s="19" t="s">
        <v>106</v>
      </c>
      <c r="C17" s="9">
        <f>D17*E17</f>
        <v>751959</v>
      </c>
      <c r="D17">
        <v>6427</v>
      </c>
      <c r="E17">
        <f>90*1.3</f>
        <v>117</v>
      </c>
      <c r="F17" s="26" t="s">
        <v>107</v>
      </c>
      <c r="G17" s="20" t="s">
        <v>36</v>
      </c>
      <c r="K17"/>
    </row>
    <row r="18" spans="1:19" x14ac:dyDescent="0.25">
      <c r="G18" s="20"/>
      <c r="K18"/>
    </row>
    <row r="19" spans="1:19" x14ac:dyDescent="0.25">
      <c r="B19" s="24" t="s">
        <v>8</v>
      </c>
      <c r="G19" s="20"/>
      <c r="K19"/>
    </row>
    <row r="20" spans="1:19" x14ac:dyDescent="0.25">
      <c r="B20" s="19" t="s">
        <v>17</v>
      </c>
      <c r="G20" s="20"/>
      <c r="K20"/>
    </row>
    <row r="21" spans="1:19" x14ac:dyDescent="0.25">
      <c r="B21" s="19" t="s">
        <v>19</v>
      </c>
      <c r="C21" s="9">
        <v>420000</v>
      </c>
      <c r="G21" s="20"/>
      <c r="K21"/>
    </row>
    <row r="22" spans="1:19" x14ac:dyDescent="0.25">
      <c r="B22" s="19" t="s">
        <v>20</v>
      </c>
      <c r="C22" s="9">
        <v>170000</v>
      </c>
      <c r="G22" s="20"/>
      <c r="K22"/>
    </row>
    <row r="23" spans="1:19" x14ac:dyDescent="0.25">
      <c r="B23" s="19" t="s">
        <v>21</v>
      </c>
      <c r="C23" s="9">
        <v>790000</v>
      </c>
      <c r="G23" s="20"/>
      <c r="K23"/>
    </row>
    <row r="24" spans="1:19" x14ac:dyDescent="0.25">
      <c r="B24" s="19" t="s">
        <v>22</v>
      </c>
      <c r="C24" s="9">
        <v>200000</v>
      </c>
      <c r="G24" s="20"/>
      <c r="K24"/>
    </row>
    <row r="25" spans="1:19" x14ac:dyDescent="0.25">
      <c r="G25" s="20"/>
      <c r="H25" t="s">
        <v>81</v>
      </c>
      <c r="I25" s="38">
        <f>SUM(I5:I24)</f>
        <v>1900</v>
      </c>
      <c r="K25"/>
    </row>
    <row r="26" spans="1:19" s="27" customFormat="1" ht="15.75" thickBot="1" x14ac:dyDescent="0.3">
      <c r="B26" s="19"/>
      <c r="C26" s="6"/>
      <c r="D26"/>
      <c r="E26"/>
      <c r="F26"/>
      <c r="G26" s="20"/>
      <c r="H26" t="s">
        <v>82</v>
      </c>
      <c r="I26" s="8">
        <f>I25*'Allgemeine Parameter'!C3</f>
        <v>47500</v>
      </c>
      <c r="J26"/>
      <c r="K26"/>
      <c r="L26" s="6"/>
      <c r="M26"/>
      <c r="N26"/>
      <c r="O26"/>
      <c r="P26"/>
      <c r="Q26"/>
      <c r="R26"/>
      <c r="S26"/>
    </row>
    <row r="27" spans="1:19" s="31" customFormat="1" ht="15.75" thickBot="1" x14ac:dyDescent="0.3">
      <c r="A27" s="30"/>
      <c r="B27" s="30" t="s">
        <v>56</v>
      </c>
      <c r="C27" s="10"/>
      <c r="G27" s="32"/>
      <c r="I27" s="5"/>
      <c r="L27" s="5"/>
      <c r="M27"/>
      <c r="N27"/>
      <c r="O27"/>
      <c r="P27"/>
      <c r="Q27"/>
      <c r="R27"/>
      <c r="S27"/>
    </row>
    <row r="28" spans="1:19" s="27" customFormat="1" ht="15.75" thickBot="1" x14ac:dyDescent="0.3">
      <c r="A28" s="28"/>
      <c r="B28" s="33">
        <f>SUM(C28,I28,L28)</f>
        <v>2726247.9852</v>
      </c>
      <c r="C28" s="17">
        <f>SUM(C1:C25)</f>
        <v>2608763</v>
      </c>
      <c r="G28" s="29"/>
      <c r="I28" s="17">
        <f>SUM(I26)</f>
        <v>47500</v>
      </c>
      <c r="L28" s="17">
        <f>SUM(L5:L6)</f>
        <v>69984.985200000039</v>
      </c>
      <c r="M28"/>
      <c r="N28"/>
      <c r="O28"/>
      <c r="P28"/>
      <c r="Q28"/>
      <c r="R28"/>
      <c r="S28"/>
    </row>
    <row r="29" spans="1:19" x14ac:dyDescent="0.25">
      <c r="B29"/>
      <c r="C29" s="34"/>
      <c r="I29"/>
      <c r="K29"/>
      <c r="L29"/>
    </row>
    <row r="30" spans="1:19" x14ac:dyDescent="0.25">
      <c r="B30" t="s">
        <v>83</v>
      </c>
      <c r="C30" s="34"/>
      <c r="I30"/>
      <c r="K30"/>
      <c r="L30"/>
    </row>
    <row r="31" spans="1:19" x14ac:dyDescent="0.25">
      <c r="B31"/>
      <c r="C31" s="34"/>
      <c r="I31"/>
      <c r="K31"/>
      <c r="L31"/>
    </row>
    <row r="32" spans="1:19" x14ac:dyDescent="0.25">
      <c r="B32"/>
      <c r="C32" s="34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2"/>
  <sheetViews>
    <sheetView topLeftCell="B1" zoomScaleNormal="100" workbookViewId="0">
      <selection activeCell="E23" sqref="E23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6" t="s">
        <v>9</v>
      </c>
      <c r="C1" s="47"/>
      <c r="D1" s="47"/>
      <c r="E1" s="47"/>
      <c r="F1" s="47"/>
      <c r="G1" s="48"/>
      <c r="H1" s="46" t="s">
        <v>10</v>
      </c>
      <c r="I1" s="47"/>
      <c r="J1" s="47"/>
      <c r="K1" s="47"/>
      <c r="L1" s="48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H5" t="s">
        <v>33</v>
      </c>
      <c r="I5" s="6" t="s">
        <v>57</v>
      </c>
      <c r="J5" s="11"/>
      <c r="K5" s="37" t="s">
        <v>12</v>
      </c>
      <c r="L5" s="7" cm="1">
        <f t="array" ref="L5:L6">'Allgemeine Parameter'!E8:E9</f>
        <v>167111.1</v>
      </c>
    </row>
    <row r="6" spans="1:19" x14ac:dyDescent="0.25">
      <c r="B6" s="19" t="s">
        <v>39</v>
      </c>
      <c r="C6" s="9">
        <f>D6*E6</f>
        <v>121638</v>
      </c>
      <c r="D6">
        <v>106.7</v>
      </c>
      <c r="E6" s="25">
        <v>1140</v>
      </c>
      <c r="F6" s="26" t="s">
        <v>40</v>
      </c>
      <c r="G6" s="20" t="s">
        <v>36</v>
      </c>
      <c r="K6" t="s">
        <v>7</v>
      </c>
      <c r="L6" s="7">
        <v>-92578.488200000036</v>
      </c>
      <c r="N6" s="4">
        <f>[2]K_NW!$F$10</f>
        <v>82.6</v>
      </c>
      <c r="O6" t="s">
        <v>111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D8" s="18" t="s">
        <v>91</v>
      </c>
      <c r="E8" s="18" t="s">
        <v>68</v>
      </c>
      <c r="G8" s="20"/>
      <c r="H8" t="s">
        <v>5</v>
      </c>
      <c r="K8"/>
    </row>
    <row r="9" spans="1:19" x14ac:dyDescent="0.25">
      <c r="B9" s="19" t="s">
        <v>97</v>
      </c>
      <c r="C9" s="9">
        <f>D9*E9</f>
        <v>36573</v>
      </c>
      <c r="D9">
        <f>7+66</f>
        <v>73</v>
      </c>
      <c r="E9">
        <v>501</v>
      </c>
      <c r="F9" s="26" t="s">
        <v>90</v>
      </c>
      <c r="G9" s="20" t="s">
        <v>36</v>
      </c>
      <c r="H9" t="s">
        <v>94</v>
      </c>
      <c r="K9"/>
    </row>
    <row r="10" spans="1:19" x14ac:dyDescent="0.25">
      <c r="B10" s="19" t="s">
        <v>92</v>
      </c>
      <c r="C10" s="9">
        <f>D10*E10</f>
        <v>15282</v>
      </c>
      <c r="D10">
        <f>27+15+12</f>
        <v>54</v>
      </c>
      <c r="E10">
        <v>283</v>
      </c>
      <c r="F10" s="26" t="s">
        <v>90</v>
      </c>
      <c r="G10" s="20" t="s">
        <v>36</v>
      </c>
      <c r="H10" t="s">
        <v>96</v>
      </c>
      <c r="K10"/>
    </row>
    <row r="11" spans="1:19" x14ac:dyDescent="0.25">
      <c r="D11" t="s">
        <v>42</v>
      </c>
      <c r="E11" s="18" t="s">
        <v>35</v>
      </c>
      <c r="F11" s="26"/>
      <c r="G11" s="20"/>
      <c r="H11" s="41">
        <f>SUM(C9:C12)</f>
        <v>81346.2</v>
      </c>
      <c r="K11"/>
    </row>
    <row r="12" spans="1:19" x14ac:dyDescent="0.25">
      <c r="B12" s="19" t="s">
        <v>93</v>
      </c>
      <c r="C12" s="9">
        <f>D12*E12</f>
        <v>29491.199999999997</v>
      </c>
      <c r="D12">
        <v>160</v>
      </c>
      <c r="E12" s="4">
        <v>184.32</v>
      </c>
      <c r="F12" s="26" t="s">
        <v>75</v>
      </c>
      <c r="G12" s="20" t="s">
        <v>36</v>
      </c>
      <c r="K12"/>
    </row>
    <row r="13" spans="1:19" x14ac:dyDescent="0.25">
      <c r="B13" s="19" t="s">
        <v>6</v>
      </c>
      <c r="C13" s="9" t="s">
        <v>6</v>
      </c>
      <c r="G13" s="20"/>
      <c r="K13"/>
    </row>
    <row r="14" spans="1:19" x14ac:dyDescent="0.25">
      <c r="B14" s="24" t="s">
        <v>4</v>
      </c>
      <c r="E14" s="18" t="s">
        <v>35</v>
      </c>
      <c r="F14" t="s">
        <v>34</v>
      </c>
      <c r="G14" s="20" t="s">
        <v>36</v>
      </c>
      <c r="K14"/>
      <c r="N14" t="s">
        <v>89</v>
      </c>
    </row>
    <row r="15" spans="1:19" x14ac:dyDescent="0.25">
      <c r="B15" s="19" t="s">
        <v>18</v>
      </c>
      <c r="C15" s="9">
        <f>D15*E15</f>
        <v>27600</v>
      </c>
      <c r="D15">
        <v>20</v>
      </c>
      <c r="E15" s="25">
        <v>1380</v>
      </c>
      <c r="F15" s="26" t="s">
        <v>32</v>
      </c>
      <c r="G15" s="20" t="s">
        <v>36</v>
      </c>
      <c r="I15" s="7">
        <v>350</v>
      </c>
      <c r="K15"/>
      <c r="N15" s="19" t="s">
        <v>18</v>
      </c>
      <c r="O15">
        <v>20</v>
      </c>
    </row>
    <row r="16" spans="1:19" x14ac:dyDescent="0.25">
      <c r="B16" s="19" t="s">
        <v>30</v>
      </c>
      <c r="C16" s="9">
        <f t="shared" ref="C16:C18" si="0">D16*E16</f>
        <v>43350</v>
      </c>
      <c r="D16">
        <v>50</v>
      </c>
      <c r="E16" s="25">
        <v>867</v>
      </c>
      <c r="F16" s="26" t="s">
        <v>32</v>
      </c>
      <c r="G16" s="20" t="s">
        <v>36</v>
      </c>
      <c r="I16" s="7">
        <v>533</v>
      </c>
      <c r="K16"/>
      <c r="N16" s="19" t="s">
        <v>30</v>
      </c>
      <c r="O16">
        <v>50</v>
      </c>
    </row>
    <row r="17" spans="1:19" x14ac:dyDescent="0.25">
      <c r="B17" s="19" t="s">
        <v>29</v>
      </c>
      <c r="C17" s="9">
        <f t="shared" si="0"/>
        <v>51030</v>
      </c>
      <c r="D17">
        <v>70</v>
      </c>
      <c r="E17" s="25">
        <v>729</v>
      </c>
      <c r="F17" s="26" t="s">
        <v>32</v>
      </c>
      <c r="G17" s="20" t="s">
        <v>36</v>
      </c>
      <c r="I17" s="7">
        <v>667</v>
      </c>
      <c r="K17"/>
      <c r="N17" s="19" t="s">
        <v>29</v>
      </c>
      <c r="O17">
        <v>70</v>
      </c>
    </row>
    <row r="18" spans="1:19" x14ac:dyDescent="0.25">
      <c r="B18" s="19" t="s">
        <v>28</v>
      </c>
      <c r="C18" s="9">
        <f t="shared" si="0"/>
        <v>27600</v>
      </c>
      <c r="D18">
        <v>20</v>
      </c>
      <c r="E18" s="25">
        <v>1380</v>
      </c>
      <c r="F18" s="26" t="s">
        <v>32</v>
      </c>
      <c r="G18" s="20" t="s">
        <v>37</v>
      </c>
      <c r="I18" s="7">
        <v>350</v>
      </c>
      <c r="K18"/>
      <c r="N18" s="19" t="s">
        <v>28</v>
      </c>
      <c r="O18">
        <v>20</v>
      </c>
    </row>
    <row r="19" spans="1:19" x14ac:dyDescent="0.25">
      <c r="A19" s="4"/>
      <c r="B19" s="19" t="s">
        <v>2</v>
      </c>
      <c r="C19" s="9" t="s">
        <v>6</v>
      </c>
      <c r="G19" s="20"/>
      <c r="K19"/>
    </row>
    <row r="20" spans="1:19" x14ac:dyDescent="0.25">
      <c r="B20" s="19" t="s">
        <v>106</v>
      </c>
      <c r="C20" s="9">
        <f>D20*E20</f>
        <v>751959</v>
      </c>
      <c r="D20">
        <v>6427</v>
      </c>
      <c r="E20">
        <f>90*1.3</f>
        <v>117</v>
      </c>
      <c r="F20" s="26" t="s">
        <v>107</v>
      </c>
      <c r="G20" s="20" t="s">
        <v>36</v>
      </c>
      <c r="K20"/>
    </row>
    <row r="21" spans="1:19" x14ac:dyDescent="0.25">
      <c r="G21" s="20"/>
      <c r="K21"/>
      <c r="O21">
        <f>SUM(O15:O18)</f>
        <v>160</v>
      </c>
    </row>
    <row r="22" spans="1:19" x14ac:dyDescent="0.25">
      <c r="B22" s="24" t="s">
        <v>8</v>
      </c>
      <c r="G22" s="20"/>
      <c r="K22"/>
    </row>
    <row r="23" spans="1:19" x14ac:dyDescent="0.25">
      <c r="B23" s="19" t="s">
        <v>17</v>
      </c>
      <c r="G23" s="20"/>
      <c r="K23"/>
    </row>
    <row r="24" spans="1:19" x14ac:dyDescent="0.25">
      <c r="B24" s="19" t="s">
        <v>19</v>
      </c>
      <c r="C24" s="9">
        <v>420000</v>
      </c>
      <c r="G24" s="20"/>
      <c r="K24"/>
    </row>
    <row r="25" spans="1:19" x14ac:dyDescent="0.25">
      <c r="B25" s="19" t="s">
        <v>20</v>
      </c>
      <c r="C25" s="9">
        <v>170000</v>
      </c>
      <c r="G25" s="20"/>
      <c r="K25"/>
    </row>
    <row r="26" spans="1:19" x14ac:dyDescent="0.25">
      <c r="B26" s="19" t="s">
        <v>21</v>
      </c>
      <c r="C26" s="9">
        <v>790000</v>
      </c>
      <c r="G26" s="20"/>
      <c r="K26"/>
    </row>
    <row r="27" spans="1:19" x14ac:dyDescent="0.25">
      <c r="B27" s="19" t="s">
        <v>22</v>
      </c>
      <c r="C27" s="9">
        <v>200000</v>
      </c>
      <c r="G27" s="20"/>
      <c r="K27"/>
    </row>
    <row r="28" spans="1:19" x14ac:dyDescent="0.25">
      <c r="G28" s="20"/>
      <c r="H28" t="s">
        <v>81</v>
      </c>
      <c r="I28" s="38">
        <f>SUM(I5:I27)</f>
        <v>1900</v>
      </c>
      <c r="K28"/>
    </row>
    <row r="29" spans="1:19" s="27" customFormat="1" ht="15.75" thickBot="1" x14ac:dyDescent="0.3">
      <c r="B29" s="19"/>
      <c r="C29" s="6"/>
      <c r="D29"/>
      <c r="E29"/>
      <c r="F29"/>
      <c r="G29" s="20"/>
      <c r="H29" t="s">
        <v>82</v>
      </c>
      <c r="I29" s="8">
        <f>I28*'Allgemeine Parameter'!C3</f>
        <v>47500</v>
      </c>
      <c r="J29"/>
      <c r="K29"/>
      <c r="L29" s="6"/>
      <c r="M29"/>
      <c r="N29"/>
      <c r="O29"/>
      <c r="P29"/>
      <c r="Q29"/>
      <c r="R29"/>
      <c r="S29"/>
    </row>
    <row r="30" spans="1:19" s="31" customFormat="1" ht="15.75" thickBot="1" x14ac:dyDescent="0.3">
      <c r="A30" s="30"/>
      <c r="B30" s="30" t="s">
        <v>56</v>
      </c>
      <c r="C30" s="10"/>
      <c r="G30" s="32"/>
      <c r="I30" s="5"/>
      <c r="L30" s="5"/>
      <c r="M30"/>
      <c r="N30"/>
      <c r="O30"/>
      <c r="P30"/>
      <c r="Q30"/>
      <c r="R30"/>
      <c r="S30"/>
    </row>
    <row r="31" spans="1:19" s="27" customFormat="1" ht="15.75" thickBot="1" x14ac:dyDescent="0.3">
      <c r="A31" s="28"/>
      <c r="B31" s="33">
        <f>SUM(C31,I31,L31)</f>
        <v>2806555.8118000003</v>
      </c>
      <c r="C31" s="17">
        <f>SUM(C1:C28)</f>
        <v>2684523.2</v>
      </c>
      <c r="G31" s="29"/>
      <c r="I31" s="17">
        <f>SUM(I29)</f>
        <v>47500</v>
      </c>
      <c r="L31" s="17">
        <f>SUM(L5:L6)</f>
        <v>74532.61179999997</v>
      </c>
      <c r="M31"/>
      <c r="N31"/>
      <c r="O31"/>
      <c r="P31"/>
      <c r="Q31"/>
      <c r="R31"/>
      <c r="S31"/>
    </row>
    <row r="32" spans="1:19" x14ac:dyDescent="0.25">
      <c r="B32"/>
      <c r="C32" s="34"/>
      <c r="I32"/>
      <c r="K32"/>
      <c r="L32"/>
    </row>
    <row r="33" spans="2:12" customFormat="1" x14ac:dyDescent="0.25">
      <c r="C33" s="34"/>
    </row>
    <row r="34" spans="2:12" x14ac:dyDescent="0.25">
      <c r="B34"/>
      <c r="C34" s="34" t="s">
        <v>85</v>
      </c>
      <c r="E34" s="4" t="s">
        <v>95</v>
      </c>
      <c r="F34" s="25"/>
      <c r="H34" s="3"/>
      <c r="I34"/>
      <c r="K34"/>
      <c r="L34"/>
    </row>
    <row r="35" spans="2:12" customFormat="1" x14ac:dyDescent="0.25">
      <c r="C35" s="34"/>
    </row>
    <row r="36" spans="2:12" customFormat="1" x14ac:dyDescent="0.25">
      <c r="C36" s="34"/>
    </row>
    <row r="37" spans="2:12" customFormat="1" x14ac:dyDescent="0.25">
      <c r="C37" s="34"/>
    </row>
    <row r="38" spans="2:12" customFormat="1" x14ac:dyDescent="0.25">
      <c r="C38" s="34"/>
    </row>
    <row r="39" spans="2:12" customFormat="1" x14ac:dyDescent="0.25">
      <c r="C39" s="34"/>
    </row>
    <row r="40" spans="2:12" customFormat="1" x14ac:dyDescent="0.25">
      <c r="C40" s="34"/>
    </row>
    <row r="41" spans="2:12" customFormat="1" x14ac:dyDescent="0.25">
      <c r="C41" s="34"/>
    </row>
    <row r="42" spans="2:12" customFormat="1" x14ac:dyDescent="0.25">
      <c r="C42" s="34"/>
    </row>
  </sheetData>
  <mergeCells count="2">
    <mergeCell ref="B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Zusammenfassung</vt:lpstr>
      <vt:lpstr>Allgemeine Parameter</vt:lpstr>
      <vt:lpstr>NT-WN</vt:lpstr>
      <vt:lpstr>dezentral</vt:lpstr>
      <vt:lpstr>kalte 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2025-01-02T11:20:12Z</dcterms:modified>
</cp:coreProperties>
</file>