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af8f9ca91dedfa/Curso Análise de dados Alura e Fiap/"/>
    </mc:Choice>
  </mc:AlternateContent>
  <xr:revisionPtr revIDLastSave="2" documentId="8_{A8D41FCB-2A4A-47B0-B9B1-A2150D972AA0}" xr6:coauthVersionLast="46" xr6:coauthVersionMax="46" xr10:uidLastSave="{9BDF0653-5633-407E-90C6-0D95E27492B7}"/>
  <bookViews>
    <workbookView xWindow="-28920" yWindow="-120" windowWidth="29040" windowHeight="15720" firstSheet="2" activeTab="2" xr2:uid="{EA1BE3FB-7206-429E-B5F8-9D0A8D172691}"/>
  </bookViews>
  <sheets>
    <sheet name="Produtos" sheetId="3" r:id="rId1"/>
    <sheet name="Vendas" sheetId="10" r:id="rId2"/>
    <sheet name="Dashboard" sheetId="9" r:id="rId3"/>
    <sheet name="Médias_Ref_Estruturada" sheetId="7" r:id="rId4"/>
    <sheet name="Filtro_Avançado" sheetId="5" r:id="rId5"/>
    <sheet name="Gráfico_dinâmico" sheetId="4" r:id="rId6"/>
    <sheet name="Tabela_Dinâmica" sheetId="15" r:id="rId7"/>
    <sheet name="Dados_para_gráficos" sheetId="11" r:id="rId8"/>
    <sheet name="Tabela_manual" sheetId="2" state="hidden" r:id="rId9"/>
    <sheet name="Médias" sheetId="6" state="hidden" r:id="rId10"/>
  </sheets>
  <definedNames>
    <definedName name="_xlnm._FilterDatabase" localSheetId="8" hidden="1">Tabela_manual!$A$3:$G$23</definedName>
    <definedName name="_xlchart.v1.0" hidden="1">Dados_para_gráficos!$A$2:$A$4</definedName>
    <definedName name="_xlchart.v1.1" hidden="1">Dados_para_gráficos!$B$1</definedName>
    <definedName name="_xlchart.v1.2" hidden="1">Dados_para_gráficos!$B$2:$B$4</definedName>
    <definedName name="_xlnm.Extract" localSheetId="4">Filtro_Avançado!$B$7:$H$7</definedName>
    <definedName name="_xlnm.Criteria" localSheetId="4">Filtro_Avançado!$B$3:$C$4</definedName>
    <definedName name="int_nome_produto">Tabela_manual!$A$4:$A$23</definedName>
    <definedName name="int_quantidade">Tabela_manual!$F$4:$F$23</definedName>
  </definedNames>
  <calcPr calcId="18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10" l="1"/>
  <c r="W4" i="9"/>
  <c r="G4" i="10"/>
  <c r="H4" i="10" s="1"/>
  <c r="G5" i="10"/>
  <c r="H5" i="10" s="1"/>
  <c r="G6" i="10"/>
  <c r="H6" i="10" s="1"/>
  <c r="G7" i="10"/>
  <c r="H7" i="10" s="1"/>
  <c r="G8" i="10"/>
  <c r="H8" i="10" s="1"/>
  <c r="D2" i="11" s="1"/>
  <c r="G9" i="10"/>
  <c r="H9" i="10" s="1"/>
  <c r="G10" i="10"/>
  <c r="H10" i="10" s="1"/>
  <c r="G11" i="10"/>
  <c r="H11" i="10" s="1"/>
  <c r="G12" i="10"/>
  <c r="H12" i="10" s="1"/>
  <c r="G13" i="10"/>
  <c r="H13" i="10" s="1"/>
  <c r="G14" i="10"/>
  <c r="H14" i="10" s="1"/>
  <c r="G15" i="10"/>
  <c r="H15" i="10" s="1"/>
  <c r="G16" i="10"/>
  <c r="H16" i="10" s="1"/>
  <c r="G17" i="10"/>
  <c r="H17" i="10" s="1"/>
  <c r="G18" i="10"/>
  <c r="H18" i="10" s="1"/>
  <c r="G19" i="10"/>
  <c r="H19" i="10" s="1"/>
  <c r="G20" i="10"/>
  <c r="H20" i="10" s="1"/>
  <c r="G21" i="10"/>
  <c r="H21" i="10" s="1"/>
  <c r="G22" i="10"/>
  <c r="H22" i="10" s="1"/>
  <c r="G23" i="10"/>
  <c r="H23" i="10" s="1"/>
  <c r="G24" i="10"/>
  <c r="H24" i="10" s="1"/>
  <c r="H4" i="11" s="1"/>
  <c r="G25" i="10"/>
  <c r="H25" i="10" s="1"/>
  <c r="G26" i="10"/>
  <c r="H26" i="10" s="1"/>
  <c r="G27" i="10"/>
  <c r="H27" i="10" s="1"/>
  <c r="G28" i="10"/>
  <c r="H28" i="10" s="1"/>
  <c r="G29" i="10"/>
  <c r="H29" i="10" s="1"/>
  <c r="G30" i="10"/>
  <c r="H30" i="10" s="1"/>
  <c r="G31" i="10"/>
  <c r="H31" i="10" s="1"/>
  <c r="G32" i="10"/>
  <c r="H32" i="10" s="1"/>
  <c r="G33" i="10"/>
  <c r="H33" i="10" s="1"/>
  <c r="G34" i="10"/>
  <c r="H34" i="10" s="1"/>
  <c r="G35" i="10"/>
  <c r="H35" i="10" s="1"/>
  <c r="G36" i="10"/>
  <c r="H36" i="10" s="1"/>
  <c r="G37" i="10"/>
  <c r="H37" i="10" s="1"/>
  <c r="H5" i="11" s="1"/>
  <c r="G38" i="10"/>
  <c r="H38" i="10" s="1"/>
  <c r="G39" i="10"/>
  <c r="H39" i="10" s="1"/>
  <c r="G40" i="10"/>
  <c r="H40" i="10" s="1"/>
  <c r="G41" i="10"/>
  <c r="H41" i="10" s="1"/>
  <c r="G42" i="10"/>
  <c r="H42" i="10" s="1"/>
  <c r="G43" i="10"/>
  <c r="H43" i="10" s="1"/>
  <c r="H6" i="11" s="1"/>
  <c r="G44" i="10"/>
  <c r="H44" i="10" s="1"/>
  <c r="G45" i="10"/>
  <c r="H45" i="10" s="1"/>
  <c r="G46" i="10"/>
  <c r="H46" i="10" s="1"/>
  <c r="G47" i="10"/>
  <c r="H47" i="10" s="1"/>
  <c r="G48" i="10"/>
  <c r="H48" i="10" s="1"/>
  <c r="G49" i="10"/>
  <c r="H49" i="10" s="1"/>
  <c r="G50" i="10"/>
  <c r="H50" i="10" s="1"/>
  <c r="G51" i="10"/>
  <c r="H51" i="10" s="1"/>
  <c r="G52" i="10"/>
  <c r="H52" i="10" s="1"/>
  <c r="G53" i="10"/>
  <c r="H53" i="10" s="1"/>
  <c r="G54" i="10"/>
  <c r="H54" i="10" s="1"/>
  <c r="G55" i="10"/>
  <c r="H55" i="10" s="1"/>
  <c r="G56" i="10"/>
  <c r="H56" i="10" s="1"/>
  <c r="G57" i="10"/>
  <c r="H57" i="10" s="1"/>
  <c r="G58" i="10"/>
  <c r="H58" i="10" s="1"/>
  <c r="G59" i="10"/>
  <c r="H59" i="10" s="1"/>
  <c r="G60" i="10"/>
  <c r="H60" i="10" s="1"/>
  <c r="G61" i="10"/>
  <c r="H61" i="10" s="1"/>
  <c r="G62" i="10"/>
  <c r="H62" i="10" s="1"/>
  <c r="H18" i="3"/>
  <c r="F20" i="3"/>
  <c r="F21" i="3"/>
  <c r="F22" i="3"/>
  <c r="I22" i="3" s="1"/>
  <c r="F23" i="3"/>
  <c r="I23" i="3" s="1"/>
  <c r="F24" i="3"/>
  <c r="F31" i="3"/>
  <c r="F32" i="3"/>
  <c r="F25" i="3"/>
  <c r="I25" i="3" s="1"/>
  <c r="F33" i="3"/>
  <c r="I33" i="3" s="1"/>
  <c r="F26" i="3"/>
  <c r="I26" i="3" s="1"/>
  <c r="F27" i="3"/>
  <c r="I27" i="3" s="1"/>
  <c r="F28" i="3"/>
  <c r="I28" i="3" s="1"/>
  <c r="F29" i="3"/>
  <c r="F34" i="3"/>
  <c r="F35" i="3"/>
  <c r="I35" i="3" s="1"/>
  <c r="F36" i="3"/>
  <c r="I36" i="3" s="1"/>
  <c r="F39" i="3"/>
  <c r="I39" i="3" s="1"/>
  <c r="F40" i="3"/>
  <c r="I40" i="3" s="1"/>
  <c r="F41" i="3"/>
  <c r="I41" i="3" s="1"/>
  <c r="H20" i="3"/>
  <c r="H21" i="3"/>
  <c r="H22" i="3"/>
  <c r="H23" i="3"/>
  <c r="H24" i="3"/>
  <c r="H31" i="3"/>
  <c r="H32" i="3"/>
  <c r="H25" i="3"/>
  <c r="H33" i="3"/>
  <c r="H26" i="3"/>
  <c r="H27" i="3"/>
  <c r="H28" i="3"/>
  <c r="H29" i="3"/>
  <c r="H34" i="3"/>
  <c r="H35" i="3"/>
  <c r="H36" i="3"/>
  <c r="H39" i="3"/>
  <c r="H40" i="3"/>
  <c r="H41" i="3"/>
  <c r="I20" i="3"/>
  <c r="I21" i="3"/>
  <c r="I24" i="3"/>
  <c r="I31" i="3"/>
  <c r="I32" i="3"/>
  <c r="I29" i="3"/>
  <c r="I34" i="3"/>
  <c r="I3" i="11"/>
  <c r="I4" i="11"/>
  <c r="I5" i="11"/>
  <c r="I6" i="11"/>
  <c r="I7" i="11"/>
  <c r="I2" i="11"/>
  <c r="AM4" i="9"/>
  <c r="H6" i="3"/>
  <c r="H5" i="3"/>
  <c r="H16" i="3"/>
  <c r="H37" i="3"/>
  <c r="H42" i="3"/>
  <c r="H9" i="3"/>
  <c r="H13" i="3"/>
  <c r="H17" i="3"/>
  <c r="H12" i="3"/>
  <c r="H38" i="3"/>
  <c r="H30" i="3"/>
  <c r="H14" i="3"/>
  <c r="H10" i="3"/>
  <c r="H7" i="3"/>
  <c r="H15" i="3"/>
  <c r="H11" i="3"/>
  <c r="H8" i="3"/>
  <c r="H4" i="3"/>
  <c r="H19" i="3"/>
  <c r="A4" i="7"/>
  <c r="E4" i="6"/>
  <c r="C4" i="7"/>
  <c r="B4" i="7"/>
  <c r="G4" i="6"/>
  <c r="C4" i="6"/>
  <c r="F4" i="6"/>
  <c r="A4" i="6"/>
  <c r="F13" i="3"/>
  <c r="I13" i="3" s="1"/>
  <c r="F38" i="3"/>
  <c r="I38" i="3" s="1"/>
  <c r="F18" i="3"/>
  <c r="I18" i="3" s="1"/>
  <c r="F8" i="3"/>
  <c r="I8" i="3" s="1"/>
  <c r="F14" i="3"/>
  <c r="I14" i="3" s="1"/>
  <c r="F15" i="3"/>
  <c r="I15" i="3" s="1"/>
  <c r="F17" i="3"/>
  <c r="I17" i="3" s="1"/>
  <c r="F30" i="3"/>
  <c r="I30" i="3" s="1"/>
  <c r="F12" i="3"/>
  <c r="I12" i="3" s="1"/>
  <c r="F7" i="3"/>
  <c r="I7" i="3" s="1"/>
  <c r="F37" i="3"/>
  <c r="I37" i="3" s="1"/>
  <c r="F5" i="3"/>
  <c r="I5" i="3" s="1"/>
  <c r="F16" i="3"/>
  <c r="I16" i="3" s="1"/>
  <c r="F10" i="3"/>
  <c r="I10" i="3" s="1"/>
  <c r="F4" i="3"/>
  <c r="I4" i="3" s="1"/>
  <c r="F19" i="3"/>
  <c r="I19" i="3" s="1"/>
  <c r="F11" i="3"/>
  <c r="I11" i="3" s="1"/>
  <c r="F9" i="3"/>
  <c r="I9" i="3" s="1"/>
  <c r="F6" i="3"/>
  <c r="I6" i="3" s="1"/>
  <c r="F42" i="3"/>
  <c r="I42" i="3" s="1"/>
  <c r="E10" i="2"/>
  <c r="E13" i="2"/>
  <c r="E15" i="2"/>
  <c r="E21" i="2"/>
  <c r="E16" i="2"/>
  <c r="E19" i="2"/>
  <c r="E11" i="2"/>
  <c r="E14" i="2"/>
  <c r="E12" i="2"/>
  <c r="E18" i="2"/>
  <c r="E7" i="2"/>
  <c r="E5" i="2"/>
  <c r="E6" i="2"/>
  <c r="E17" i="2"/>
  <c r="E22" i="2"/>
  <c r="E23" i="2"/>
  <c r="E20" i="2"/>
  <c r="E9" i="2"/>
  <c r="E4" i="2"/>
  <c r="E8" i="2"/>
  <c r="G8" i="2"/>
  <c r="E43" i="3"/>
  <c r="F25" i="2"/>
  <c r="B4" i="6" s="1"/>
  <c r="D25" i="2"/>
  <c r="N4" i="11" l="1"/>
  <c r="D4" i="11"/>
  <c r="BC4" i="9"/>
  <c r="H7" i="11"/>
  <c r="N3" i="11"/>
  <c r="H63" i="10"/>
  <c r="H2" i="11"/>
  <c r="D3" i="11"/>
  <c r="B3" i="11" s="1"/>
  <c r="C3" i="11" s="1"/>
  <c r="H3" i="11"/>
  <c r="N2" i="11"/>
  <c r="L2" i="11" s="1"/>
  <c r="M2" i="11" s="1"/>
  <c r="G4" i="7"/>
  <c r="E4" i="7"/>
  <c r="F4" i="7"/>
  <c r="G9" i="2"/>
  <c r="G10" i="2"/>
  <c r="G13" i="2"/>
  <c r="G15" i="2"/>
  <c r="G21" i="2"/>
  <c r="G16" i="2"/>
  <c r="G19" i="2"/>
  <c r="G11" i="2"/>
  <c r="G14" i="2"/>
  <c r="G12" i="2"/>
  <c r="G18" i="2"/>
  <c r="G7" i="2"/>
  <c r="G25" i="2" s="1"/>
  <c r="G5" i="2"/>
  <c r="G6" i="2"/>
  <c r="G17" i="2"/>
  <c r="G22" i="2"/>
  <c r="G23" i="2"/>
  <c r="G20" i="2"/>
  <c r="G4" i="2"/>
  <c r="E25" i="2"/>
  <c r="I43" i="3"/>
  <c r="F43" i="3"/>
  <c r="G43" i="3"/>
  <c r="B4" i="11" l="1"/>
  <c r="C4" i="11" s="1"/>
  <c r="B2" i="11"/>
  <c r="C2" i="11" s="1"/>
  <c r="L4" i="11"/>
  <c r="M4" i="11" s="1"/>
  <c r="L3" i="11"/>
  <c r="M3" i="11" s="1"/>
</calcChain>
</file>

<file path=xl/sharedStrings.xml><?xml version="1.0" encoding="utf-8"?>
<sst xmlns="http://schemas.openxmlformats.org/spreadsheetml/2006/main" count="567" uniqueCount="125">
  <si>
    <t>Meteora</t>
  </si>
  <si>
    <t>Produtos</t>
  </si>
  <si>
    <t>Tamanho</t>
  </si>
  <si>
    <t>Categoria</t>
  </si>
  <si>
    <t>Preço Unitário</t>
  </si>
  <si>
    <t>Preço c/ Desconto</t>
  </si>
  <si>
    <t>Qtd</t>
  </si>
  <si>
    <t>Valor Total</t>
  </si>
  <si>
    <t>Desconto</t>
  </si>
  <si>
    <t>Óculos</t>
  </si>
  <si>
    <t>Único</t>
  </si>
  <si>
    <t>Acessórios</t>
  </si>
  <si>
    <t>Jaqueta couro</t>
  </si>
  <si>
    <t>G</t>
  </si>
  <si>
    <t>Vestuário</t>
  </si>
  <si>
    <t>M</t>
  </si>
  <si>
    <t>Tênis</t>
  </si>
  <si>
    <t>Sapato</t>
  </si>
  <si>
    <t>Bolsa couro</t>
  </si>
  <si>
    <t>Jaqueta</t>
  </si>
  <si>
    <t>P</t>
  </si>
  <si>
    <t>Vestido</t>
  </si>
  <si>
    <t>Boné</t>
  </si>
  <si>
    <t>Calça Jeans</t>
  </si>
  <si>
    <t>Calça cargo</t>
  </si>
  <si>
    <t>Bermuda</t>
  </si>
  <si>
    <t xml:space="preserve"> </t>
  </si>
  <si>
    <t>Cinto</t>
  </si>
  <si>
    <t>Camiseta Lisa</t>
  </si>
  <si>
    <t>Totais</t>
  </si>
  <si>
    <t>Calça</t>
  </si>
  <si>
    <t>Bolsa</t>
  </si>
  <si>
    <t>Soma de Qtd</t>
  </si>
  <si>
    <t>Total Geral</t>
  </si>
  <si>
    <t>&gt;3</t>
  </si>
  <si>
    <t>Todos os Produtos</t>
  </si>
  <si>
    <t>Contagem de Produtos</t>
  </si>
  <si>
    <t>Soma Qtd em Estoque</t>
  </si>
  <si>
    <t>Media de Qtd em Estoque</t>
  </si>
  <si>
    <t>Média Qtd em Estoque</t>
  </si>
  <si>
    <t>Calça jeans</t>
  </si>
  <si>
    <t>Código</t>
  </si>
  <si>
    <t>Estoque</t>
  </si>
  <si>
    <t>PR001</t>
  </si>
  <si>
    <t>PR002</t>
  </si>
  <si>
    <t>PR003</t>
  </si>
  <si>
    <t>PR004</t>
  </si>
  <si>
    <t>PR005</t>
  </si>
  <si>
    <t>PR006</t>
  </si>
  <si>
    <t>PR008</t>
  </si>
  <si>
    <t>PR009</t>
  </si>
  <si>
    <t>PR011</t>
  </si>
  <si>
    <t>PR012</t>
  </si>
  <si>
    <t>PR013</t>
  </si>
  <si>
    <t>PR014</t>
  </si>
  <si>
    <t>PR015</t>
  </si>
  <si>
    <t>PR017</t>
  </si>
  <si>
    <t>PR018</t>
  </si>
  <si>
    <t>PR019</t>
  </si>
  <si>
    <t>PR020</t>
  </si>
  <si>
    <t>PR021</t>
  </si>
  <si>
    <t>PR022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</si>
  <si>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</si>
  <si>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</si>
  <si>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</si>
  <si>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</si>
  <si>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</si>
  <si>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</si>
  <si>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</si>
  <si>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</si>
  <si>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</si>
  <si>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PR035</t>
  </si>
  <si>
    <t>PR036</t>
  </si>
  <si>
    <t>PR037</t>
  </si>
  <si>
    <t>PR038</t>
  </si>
  <si>
    <t>PR039</t>
  </si>
  <si>
    <t>Situação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</si>
  <si>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</si>
  <si>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</si>
  <si>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</si>
  <si>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</si>
  <si>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</si>
  <si>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</si>
  <si>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Mês</t>
  </si>
  <si>
    <t>Data</t>
  </si>
  <si>
    <t>Total</t>
  </si>
  <si>
    <t>Vendedor</t>
  </si>
  <si>
    <t>João</t>
  </si>
  <si>
    <t>Calçados</t>
  </si>
  <si>
    <t>Clara</t>
  </si>
  <si>
    <t>Sarah</t>
  </si>
  <si>
    <t>Vendedores</t>
  </si>
  <si>
    <t>N. Mês</t>
  </si>
  <si>
    <t>Meses</t>
  </si>
  <si>
    <t>Jan</t>
  </si>
  <si>
    <t>Fev</t>
  </si>
  <si>
    <t>Mar</t>
  </si>
  <si>
    <t>Abr</t>
  </si>
  <si>
    <t>Mai</t>
  </si>
  <si>
    <t>Jun</t>
  </si>
  <si>
    <t>%Categoria</t>
  </si>
  <si>
    <t>%Restante</t>
  </si>
  <si>
    <t>Unitário</t>
  </si>
  <si>
    <t>PR007</t>
  </si>
  <si>
    <t>PR010</t>
  </si>
  <si>
    <t>PR016</t>
  </si>
  <si>
    <t>PR023</t>
  </si>
  <si>
    <t>PR033</t>
  </si>
  <si>
    <t>PR034</t>
  </si>
  <si>
    <t>Bolsa coringa</t>
  </si>
  <si>
    <t>Bolsa de couro</t>
  </si>
  <si>
    <t>Calça legging</t>
  </si>
  <si>
    <t>Camiseta Estampada</t>
  </si>
  <si>
    <t xml:space="preserve">Camiseta Lisa </t>
  </si>
  <si>
    <t>Jaqueta jeans</t>
  </si>
  <si>
    <t>Óculos quadrado</t>
  </si>
  <si>
    <t>Óculos redondo</t>
  </si>
  <si>
    <t>Tênis Atitas</t>
  </si>
  <si>
    <t>Tênis Nika</t>
  </si>
  <si>
    <t>Vestido curto</t>
  </si>
  <si>
    <t>Vestido longo</t>
  </si>
  <si>
    <t>Calçado</t>
  </si>
  <si>
    <t xml:space="preserve">
</t>
  </si>
  <si>
    <t>Rótulos de Linha</t>
  </si>
  <si>
    <t>%Vendedor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</si>
</sst>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  <numFmt numFmtId="166" formatCode="_-&quot;$&quot;\ * #,##0.00_-;\-&quot;$&quot;\ * #,##0.00_-;_-&quot;$&quot;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Arial Black"/>
      <family val="2"/>
    </font>
    <font>
      <sz val="24"/>
      <color theme="1"/>
      <name val="Bahnschrift SemiBold"/>
      <family val="2"/>
    </font>
    <font>
      <b/>
      <sz val="20"/>
      <name val="Arial Black"/>
      <family val="2"/>
    </font>
    <font>
      <b/>
      <sz val="20"/>
      <color theme="1"/>
      <name val="Arial Black"/>
      <family val="2"/>
    </font>
    <font>
      <sz val="11"/>
      <name val="Calibri"/>
      <family val="2"/>
      <scheme val="minor"/>
    </font>
    <font>
      <sz val="16"/>
      <color theme="1"/>
      <name val="Arial Black"/>
      <family val="2"/>
    </font>
    <font>
      <b/>
      <sz val="14"/>
      <color theme="0" tint="-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Montserrat"/>
    </font>
    <font>
      <b/>
      <sz val="12"/>
      <color theme="7" tint="0.59999389629810485"/>
      <name val="Montserrat"/>
    </font>
    <font>
      <sz val="11"/>
      <color theme="7" tint="0.59999389629810485"/>
      <name val="Montserrat"/>
    </font>
    <font>
      <b/>
      <sz val="20"/>
      <color theme="1"/>
      <name val="Montserrat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1"/>
        <bgColor rgb="FFFFFF00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0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4" borderId="0" applyNumberFormat="0" applyBorder="0" applyAlignment="0" applyProtection="0"/>
    <xf numFmtId="0" fontId="5" fillId="2" borderId="0" applyNumberFormat="0">
      <alignment horizontal="center"/>
    </xf>
    <xf numFmtId="0" fontId="9" fillId="7" borderId="0" applyNumberFormat="0" applyBorder="0" applyAlignment="0" applyProtection="0"/>
    <xf numFmtId="0" fontId="20" fillId="8" borderId="0" applyNumberFormat="0" applyBorder="0" applyAlignment="0" applyProtection="0">
      <alignment horizontal="center"/>
    </xf>
    <xf numFmtId="0" fontId="19" fillId="9" borderId="31" applyNumberFormat="0" applyBorder="0" applyAlignment="0" applyProtection="0">
      <alignment horizontal="center"/>
    </xf>
    <xf numFmtId="166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1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0" fillId="0" borderId="2" xfId="1" applyNumberFormat="1" applyFont="1" applyBorder="1" applyAlignment="1">
      <alignment horizontal="center"/>
    </xf>
    <xf numFmtId="164" fontId="2" fillId="3" borderId="3" xfId="0" applyNumberFormat="1" applyFont="1" applyFill="1" applyBorder="1"/>
    <xf numFmtId="0" fontId="0" fillId="0" borderId="0" xfId="0" applyAlignment="1">
      <alignment horizontal="left"/>
    </xf>
    <xf numFmtId="0" fontId="3" fillId="2" borderId="9" xfId="0" applyFont="1" applyFill="1" applyBorder="1" applyAlignment="1">
      <alignment horizontal="center"/>
    </xf>
    <xf numFmtId="0" fontId="0" fillId="0" borderId="11" xfId="0" applyBorder="1"/>
    <xf numFmtId="0" fontId="0" fillId="0" borderId="0" xfId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1" applyNumberFormat="1" applyFont="1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6" xfId="0" applyBorder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7" xfId="0" applyFill="1" applyBorder="1"/>
    <xf numFmtId="164" fontId="0" fillId="5" borderId="8" xfId="0" applyNumberFormat="1" applyFill="1" applyBorder="1"/>
    <xf numFmtId="0" fontId="0" fillId="5" borderId="8" xfId="1" applyNumberFormat="1" applyFont="1" applyFill="1" applyBorder="1" applyAlignment="1">
      <alignment horizontal="center"/>
    </xf>
    <xf numFmtId="0" fontId="12" fillId="6" borderId="27" xfId="0" applyFont="1" applyFill="1" applyBorder="1" applyAlignment="1">
      <alignment horizontal="center" vertical="center" wrapText="1"/>
    </xf>
    <xf numFmtId="0" fontId="12" fillId="6" borderId="25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18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1" applyNumberFormat="1" applyFont="1" applyBorder="1" applyAlignment="1">
      <alignment horizontal="center"/>
    </xf>
    <xf numFmtId="0" fontId="0" fillId="0" borderId="13" xfId="0" applyBorder="1"/>
    <xf numFmtId="164" fontId="0" fillId="0" borderId="13" xfId="0" applyNumberFormat="1" applyBorder="1"/>
    <xf numFmtId="0" fontId="10" fillId="0" borderId="28" xfId="0" applyFont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0" fillId="0" borderId="30" xfId="0" applyBorder="1"/>
    <xf numFmtId="0" fontId="3" fillId="2" borderId="3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1" fillId="0" borderId="13" xfId="1" applyNumberFormat="1" applyFont="1" applyBorder="1" applyAlignment="1">
      <alignment horizontal="center"/>
    </xf>
    <xf numFmtId="0" fontId="9" fillId="5" borderId="33" xfId="0" applyFont="1" applyFill="1" applyBorder="1"/>
    <xf numFmtId="0" fontId="0" fillId="0" borderId="35" xfId="0" applyBorder="1"/>
    <xf numFmtId="0" fontId="0" fillId="0" borderId="36" xfId="0" applyBorder="1"/>
    <xf numFmtId="0" fontId="9" fillId="5" borderId="17" xfId="0" applyFont="1" applyFill="1" applyBorder="1"/>
    <xf numFmtId="0" fontId="9" fillId="5" borderId="37" xfId="0" applyFont="1" applyFill="1" applyBorder="1"/>
    <xf numFmtId="0" fontId="8" fillId="5" borderId="34" xfId="0" applyFont="1" applyFill="1" applyBorder="1"/>
    <xf numFmtId="0" fontId="11" fillId="0" borderId="0" xfId="0" applyFont="1"/>
    <xf numFmtId="0" fontId="3" fillId="2" borderId="9" xfId="4" applyFont="1" applyBorder="1">
      <alignment horizontal="center"/>
    </xf>
    <xf numFmtId="9" fontId="17" fillId="4" borderId="10" xfId="3" applyNumberFormat="1" applyFont="1" applyBorder="1" applyAlignment="1">
      <alignment horizontal="center"/>
    </xf>
    <xf numFmtId="0" fontId="21" fillId="0" borderId="11" xfId="0" applyFont="1" applyBorder="1"/>
    <xf numFmtId="0" fontId="21" fillId="0" borderId="0" xfId="0" applyFont="1"/>
    <xf numFmtId="1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16" fillId="11" borderId="0" xfId="0" applyFont="1" applyFill="1" applyAlignment="1">
      <alignment horizontal="center"/>
    </xf>
    <xf numFmtId="0" fontId="25" fillId="5" borderId="0" xfId="0" applyFont="1" applyFill="1"/>
    <xf numFmtId="0" fontId="27" fillId="0" borderId="0" xfId="0" applyFont="1" applyAlignment="1">
      <alignment horizontal="center"/>
    </xf>
    <xf numFmtId="44" fontId="0" fillId="0" borderId="0" xfId="0" applyNumberFormat="1"/>
    <xf numFmtId="44" fontId="25" fillId="5" borderId="0" xfId="0" applyNumberFormat="1" applyFont="1" applyFill="1"/>
    <xf numFmtId="44" fontId="27" fillId="0" borderId="0" xfId="0" applyNumberFormat="1" applyFont="1" applyAlignment="1">
      <alignment horizontal="center"/>
    </xf>
    <xf numFmtId="44" fontId="26" fillId="0" borderId="0" xfId="0" applyNumberFormat="1" applyFont="1"/>
    <xf numFmtId="0" fontId="2" fillId="0" borderId="1" xfId="0" applyFont="1" applyBorder="1"/>
    <xf numFmtId="44" fontId="0" fillId="0" borderId="1" xfId="0" applyNumberForma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/>
    <xf numFmtId="9" fontId="0" fillId="0" borderId="1" xfId="2" applyFont="1" applyBorder="1"/>
    <xf numFmtId="9" fontId="0" fillId="0" borderId="1" xfId="0" applyNumberFormat="1" applyBorder="1"/>
    <xf numFmtId="0" fontId="0" fillId="0" borderId="0" xfId="0" applyAlignment="1">
      <alignment wrapText="1"/>
    </xf>
    <xf numFmtId="0" fontId="0" fillId="0" borderId="0" xfId="0" pivotButton="1"/>
    <xf numFmtId="2" fontId="14" fillId="0" borderId="15" xfId="0" applyNumberFormat="1" applyFont="1" applyBorder="1" applyAlignment="1">
      <alignment horizontal="center" vertical="center"/>
    </xf>
    <xf numFmtId="164" fontId="25" fillId="5" borderId="0" xfId="1" applyNumberFormat="1" applyFont="1" applyFill="1"/>
    <xf numFmtId="164" fontId="27" fillId="0" borderId="0" xfId="1" applyNumberFormat="1" applyFont="1" applyAlignment="1">
      <alignment horizontal="center"/>
    </xf>
    <xf numFmtId="164" fontId="26" fillId="0" borderId="0" xfId="1" applyNumberFormat="1" applyFont="1" applyAlignment="1">
      <alignment horizontal="center"/>
    </xf>
    <xf numFmtId="164" fontId="0" fillId="0" borderId="0" xfId="1" applyNumberFormat="1" applyFont="1"/>
    <xf numFmtId="0" fontId="15" fillId="2" borderId="0" xfId="0" applyFont="1" applyFill="1" applyAlignment="1">
      <alignment horizontal="center"/>
    </xf>
    <xf numFmtId="0" fontId="16" fillId="10" borderId="0" xfId="0" applyFont="1" applyFill="1" applyAlignment="1">
      <alignment horizontal="center"/>
    </xf>
    <xf numFmtId="0" fontId="25" fillId="2" borderId="0" xfId="0" applyFont="1" applyFill="1"/>
    <xf numFmtId="0" fontId="22" fillId="5" borderId="12" xfId="0" applyFont="1" applyFill="1" applyBorder="1" applyAlignment="1">
      <alignment horizontal="center"/>
    </xf>
    <xf numFmtId="0" fontId="21" fillId="5" borderId="11" xfId="0" applyFont="1" applyFill="1" applyBorder="1" applyAlignment="1">
      <alignment horizontal="center"/>
    </xf>
    <xf numFmtId="0" fontId="21" fillId="5" borderId="38" xfId="0" applyFont="1" applyFill="1" applyBorder="1" applyAlignment="1">
      <alignment horizontal="center"/>
    </xf>
    <xf numFmtId="0" fontId="21" fillId="5" borderId="39" xfId="0" applyFont="1" applyFill="1" applyBorder="1" applyAlignment="1">
      <alignment horizontal="center"/>
    </xf>
    <xf numFmtId="0" fontId="21" fillId="5" borderId="40" xfId="0" applyFont="1" applyFill="1" applyBorder="1" applyAlignment="1">
      <alignment horizontal="center"/>
    </xf>
    <xf numFmtId="0" fontId="21" fillId="5" borderId="41" xfId="0" applyFont="1" applyFill="1" applyBorder="1" applyAlignment="1">
      <alignment horizontal="center"/>
    </xf>
    <xf numFmtId="0" fontId="23" fillId="5" borderId="11" xfId="0" applyFont="1" applyFill="1" applyBorder="1" applyAlignment="1">
      <alignment horizontal="center"/>
    </xf>
    <xf numFmtId="0" fontId="23" fillId="5" borderId="38" xfId="0" applyFont="1" applyFill="1" applyBorder="1" applyAlignment="1">
      <alignment horizontal="center"/>
    </xf>
    <xf numFmtId="0" fontId="23" fillId="5" borderId="39" xfId="0" applyFont="1" applyFill="1" applyBorder="1" applyAlignment="1">
      <alignment horizontal="center"/>
    </xf>
    <xf numFmtId="0" fontId="23" fillId="5" borderId="40" xfId="0" applyFont="1" applyFill="1" applyBorder="1" applyAlignment="1">
      <alignment horizontal="center"/>
    </xf>
    <xf numFmtId="0" fontId="23" fillId="5" borderId="41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38" xfId="0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21" fillId="0" borderId="40" xfId="0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2" fillId="5" borderId="12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38" xfId="0" applyFont="1" applyFill="1" applyBorder="1" applyAlignment="1">
      <alignment horizontal="center" vertical="center"/>
    </xf>
    <xf numFmtId="0" fontId="21" fillId="5" borderId="39" xfId="0" applyFont="1" applyFill="1" applyBorder="1" applyAlignment="1">
      <alignment horizontal="center" vertical="center"/>
    </xf>
    <xf numFmtId="0" fontId="21" fillId="5" borderId="40" xfId="0" applyFont="1" applyFill="1" applyBorder="1" applyAlignment="1">
      <alignment horizontal="center" vertical="center"/>
    </xf>
    <xf numFmtId="0" fontId="21" fillId="5" borderId="41" xfId="0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23" fillId="5" borderId="39" xfId="0" applyFont="1" applyFill="1" applyBorder="1" applyAlignment="1">
      <alignment horizontal="center" vertical="center"/>
    </xf>
    <xf numFmtId="0" fontId="23" fillId="5" borderId="40" xfId="0" applyFont="1" applyFill="1" applyBorder="1" applyAlignment="1">
      <alignment horizontal="center" vertical="center"/>
    </xf>
    <xf numFmtId="0" fontId="23" fillId="5" borderId="41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2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9" fontId="1" fillId="0" borderId="11" xfId="2" applyFont="1" applyFill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4" fontId="24" fillId="0" borderId="12" xfId="0" applyNumberFormat="1" applyFont="1" applyBorder="1" applyAlignment="1">
      <alignment horizontal="center" vertical="center"/>
    </xf>
    <xf numFmtId="44" fontId="24" fillId="0" borderId="11" xfId="0" applyNumberFormat="1" applyFont="1" applyBorder="1" applyAlignment="1">
      <alignment horizontal="center" vertical="center"/>
    </xf>
    <xf numFmtId="44" fontId="24" fillId="0" borderId="38" xfId="0" applyNumberFormat="1" applyFont="1" applyBorder="1" applyAlignment="1">
      <alignment horizontal="center" vertical="center"/>
    </xf>
    <xf numFmtId="44" fontId="24" fillId="0" borderId="27" xfId="0" applyNumberFormat="1" applyFont="1" applyBorder="1" applyAlignment="1">
      <alignment horizontal="center" vertical="center"/>
    </xf>
    <xf numFmtId="44" fontId="24" fillId="0" borderId="0" xfId="0" applyNumberFormat="1" applyFont="1" applyAlignment="1">
      <alignment horizontal="center" vertical="center"/>
    </xf>
    <xf numFmtId="44" fontId="24" fillId="0" borderId="16" xfId="0" applyNumberFormat="1" applyFont="1" applyBorder="1" applyAlignment="1">
      <alignment horizontal="center" vertical="center"/>
    </xf>
    <xf numFmtId="44" fontId="24" fillId="0" borderId="39" xfId="0" applyNumberFormat="1" applyFont="1" applyBorder="1" applyAlignment="1">
      <alignment horizontal="center" vertical="center"/>
    </xf>
    <xf numFmtId="44" fontId="24" fillId="0" borderId="40" xfId="0" applyNumberFormat="1" applyFont="1" applyBorder="1" applyAlignment="1">
      <alignment horizontal="center" vertical="center"/>
    </xf>
    <xf numFmtId="44" fontId="24" fillId="0" borderId="41" xfId="0" applyNumberFormat="1" applyFont="1" applyBorder="1" applyAlignment="1">
      <alignment horizontal="center" vertical="center"/>
    </xf>
    <xf numFmtId="44" fontId="2" fillId="0" borderId="1" xfId="0" applyNumberFormat="1" applyFont="1" applyBorder="1"/>
  </cellXfs>
  <cellStyles count="9">
    <cellStyle name="Cabeçalho Meteora" xfId="7" xr:uid="{F5C4D3D7-8250-46E7-BE4D-5B13CD3D34FF}"/>
    <cellStyle name="Ênfase4" xfId="5" builtinId="41" customBuiltin="1"/>
    <cellStyle name="Moeda" xfId="1" builtinId="4"/>
    <cellStyle name="Moeda 2" xfId="8" xr:uid="{BC876DEE-11F5-4801-A950-82C473CE91FE}"/>
    <cellStyle name="Neutro" xfId="3" builtinId="28"/>
    <cellStyle name="Normal" xfId="0" builtinId="0"/>
    <cellStyle name="Porcentagem" xfId="2" builtinId="5"/>
    <cellStyle name="Título Meteora" xfId="4" xr:uid="{96C7D433-A0A8-492E-9AB9-AEECBFAFDD2D}"/>
    <cellStyle name="Título Meteora 2" xfId="6" xr:uid="{9E4F7DA3-B3ED-4E1A-A3CE-8DF52E03DD9D}"/>
  </cellStyles>
  <dxfs count="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2F2F2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89581511046925"/>
          <c:y val="0.19381399814668784"/>
          <c:w val="0.82280199845928126"/>
          <c:h val="0.774011460288119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Dados_para_gráficos!$K$2:$K$4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00-4DA7-A357-CD41E08827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00-4DA7-A357-CD41E088275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00-4DA7-A357-CD41E0882751}"/>
              </c:ext>
            </c:extLst>
          </c:dPt>
          <c:dLbls>
            <c:dLbl>
              <c:idx val="0"/>
              <c:tx>
                <c:strRef>
                  <c:f>Dados_para_gráficos!$N$2</c:f>
                  <c:strCache>
                    <c:ptCount val="1"/>
                    <c:pt idx="0">
                      <c:v>2352,06</c:v>
                    </c:pt>
                  </c:strCache>
                </c:strRef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{82634A54-EA62-40A4-9223-D3BD81FBEC17}</c15:txfldGUID>
                      <c15:f>Dados_para_gráficos!$N$2</c15:f>
                      <c15:dlblFieldTableCache>
                        <c:ptCount val="1"/>
                        <c:pt idx="0">
                          <c:v>2352,06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800-4DA7-A357-CD41E0882751}"/>
                </c:ext>
              </c:extLst>
            </c:dLbl>
            <c:dLbl>
              <c:idx val="1"/>
              <c:tx>
                <c:strRef>
                  <c:f>Dados_para_gráficos!$N$3</c:f>
                  <c:strCache>
                    <c:ptCount val="1"/>
                    <c:pt idx="0">
                      <c:v>5128,11</c:v>
                    </c:pt>
                  </c:strCache>
                </c:strRef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{D039B5C2-D40A-43B1-975E-0E2D26E841C3}</c15:txfldGUID>
                      <c15:f>Dados_para_gráficos!$N$3</c15:f>
                      <c15:dlblFieldTableCache>
                        <c:ptCount val="1"/>
                        <c:pt idx="0">
                          <c:v>5128,11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800-4DA7-A357-CD41E0882751}"/>
                </c:ext>
              </c:extLst>
            </c:dLbl>
            <c:dLbl>
              <c:idx val="2"/>
              <c:tx>
                <c:strRef>
                  <c:f>Dados_para_gráficos!$N$4</c:f>
                  <c:strCache>
                    <c:ptCount val="1"/>
                    <c:pt idx="0">
                      <c:v>8483,49</c:v>
                    </c:pt>
                  </c:strCache>
                </c:strRef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{8AB95C1A-F7DD-43D3-9DDD-571E9ABD0BD4}</c15:txfldGUID>
                      <c15:f>Dados_para_gráficos!$N$4</c15:f>
                      <c15:dlblFieldTableCache>
                        <c:ptCount val="1"/>
                        <c:pt idx="0">
                          <c:v>8483,49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800-4DA7-A357-CD41E0882751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Dados_para_gráficos!$K$2:$K$4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Dados_para_gráficos!$D$2:$D$4</c:f>
              <c:numCache>
                <c:formatCode>_("R$"* #,##0.00_);_("R$"* \(#,##0.00\);_("R$"* "-"??_);_(@_)</c:formatCode>
                <c:ptCount val="3"/>
                <c:pt idx="0">
                  <c:v>6102.4500000000007</c:v>
                </c:pt>
                <c:pt idx="1">
                  <c:v>4567.68</c:v>
                </c:pt>
                <c:pt idx="2">
                  <c:v>5293.5299999999988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00-4DA7-A357-CD41E088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32583567"/>
        <c:axId val="532584815"/>
      </c:barChart>
      <c:catAx>
        <c:axId val="5325835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tx1"/>
          </a:solidFill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584815"/>
        <c:crosses val="autoZero"/>
        <c:auto val="1"/>
        <c:lblAlgn val="ctr"/>
        <c:lblOffset val="100"/>
        <c:noMultiLvlLbl val="0"/>
      </c:catAx>
      <c:valAx>
        <c:axId val="53258481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3258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Dados_para_gráficos!$H$1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Dados_para_gráficos!$G$2:$G$7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Dados_para_gráficos!$H$2:$H$7</c:f>
              <c:numCache>
                <c:formatCode>"R$"\ #,##0.00</c:formatCode>
                <c:ptCount val="6"/>
                <c:pt idx="0">
                  <c:v>2017.2600000000002</c:v>
                </c:pt>
                <c:pt idx="1">
                  <c:v>2336.13</c:v>
                </c:pt>
                <c:pt idx="2">
                  <c:v>3099.24</c:v>
                </c:pt>
                <c:pt idx="3">
                  <c:v>3649.1400000000003</c:v>
                </c:pt>
                <c:pt idx="4">
                  <c:v>1727.1899999999998</c:v>
                </c:pt>
                <c:pt idx="5">
                  <c:v>3134.7000000000003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6-4858-BC99-C14E18421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483487"/>
        <c:axId val="534483903"/>
      </c:barChart>
      <c:lineChart>
        <c:grouping val="standard"/>
        <c:varyColors val="0"/>
        <c:ser>
          <c:idx val="1"/>
          <c:order val="1"/>
          <c:tx>
            <c:strRef>
              <c:f>Dados_para_gráficos!$I$1</c:f>
              <c:strCache>
                <c:ptCount val="1"/>
                <c:pt idx="0">
                  <c:v>Qtd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Dados_para_gráficos!$G$2:$G$7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Dados_para_gráficos!$I$2:$I$7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6-4858-BC99-C14E18421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724719"/>
        <c:axId val="414723471"/>
      </c:lineChart>
      <c:catAx>
        <c:axId val="53448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483903"/>
        <c:crosses val="autoZero"/>
        <c:auto val="1"/>
        <c:lblAlgn val="ctr"/>
        <c:lblOffset val="100"/>
        <c:noMultiLvlLbl val="0"/>
      </c:catAx>
      <c:valAx>
        <c:axId val="5344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483487"/>
        <c:crosses val="autoZero"/>
        <c:crossBetween val="between"/>
      </c:valAx>
      <c:valAx>
        <c:axId val="414723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724719"/>
        <c:crosses val="max"/>
        <c:crossBetween val="between"/>
      </c:valAx>
      <c:catAx>
        <c:axId val="41472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47234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Dados_para_gráficos!$A$4</c:f>
              <c:strCache>
                <c:ptCount val="1"/>
                <c:pt idx="0">
                  <c:v>Sarah</c:v>
                </c:pt>
              </c:strCache>
            </c:strRef>
          </c:tx>
          <c:spPr>
            <a:solidFill>
              <a:schemeClr val="tx1"/>
            </a:solidFill>
          </c:spPr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21-403B-A459-8239F989DB7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21-403B-A459-8239F989DB70}"/>
              </c:ext>
            </c:extLst>
          </c:dPt>
          <c:cat>
            <c:numRef>
              <c:f>Dados_para_gráficos!$B$4:$C$4</c:f>
              <c:numCache>
                <c:formatCode>0%</c:formatCode>
                <c:ptCount val="2"/>
                <c:pt idx="0">
                  <c:v>0.33159876870341759</c:v>
                </c:pt>
                <c:pt idx="1">
                  <c:v>0.66840123129658235</c:v>
                </c:pt>
              </c:numCache>
            </c:numRef>
          </c:cat>
          <c:val>
            <c:numRef>
              <c:f>Dados_para_gráficos!$B$4:$C$4</c:f>
              <c:numCache>
                <c:formatCode>0%</c:formatCode>
                <c:ptCount val="2"/>
                <c:pt idx="0">
                  <c:v>0.33159876870341759</c:v>
                </c:pt>
                <c:pt idx="1">
                  <c:v>0.66840123129658235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1-403B-A459-8239F989D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Dados_para_gráficos!$A$3</c:f>
              <c:strCache>
                <c:ptCount val="1"/>
                <c:pt idx="0">
                  <c:v>João</c:v>
                </c:pt>
              </c:strCache>
            </c:strRef>
          </c:tx>
          <c:spPr>
            <a:solidFill>
              <a:schemeClr val="tx1"/>
            </a:solidFill>
          </c:spPr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0D-44CE-9AE0-325F54B693F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0D-44CE-9AE0-325F54B693FD}"/>
              </c:ext>
            </c:extLst>
          </c:dPt>
          <c:cat>
            <c:numRef>
              <c:f>Dados_para_gráficos!$B$3:$C$3</c:f>
              <c:numCache>
                <c:formatCode>0%</c:formatCode>
                <c:ptCount val="2"/>
                <c:pt idx="0">
                  <c:v>0.28612987247285399</c:v>
                </c:pt>
                <c:pt idx="1">
                  <c:v>0.71387012752714596</c:v>
                </c:pt>
              </c:numCache>
            </c:numRef>
          </c:cat>
          <c:val>
            <c:numRef>
              <c:f>Dados_para_gráficos!$L$3:$M$3</c:f>
              <c:numCache>
                <c:formatCode>0%</c:formatCode>
                <c:ptCount val="2"/>
                <c:pt idx="0">
                  <c:v>0.32123648336283783</c:v>
                </c:pt>
                <c:pt idx="1">
                  <c:v>0.67876351663716217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0D-44CE-9AE0-325F54B6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467532467532467E-2"/>
          <c:y val="0.29420681265206811"/>
          <c:w val="0.79841269841269846"/>
          <c:h val="0.44874290348742901"/>
        </c:manualLayout>
      </c:layout>
      <c:doughnutChart>
        <c:varyColors val="1"/>
        <c:ser>
          <c:idx val="0"/>
          <c:order val="0"/>
          <c:tx>
            <c:strRef>
              <c:f>Dados_para_gráficos!$A$2</c:f>
              <c:strCache>
                <c:ptCount val="1"/>
                <c:pt idx="0">
                  <c:v>Clara</c:v>
                </c:pt>
              </c:strCache>
            </c:strRef>
          </c:tx>
          <c:spPr>
            <a:solidFill>
              <a:schemeClr val="tx1"/>
            </a:solidFill>
          </c:spPr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0E-4E2B-9C82-0516CB9439C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0E-4E2B-9C82-0516CB9439C0}"/>
              </c:ext>
            </c:extLst>
          </c:dPt>
          <c:cat>
            <c:numRef>
              <c:f>Dados_para_gráficos!$B$2:$C$2</c:f>
              <c:numCache>
                <c:formatCode>0%</c:formatCode>
                <c:ptCount val="2"/>
                <c:pt idx="0">
                  <c:v>0.38227135882372842</c:v>
                </c:pt>
                <c:pt idx="1">
                  <c:v>0.61772864117627158</c:v>
                </c:pt>
              </c:numCache>
            </c:numRef>
          </c:cat>
          <c:val>
            <c:numRef>
              <c:f>Dados_para_gráficos!$B$2:$C$2</c:f>
              <c:numCache>
                <c:formatCode>0%</c:formatCode>
                <c:ptCount val="2"/>
                <c:pt idx="0">
                  <c:v>0.38227135882372842</c:v>
                </c:pt>
                <c:pt idx="1">
                  <c:v>0.61772864117627158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E-4E2B-9C82-0516CB94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[METEORA_ECOMMERCE.xlsx]Gráfico_dinâmico!Tabela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Gráfico_dinâmico!$F$3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Gráfico_dinâmico!$E$4:$E$14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</c:v>
                </c:pt>
                <c:pt idx="7">
                  <c:v>Óculos</c:v>
                </c:pt>
                <c:pt idx="8">
                  <c:v>Tênis</c:v>
                </c:pt>
                <c:pt idx="9">
                  <c:v>Vestido</c:v>
                </c:pt>
              </c:strCache>
            </c:strRef>
          </c:cat>
          <c:val>
            <c:numRef>
              <c:f>Gráfico_dinâmico!$F$4:$F$14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9-428E-B4DF-B507BD49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399495"/>
        <c:axId val="854405639"/>
      </c:barChart>
      <c:catAx>
        <c:axId val="854399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2F2F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405639"/>
        <c:crosses val="autoZero"/>
        <c:auto val="1"/>
        <c:lblAlgn val="ctr"/>
        <c:lblOffset val="100"/>
        <c:noMultiLvlLbl val="0"/>
      </c:catAx>
      <c:valAx>
        <c:axId val="854405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99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2F2F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67355</xdr:colOff>
      <xdr:row>0</xdr:row>
      <xdr:rowOff>15818</xdr:rowOff>
    </xdr:from>
    <xdr:to>
      <xdr:col>21</xdr:col>
      <xdr:colOff>41671</xdr:colOff>
      <xdr:row>6</xdr:row>
      <xdr:rowOff>107156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19425AF-A376-4062-8E66-049572C9C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55" y="15818"/>
          <a:ext cx="2724660" cy="841432"/>
        </a:xfrm>
        <a:prstGeom prst="rect">
          <a:avLst/>
        </a:prstGeom>
        <a:effectLst>
          <a:outerShdw dir="5400000" sx="200000" sy="200000" algn="ctr" rotWithShape="0">
            <a:srgbClr val="000000">
              <a:alpha val="0"/>
            </a:srgbClr>
          </a:outerShdw>
          <a:softEdge rad="254000"/>
        </a:effectLst>
      </xdr:spPr>
    </xdr:pic>
    <xdr:clientData/>
  </xdr:twoCellAnchor>
  <xdr:twoCellAnchor>
    <xdr:from>
      <xdr:col>3</xdr:col>
      <xdr:colOff>8283</xdr:colOff>
      <xdr:row>23</xdr:row>
      <xdr:rowOff>82826</xdr:rowOff>
    </xdr:from>
    <xdr:to>
      <xdr:col>38</xdr:col>
      <xdr:colOff>57977</xdr:colOff>
      <xdr:row>47</xdr:row>
      <xdr:rowOff>33131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E9D1D6-F4A0-4B0D-BCF0-4C1FD8FDE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17860</xdr:colOff>
      <xdr:row>10</xdr:row>
      <xdr:rowOff>5953</xdr:rowOff>
    </xdr:from>
    <xdr:to>
      <xdr:col>67</xdr:col>
      <xdr:colOff>190500</xdr:colOff>
      <xdr:row>23</xdr:row>
      <xdr:rowOff>113110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A3CC98EE-2718-4943-8B38-41540AAAD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69883</xdr:colOff>
      <xdr:row>27</xdr:row>
      <xdr:rowOff>22516</xdr:rowOff>
    </xdr:from>
    <xdr:to>
      <xdr:col>67</xdr:col>
      <xdr:colOff>161845</xdr:colOff>
      <xdr:row>47</xdr:row>
      <xdr:rowOff>889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02FEF6A4-9F13-4890-8BC2-DA123219D647}"/>
            </a:ext>
          </a:extLst>
        </xdr:cNvPr>
        <xdr:cNvGrpSpPr/>
      </xdr:nvGrpSpPr>
      <xdr:grpSpPr>
        <a:xfrm>
          <a:off x="4973187" y="3376973"/>
          <a:ext cx="4067615" cy="2463155"/>
          <a:chOff x="409469" y="3360409"/>
          <a:chExt cx="4067615" cy="2463155"/>
        </a:xfrm>
      </xdr:grpSpPr>
      <xdr:graphicFrame macro="">
        <xdr:nvGraphicFramePr>
          <xdr:cNvPr id="5" name="Gráfico 9">
            <a:extLst>
              <a:ext uri="{FF2B5EF4-FFF2-40B4-BE49-F238E27FC236}">
                <a16:creationId xmlns:a16="http://schemas.microsoft.com/office/drawing/2014/main" id="{8E4E92D6-7DB2-4F8D-9B0F-42B507704585}"/>
              </a:ext>
            </a:extLst>
          </xdr:cNvPr>
          <xdr:cNvGraphicFramePr/>
        </xdr:nvGraphicFramePr>
        <xdr:xfrm>
          <a:off x="3075555" y="3372318"/>
          <a:ext cx="1401529" cy="24512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Gráfico 8">
            <a:extLst>
              <a:ext uri="{FF2B5EF4-FFF2-40B4-BE49-F238E27FC236}">
                <a16:creationId xmlns:a16="http://schemas.microsoft.com/office/drawing/2014/main" id="{14B90BDB-A99B-4AD6-A50C-5179F900B423}"/>
              </a:ext>
            </a:extLst>
          </xdr:cNvPr>
          <xdr:cNvGraphicFramePr/>
        </xdr:nvGraphicFramePr>
        <xdr:xfrm>
          <a:off x="1755611" y="3366363"/>
          <a:ext cx="1401530" cy="24498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29A2C7F3-C54D-4067-ABAF-26BC005F8AED}"/>
              </a:ext>
            </a:extLst>
          </xdr:cNvPr>
          <xdr:cNvGraphicFramePr/>
        </xdr:nvGraphicFramePr>
        <xdr:xfrm>
          <a:off x="409469" y="3360409"/>
          <a:ext cx="1401530" cy="24512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Dados_para_gráficos!B2">
        <xdr:nvSpPr>
          <xdr:cNvPr id="9" name="CaixaDeTexto 8">
            <a:extLst>
              <a:ext uri="{FF2B5EF4-FFF2-40B4-BE49-F238E27FC236}">
                <a16:creationId xmlns:a16="http://schemas.microsoft.com/office/drawing/2014/main" id="{51D1F20A-E38E-437B-B261-46346654A8D8}"/>
              </a:ext>
            </a:extLst>
          </xdr:cNvPr>
          <xdr:cNvSpPr txBox="1"/>
        </xdr:nvSpPr>
        <xdr:spPr>
          <a:xfrm>
            <a:off x="722139" y="4289615"/>
            <a:ext cx="686421" cy="6688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7B4AD34-243C-4309-9F98-D366CB0B867D}" type="TxLink">
              <a:rPr lang="en-US" sz="2000" b="0" i="0" u="none" strike="noStrike">
                <a:solidFill>
                  <a:schemeClr val="bg2">
                    <a:lumMod val="50000"/>
                  </a:schemeClr>
                </a:solidFill>
                <a:latin typeface="Calibri"/>
                <a:ea typeface="Calibri"/>
                <a:cs typeface="Calibri"/>
              </a:rPr>
              <a:t>38%</a:t>
            </a:fld>
            <a:endParaRPr lang="en-US" sz="2000">
              <a:solidFill>
                <a:schemeClr val="bg2">
                  <a:lumMod val="50000"/>
                </a:schemeClr>
              </a:solidFill>
            </a:endParaRPr>
          </a:p>
        </xdr:txBody>
      </xdr:sp>
      <xdr:sp macro="" textlink="Dados_para_gráficos!B3">
        <xdr:nvSpPr>
          <xdr:cNvPr id="10" name="CaixaDeTexto 9">
            <a:extLst>
              <a:ext uri="{FF2B5EF4-FFF2-40B4-BE49-F238E27FC236}">
                <a16:creationId xmlns:a16="http://schemas.microsoft.com/office/drawing/2014/main" id="{675A3545-DFD3-4214-9C56-76FE7988FB75}"/>
              </a:ext>
            </a:extLst>
          </xdr:cNvPr>
          <xdr:cNvSpPr txBox="1"/>
        </xdr:nvSpPr>
        <xdr:spPr>
          <a:xfrm>
            <a:off x="2094983" y="4265802"/>
            <a:ext cx="711786" cy="6926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2CEAF5F-FCD9-45DA-A27A-AF423471EF14}" type="TxLink">
              <a:rPr lang="en-US" sz="2000" b="0" i="0" u="none" strike="noStrike">
                <a:solidFill>
                  <a:schemeClr val="bg2">
                    <a:lumMod val="50000"/>
                  </a:schemeClr>
                </a:solidFill>
                <a:latin typeface="Calibri"/>
                <a:ea typeface="Calibri"/>
                <a:cs typeface="Calibri"/>
              </a:rPr>
              <a:t>29%</a:t>
            </a:fld>
            <a:endParaRPr lang="pt-BR" sz="2000">
              <a:solidFill>
                <a:schemeClr val="bg2">
                  <a:lumMod val="50000"/>
                </a:schemeClr>
              </a:solidFill>
            </a:endParaRPr>
          </a:p>
        </xdr:txBody>
      </xdr:sp>
      <xdr:sp macro="" textlink="Dados_para_gráficos!B4">
        <xdr:nvSpPr>
          <xdr:cNvPr id="11" name="CaixaDeTexto 10">
            <a:extLst>
              <a:ext uri="{FF2B5EF4-FFF2-40B4-BE49-F238E27FC236}">
                <a16:creationId xmlns:a16="http://schemas.microsoft.com/office/drawing/2014/main" id="{01E00F1C-AEA1-464A-AC57-5A583E60454F}"/>
              </a:ext>
            </a:extLst>
          </xdr:cNvPr>
          <xdr:cNvSpPr txBox="1"/>
        </xdr:nvSpPr>
        <xdr:spPr>
          <a:xfrm>
            <a:off x="3420199" y="4265802"/>
            <a:ext cx="741553" cy="6926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7DA5FC8-02A3-4AAB-BD0C-108B9914323A}" type="TxLink">
              <a:rPr lang="en-US" sz="2000" b="0" i="0" u="none" strike="noStrike">
                <a:solidFill>
                  <a:schemeClr val="bg2">
                    <a:lumMod val="50000"/>
                  </a:schemeClr>
                </a:solidFill>
                <a:latin typeface="Calibri"/>
                <a:ea typeface="Calibri"/>
                <a:cs typeface="Calibri"/>
              </a:rPr>
              <a:t>33%</a:t>
            </a:fld>
            <a:endParaRPr lang="pt-BR" sz="20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0.32214</cdr:x>
      <cdr:y>0.43453</cdr:y>
    </cdr:from>
    <cdr:to>
      <cdr:x>0.63998</cdr:x>
      <cdr:y>0.59628</cdr:y>
    </cdr:to>
    <cdr:sp macro="" textlink="">
      <cdr:nvSpPr>
        <cdr:cNvPr id="4" name="CaixaDeTexto 3">
          <a:extLst xmlns:a="http://schemas.openxmlformats.org/drawingml/2006/main">
            <a:ext uri="{FF2B5EF4-FFF2-40B4-BE49-F238E27FC236}">
              <a16:creationId xmlns:a16="http://schemas.microsoft.com/office/drawing/2014/main" id="{65377C93-B7B6-4417-8568-87E8CA1EAD81}"/>
            </a:ext>
          </a:extLst>
        </cdr:cNvPr>
        <cdr:cNvSpPr txBox="1"/>
      </cdr:nvSpPr>
      <cdr:spPr>
        <a:xfrm xmlns:a="http://schemas.openxmlformats.org/drawingml/2006/main">
          <a:off x="446487" y="1071563"/>
          <a:ext cx="440532" cy="398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1</xdr:row>
      <xdr:rowOff>1</xdr:rowOff>
    </xdr:from>
    <xdr:to>
      <xdr:col>22</xdr:col>
      <xdr:colOff>0</xdr:colOff>
      <xdr:row>35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D625E1-961F-2316-56B4-6C6AB3F8B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35.397361689815" createdVersion="8" refreshedVersion="8" minRefreshableVersion="3" recordCount="20" xr:uid="{AD8F9A8F-0D16-41C6-A20A-AFB297A80E10}">
  <cacheSource type="worksheet">
    <worksheetSource ref="A1:B21" sheet="Gráfico_dinâmico"/>
  </cacheSource>
  <cacheFields count="2">
    <cacheField name="Produtos" numFmtId="0">
      <sharedItems count="10">
        <s v="Camiseta Lisa"/>
        <s v="Óculos"/>
        <s v="Jaqueta"/>
        <s v="Calça"/>
        <s v="Vestido"/>
        <s v="Bermuda"/>
        <s v="Tênis"/>
        <s v="Bolsa"/>
        <s v="Boné"/>
        <s v="Cinto"/>
      </sharedItems>
    </cacheField>
    <cacheField name="Qtd" numFmtId="0">
      <sharedItems containsSemiMixedTypes="0" containsString="0" containsNumber="1" containsInteger="1" minValue="0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939.38994710648" createdVersion="6" refreshedVersion="6" minRefreshableVersion="3" recordCount="39" xr:uid="{4B469FAC-38E7-4847-85BE-F12FED41F1F8}">
  <cacheSource type="worksheet">
    <worksheetSource name="TB_Produtos"/>
  </cacheSource>
  <cacheFields count="9">
    <cacheField name="Código" numFmtId="164">
      <sharedItems/>
    </cacheField>
    <cacheField name="Produtos" numFmtId="0">
      <sharedItems count="18">
        <s v="Cinto"/>
        <s v="Bermuda"/>
        <s v="Camiseta Estampada"/>
        <s v="Camiseta Lisa "/>
        <s v="Boné"/>
        <s v="Calça jeans"/>
        <s v="Camiseta Lisa"/>
        <s v="Calça legging"/>
        <s v="Jaqueta couro"/>
        <s v="Jaqueta jeans"/>
        <s v="Tênis Atitas"/>
        <s v="Tênis Nika"/>
        <s v="Óculos quadrado"/>
        <s v="Óculos redondo"/>
        <s v="Vestido curto"/>
        <s v="Bolsa coringa"/>
        <s v="Vestido longo"/>
        <s v="Bolsa de cour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Estoque" numFmtId="0">
      <sharedItems containsSemiMixedTypes="0" containsString="0" containsNumber="1" containsInteger="1" minValue="1" maxValue="21"/>
    </cacheField>
    <cacheField name="Situação" numFmtId="0">
      <sharedItems containsSemiMixedTypes="0" containsString="0" containsNumber="1" containsInteger="1" minValue="1" maxValue="21"/>
    </cacheField>
    <cacheField name="Valor Total" numFmtId="164">
      <sharedItems containsSemiMixedTypes="0" containsString="0" containsNumber="1" minValue="80.819999999999993" maxValue="1363.05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2"/>
  </r>
  <r>
    <x v="0"/>
    <n v="10"/>
  </r>
  <r>
    <x v="0"/>
    <n v="6"/>
  </r>
  <r>
    <x v="1"/>
    <n v="3"/>
  </r>
  <r>
    <x v="2"/>
    <n v="1"/>
  </r>
  <r>
    <x v="2"/>
    <n v="2"/>
  </r>
  <r>
    <x v="2"/>
    <n v="1"/>
  </r>
  <r>
    <x v="3"/>
    <n v="8"/>
  </r>
  <r>
    <x v="3"/>
    <n v="5"/>
  </r>
  <r>
    <x v="3"/>
    <n v="6"/>
  </r>
  <r>
    <x v="4"/>
    <n v="2"/>
  </r>
  <r>
    <x v="5"/>
    <n v="12"/>
  </r>
  <r>
    <x v="5"/>
    <n v="15"/>
  </r>
  <r>
    <x v="5"/>
    <n v="13"/>
  </r>
  <r>
    <x v="6"/>
    <n v="2"/>
  </r>
  <r>
    <x v="6"/>
    <n v="1"/>
  </r>
  <r>
    <x v="6"/>
    <n v="0"/>
  </r>
  <r>
    <x v="7"/>
    <n v="1"/>
  </r>
  <r>
    <x v="8"/>
    <n v="11"/>
  </r>
  <r>
    <x v="9"/>
    <n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PR019"/>
    <x v="0"/>
    <s v="Único"/>
    <s v="Acessórios"/>
    <n v="49.9"/>
    <n v="44.91"/>
    <n v="21"/>
    <n v="21"/>
    <n v="943.1099999999999"/>
  </r>
  <r>
    <s v="PR002"/>
    <x v="1"/>
    <s v="M"/>
    <s v="Vestuário"/>
    <n v="69.900000000000006"/>
    <n v="62.910000000000004"/>
    <n v="15"/>
    <n v="15"/>
    <n v="943.65000000000009"/>
  </r>
  <r>
    <s v="PR001"/>
    <x v="1"/>
    <s v="P"/>
    <s v="Vestuário"/>
    <n v="65.900000000000006"/>
    <n v="59.310000000000009"/>
    <n v="12"/>
    <n v="12"/>
    <n v="711.72000000000014"/>
  </r>
  <r>
    <s v="PR015"/>
    <x v="2"/>
    <s v="G"/>
    <s v="Vestuário"/>
    <n v="42.5"/>
    <n v="38.25"/>
    <n v="12"/>
    <n v="12"/>
    <n v="459"/>
  </r>
  <r>
    <s v="PR018"/>
    <x v="3"/>
    <s v="G"/>
    <s v="Vestuário"/>
    <n v="32.9"/>
    <n v="29.61"/>
    <n v="12"/>
    <n v="12"/>
    <n v="355.32"/>
  </r>
  <r>
    <s v="PR006"/>
    <x v="4"/>
    <s v="Único"/>
    <s v="Acessórios"/>
    <n v="39.9"/>
    <n v="35.909999999999997"/>
    <n v="11"/>
    <n v="11"/>
    <n v="395.01"/>
  </r>
  <r>
    <s v="PR014"/>
    <x v="2"/>
    <s v="M"/>
    <s v="Vestuário"/>
    <n v="39.9"/>
    <n v="35.909999999999997"/>
    <n v="10"/>
    <n v="10"/>
    <n v="359.09999999999997"/>
  </r>
  <r>
    <s v="PR017"/>
    <x v="3"/>
    <s v="M"/>
    <s v="Vestuário"/>
    <n v="29.9"/>
    <n v="26.91"/>
    <n v="10"/>
    <n v="10"/>
    <n v="269.10000000000002"/>
  </r>
  <r>
    <s v="PR009"/>
    <x v="5"/>
    <s v="G"/>
    <s v="Vestuário"/>
    <n v="92.9"/>
    <n v="83.610000000000014"/>
    <n v="8"/>
    <n v="8"/>
    <n v="668.88000000000011"/>
  </r>
  <r>
    <s v="PR007"/>
    <x v="5"/>
    <s v="P"/>
    <s v="Vestuário"/>
    <n v="85.9"/>
    <n v="77.31"/>
    <n v="6"/>
    <n v="6"/>
    <n v="463.86"/>
  </r>
  <r>
    <s v="PR013"/>
    <x v="2"/>
    <s v="P"/>
    <s v="Vestuário"/>
    <n v="39.9"/>
    <n v="35.909999999999997"/>
    <n v="6"/>
    <n v="6"/>
    <n v="215.45999999999998"/>
  </r>
  <r>
    <s v="PR016"/>
    <x v="6"/>
    <s v="P"/>
    <s v="Vestuário"/>
    <n v="25.9"/>
    <n v="23.31"/>
    <n v="6"/>
    <n v="6"/>
    <n v="139.85999999999999"/>
  </r>
  <r>
    <s v="PR003"/>
    <x v="1"/>
    <s v="G"/>
    <s v="Vestuário"/>
    <n v="70.900000000000006"/>
    <n v="63.810000000000009"/>
    <n v="5"/>
    <n v="5"/>
    <n v="319.05000000000007"/>
  </r>
  <r>
    <s v="PR008"/>
    <x v="5"/>
    <s v="M"/>
    <s v="Vestuário"/>
    <n v="89.9"/>
    <n v="80.910000000000011"/>
    <n v="5"/>
    <n v="5"/>
    <n v="404.55000000000007"/>
  </r>
  <r>
    <s v="PR012"/>
    <x v="7"/>
    <s v="G"/>
    <s v="Vestuário"/>
    <n v="48.9"/>
    <n v="44.01"/>
    <n v="5"/>
    <n v="5"/>
    <n v="220.04999999999998"/>
  </r>
  <r>
    <s v="PR020"/>
    <x v="8"/>
    <s v="P"/>
    <s v="Vestuário"/>
    <n v="299.89999999999998"/>
    <n v="269.90999999999997"/>
    <n v="5"/>
    <n v="5"/>
    <n v="1349.5499999999997"/>
  </r>
  <r>
    <s v="PR021"/>
    <x v="8"/>
    <s v="M"/>
    <s v="Vestuário"/>
    <n v="302.89999999999998"/>
    <n v="272.61"/>
    <n v="5"/>
    <n v="5"/>
    <n v="1363.0500000000002"/>
  </r>
  <r>
    <s v="PR022"/>
    <x v="8"/>
    <s v="G"/>
    <s v="Vestuário"/>
    <n v="300"/>
    <n v="270"/>
    <n v="5"/>
    <n v="5"/>
    <n v="1350"/>
  </r>
  <r>
    <s v="PR023"/>
    <x v="9"/>
    <s v="P"/>
    <s v="Vestuário"/>
    <n v="249.9"/>
    <n v="224.91"/>
    <n v="5"/>
    <n v="5"/>
    <n v="1124.55"/>
  </r>
  <r>
    <s v="PR024"/>
    <x v="9"/>
    <s v="M"/>
    <s v="Vestuário"/>
    <n v="259.89999999999998"/>
    <n v="233.91"/>
    <n v="5"/>
    <n v="5"/>
    <n v="1169.55"/>
  </r>
  <r>
    <s v="PR025"/>
    <x v="9"/>
    <s v="G"/>
    <s v="Vestuário"/>
    <n v="299.89999999999998"/>
    <n v="269.90999999999997"/>
    <n v="5"/>
    <n v="5"/>
    <n v="1349.5499999999997"/>
  </r>
  <r>
    <s v="PR028"/>
    <x v="10"/>
    <n v="36"/>
    <s v="Calçado"/>
    <n v="249.9"/>
    <n v="224.91"/>
    <n v="5"/>
    <n v="5"/>
    <n v="1124.55"/>
  </r>
  <r>
    <s v="PR030"/>
    <x v="10"/>
    <n v="38"/>
    <s v="Calçado"/>
    <n v="259.89999999999998"/>
    <n v="233.91"/>
    <n v="5"/>
    <n v="5"/>
    <n v="1169.55"/>
  </r>
  <r>
    <s v="PR031"/>
    <x v="11"/>
    <n v="36"/>
    <s v="Calçado"/>
    <n v="199.9"/>
    <n v="179.91"/>
    <n v="5"/>
    <n v="5"/>
    <n v="899.55"/>
  </r>
  <r>
    <s v="PR032"/>
    <x v="11"/>
    <n v="37"/>
    <s v="Calçado"/>
    <n v="249.9"/>
    <n v="224.91"/>
    <n v="5"/>
    <n v="5"/>
    <n v="1124.55"/>
  </r>
  <r>
    <s v="PR033"/>
    <x v="11"/>
    <n v="38"/>
    <s v="Calçado"/>
    <n v="259.89999999999998"/>
    <n v="233.91"/>
    <n v="5"/>
    <n v="5"/>
    <n v="1169.55"/>
  </r>
  <r>
    <s v="PR011"/>
    <x v="7"/>
    <s v="M"/>
    <s v="Vestuário"/>
    <n v="46.9"/>
    <n v="42.21"/>
    <n v="3"/>
    <n v="3"/>
    <n v="126.63"/>
  </r>
  <r>
    <s v="PR026"/>
    <x v="12"/>
    <s v="Único"/>
    <s v="Acessórios"/>
    <n v="349.9"/>
    <n v="314.90999999999997"/>
    <n v="3"/>
    <n v="3"/>
    <n v="944.7299999999999"/>
  </r>
  <r>
    <s v="PR027"/>
    <x v="13"/>
    <s v="Único"/>
    <s v="Acessórios"/>
    <n v="399.9"/>
    <n v="359.90999999999997"/>
    <n v="3"/>
    <n v="3"/>
    <n v="1079.73"/>
  </r>
  <r>
    <s v="PR029"/>
    <x v="10"/>
    <n v="37"/>
    <s v="Calçado"/>
    <n v="255"/>
    <n v="229.5"/>
    <n v="3"/>
    <n v="3"/>
    <n v="688.5"/>
  </r>
  <r>
    <s v="PR034"/>
    <x v="14"/>
    <s v="P"/>
    <s v="Vestuário"/>
    <n v="89.9"/>
    <n v="80.910000000000011"/>
    <n v="3"/>
    <n v="3"/>
    <n v="242.73000000000002"/>
  </r>
  <r>
    <s v="PR035"/>
    <x v="14"/>
    <s v="M"/>
    <s v="Vestuário"/>
    <n v="91.4"/>
    <n v="82.26"/>
    <n v="3"/>
    <n v="3"/>
    <n v="246.78000000000003"/>
  </r>
  <r>
    <s v="PR036"/>
    <x v="14"/>
    <s v="G"/>
    <s v="Vestuário"/>
    <n v="93.5"/>
    <n v="84.15"/>
    <n v="3"/>
    <n v="3"/>
    <n v="252.45000000000002"/>
  </r>
  <r>
    <s v="PR004"/>
    <x v="15"/>
    <s v="Único"/>
    <s v="Acessórios"/>
    <n v="145"/>
    <n v="130.5"/>
    <n v="2"/>
    <n v="2"/>
    <n v="261"/>
  </r>
  <r>
    <s v="PR010"/>
    <x v="7"/>
    <s v="P"/>
    <s v="Vestuário"/>
    <n v="44.9"/>
    <n v="40.409999999999997"/>
    <n v="2"/>
    <n v="2"/>
    <n v="80.819999999999993"/>
  </r>
  <r>
    <s v="PR037"/>
    <x v="16"/>
    <s v="P"/>
    <s v="Vestuário"/>
    <n v="140"/>
    <n v="126"/>
    <n v="2"/>
    <n v="2"/>
    <n v="252"/>
  </r>
  <r>
    <s v="PR038"/>
    <x v="16"/>
    <s v="M"/>
    <s v="Vestuário"/>
    <n v="142.9"/>
    <n v="128.61000000000001"/>
    <n v="2"/>
    <n v="2"/>
    <n v="257.22000000000003"/>
  </r>
  <r>
    <s v="PR039"/>
    <x v="16"/>
    <s v="G"/>
    <s v="Vestuário"/>
    <n v="146"/>
    <n v="131.4"/>
    <n v="2"/>
    <n v="2"/>
    <n v="262.8"/>
  </r>
  <r>
    <s v="PR005"/>
    <x v="17"/>
    <s v="Único"/>
    <s v="Acessórios"/>
    <n v="259.89999999999998"/>
    <n v="233.91"/>
    <n v="1"/>
    <n v="1"/>
    <n v="233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ED2253-0D40-4463-86D3-262DC5EE590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E3:F14" firstHeaderRow="1" firstDataRow="1" firstDataCol="1"/>
  <pivotFields count="2">
    <pivotField axis="axisRow" compact="0" outline="0" showAll="0">
      <items count="11">
        <item x="5"/>
        <item x="7"/>
        <item x="8"/>
        <item x="3"/>
        <item x="0"/>
        <item x="9"/>
        <item x="2"/>
        <item x="1"/>
        <item x="6"/>
        <item x="4"/>
        <item t="default"/>
      </items>
    </pivotField>
    <pivotField dataField="1" compact="0" outline="0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Qtd" fld="1" baseField="0" baseItem="0"/>
  </dataFields>
  <formats count="15">
    <format dxfId="17">
      <pivotArea field="0" type="button" dataOnly="0" labelOnly="1" outline="0" axis="axisRow" fieldPosition="0"/>
    </format>
    <format dxfId="16">
      <pivotArea dataOnly="0" labelOnly="1" outline="0" axis="axisValues" fieldPosition="0"/>
    </format>
    <format dxfId="15">
      <pivotArea dataOnly="0" labelOnly="1" grandRow="1" outline="0" fieldPosition="0"/>
    </format>
    <format dxfId="14">
      <pivotArea grandRow="1"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  <format dxfId="11">
      <pivotArea dataOnly="0" labelOnly="1" grandRow="1" outline="0" fieldPosition="0"/>
    </format>
    <format dxfId="10">
      <pivotArea grandRow="1"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E0AD2-8113-4828-AF53-2C8A14B782AD}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2" firstHeaderRow="1" firstDataRow="1" firstDataCol="1"/>
  <pivotFields count="9">
    <pivotField showAll="0"/>
    <pivotField axis="axisRow" showAll="0">
      <items count="19">
        <item x="1"/>
        <item x="15"/>
        <item x="17"/>
        <item x="4"/>
        <item x="5"/>
        <item x="7"/>
        <item x="2"/>
        <item x="6"/>
        <item x="3"/>
        <item x="0"/>
        <item x="8"/>
        <item x="9"/>
        <item x="12"/>
        <item x="13"/>
        <item x="10"/>
        <item x="11"/>
        <item x="14"/>
        <item x="16"/>
        <item t="default"/>
      </items>
    </pivotField>
    <pivotField showAll="0"/>
    <pivotField showAll="0"/>
    <pivotField numFmtId="164" showAll="0"/>
    <pivotField numFmtId="164" showAll="0"/>
    <pivotField showAll="0"/>
    <pivotField showAll="0"/>
    <pivotField numFmtId="164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AFB54-D531-4380-966C-3DF4787F43FE}" name="TB_Produtos" displayName="TB_Produtos" ref="A3:I43" totalsRowCount="1" headerRowDxfId="55">
  <autoFilter ref="A3:I42" xr:uid="{B8C4E1B8-6718-4023-A341-FB8023D7819F}"/>
  <sortState xmlns:xlrd2="http://schemas.microsoft.com/office/spreadsheetml/2017/richdata2" ref="A4:I42">
    <sortCondition descending="1" ref="G3:G42"/>
  </sortState>
  <tableColumns count="9">
    <tableColumn id="9" xr3:uid="{18BE4437-9EAA-46CD-9827-FE28D06126E9}" name="Código" dataDxfId="54"/>
    <tableColumn id="1" xr3:uid="{4EA4F968-51A1-409A-B9F0-71ABD574C8AD}" name="Produtos" totalsRowLabel="Totais" dataDxfId="53" totalsRowDxfId="52"/>
    <tableColumn id="2" xr3:uid="{5132B9DC-AA29-4F7D-AB3D-3CF14DAACDE3}" name="Tamanho" dataDxfId="51" totalsRowDxfId="50"/>
    <tableColumn id="3" xr3:uid="{13CF8F0F-32E2-4EAD-9876-C5E04F7B2A7B}" name="Categoria" dataDxfId="49" totalsRowDxfId="48"/>
    <tableColumn id="4" xr3:uid="{C40F3598-9FF6-49DE-A73C-33EC5730072C}" name="Preço Unitário" totalsRowFunction="sum" dataDxfId="47" totalsRowDxfId="46"/>
    <tableColumn id="7" xr3:uid="{34135C47-98AD-41F6-B374-B25FEE601485}" name="Preço c/ Desconto" totalsRowFunction="sum" dataDxfId="45" totalsRowDxfId="44">
      <calculatedColumnFormula>TB_Produtos[[#This Row],[Preço Unitário]]*(1-$K$4)</calculatedColumnFormula>
    </tableColumn>
    <tableColumn id="5" xr3:uid="{0B063E0D-24C0-4CDF-B848-D34FF8AA5FCD}" name="Estoque" totalsRowFunction="sum" dataDxfId="43" totalsRowDxfId="42"/>
    <tableColumn id="8" xr3:uid="{F9ABF155-2412-456B-902E-7BD6D15AB655}" name="Situação" dataDxfId="41" totalsRowDxfId="40">
      <calculatedColumnFormula>TB_Produtos[[#This Row],[Estoque]]</calculatedColumnFormula>
    </tableColumn>
    <tableColumn id="6" xr3:uid="{464B65B0-0F2F-4D2B-B05F-742933D1B35F}" name="Valor Total" totalsRowFunction="sum" dataDxfId="39" totalsRowDxfId="38">
      <calculatedColumnFormula>TB_Produtos[[#This Row],[Preço c/ Desconto]]*TB_Produtos[[#This Row],[Estoque]]</calculatedColumnFormula>
    </tableColumn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17578B-3996-44E5-81E5-99A263291FD6}" name="TB_Vendas" displayName="TB_Vendas" ref="A3:I63" totalsRowCount="1" headerRowDxfId="37" dataDxfId="36">
  <autoFilter ref="A3:I62" xr:uid="{2F758540-5FD9-4150-B0B8-BF7069F739D0}"/>
  <tableColumns count="9">
    <tableColumn id="1" xr3:uid="{83A531B5-A677-48C6-BC40-487E7637D925}" name="Mês" totalsRowLabel="Total" dataDxfId="35" totalsRowDxfId="34"/>
    <tableColumn id="2" xr3:uid="{CB77512F-92EC-4884-855E-B4A466D0E698}" name="Data" dataDxfId="33" totalsRowDxfId="32"/>
    <tableColumn id="3" xr3:uid="{EEBD6756-9612-4436-8DCD-59DF6F5A80DE}" name="Código" dataDxfId="31" totalsRowDxfId="30"/>
    <tableColumn id="4" xr3:uid="{D1A16966-94DA-4DFB-882A-B9A4857C7F02}" name="Tamanho" dataDxfId="29" totalsRowDxfId="28"/>
    <tableColumn id="5" xr3:uid="{343677A0-9714-4A40-B394-03F0D575C3DB}" name="Categoria" dataDxfId="27" totalsRowDxfId="26"/>
    <tableColumn id="6" xr3:uid="{E2BED661-CF4A-4F0E-B630-2C94E1ECD8AE}" name="Qtd" totalsRowFunction="sum" dataDxfId="25" totalsRowDxfId="24"/>
    <tableColumn id="9" xr3:uid="{0DF59C08-2055-4215-B44F-144813578633}" name="Unitário" dataDxfId="23" totalsRowDxfId="22" dataCellStyle="Moeda">
      <calculatedColumnFormula>INDEX(TB_Produtos[Preço c/ Desconto],MATCH(C4,TB_Produtos[Código],0))</calculatedColumnFormula>
    </tableColumn>
    <tableColumn id="7" xr3:uid="{1489F6BC-AAF6-478B-B89D-F863DA475780}" name="Total" totalsRowFunction="sum" dataDxfId="21" totalsRowDxfId="20">
      <calculatedColumnFormula>TB_Vendas[[#This Row],[Unitário]]*TB_Vendas[[#This Row],[Qtd]]</calculatedColumnFormula>
    </tableColumn>
    <tableColumn id="8" xr3:uid="{6E310DF5-1535-44DE-82B9-3A63A1D1CDE0}" name="Vendedor" dataDxfId="19" totalsRowDxfId="18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1F40-726D-41DD-B6D7-BED286EB7F3C}">
  <dimension ref="A1:K43"/>
  <sheetViews>
    <sheetView zoomScale="145" zoomScaleNormal="145" workbookViewId="0">
      <pane ySplit="1" topLeftCell="A2" activePane="bottomLeft" state="frozen"/>
      <selection activeCell="F14" sqref="F14"/>
      <selection pane="bottomLeft" activeCell="G3" sqref="G3"/>
    </sheetView>
  </sheetViews>
  <sheetFormatPr defaultRowHeight="15" x14ac:dyDescent="0.25"/>
  <cols>
    <col min="1" max="3" width="14.5703125" customWidth="1"/>
    <col min="4" max="4" width="15.140625" customWidth="1"/>
    <col min="5" max="5" width="21.42578125" customWidth="1"/>
    <col min="6" max="6" width="25.42578125" customWidth="1"/>
    <col min="7" max="8" width="14.5703125" customWidth="1"/>
    <col min="9" max="9" width="24.85546875" customWidth="1"/>
    <col min="10" max="10" width="9.140625" customWidth="1"/>
    <col min="11" max="11" width="11.28515625" customWidth="1"/>
  </cols>
  <sheetData>
    <row r="1" spans="1:11" ht="33.75" customHeight="1" x14ac:dyDescent="0.6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11" ht="6" customHeight="1" thickBot="1" x14ac:dyDescent="0.3">
      <c r="A2" s="23"/>
      <c r="B2" s="23"/>
      <c r="C2" s="23"/>
      <c r="D2" s="23"/>
      <c r="E2" s="23"/>
      <c r="F2" s="22"/>
      <c r="G2" s="22"/>
      <c r="H2" s="22"/>
      <c r="I2" s="22"/>
    </row>
    <row r="3" spans="1:11" ht="15.75" customHeight="1" x14ac:dyDescent="0.3">
      <c r="A3" s="6" t="s">
        <v>41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42</v>
      </c>
      <c r="H3" s="6" t="s">
        <v>76</v>
      </c>
      <c r="I3" s="6" t="s">
        <v>7</v>
      </c>
      <c r="J3" s="6"/>
      <c r="K3" s="56" t="s">
        <v>8</v>
      </c>
    </row>
    <row r="4" spans="1:11" ht="15.75" thickBot="1" x14ac:dyDescent="0.3">
      <c r="A4" s="7" t="s">
        <v>58</v>
      </c>
      <c r="B4" t="s">
        <v>27</v>
      </c>
      <c r="C4" s="1" t="s">
        <v>10</v>
      </c>
      <c r="D4" t="s">
        <v>11</v>
      </c>
      <c r="E4" s="7">
        <v>49.9</v>
      </c>
      <c r="F4" s="7">
        <f>TB_Produtos[[#This Row],[Preço Unitário]]*(1-$K$4)</f>
        <v>44.91</v>
      </c>
      <c r="G4" s="1">
        <v>21</v>
      </c>
      <c r="H4" s="1">
        <f>TB_Produtos[[#This Row],[Estoque]]</f>
        <v>21</v>
      </c>
      <c r="I4" s="7">
        <f>TB_Produtos[[#This Row],[Preço c/ Desconto]]*TB_Produtos[[#This Row],[Estoque]]</f>
        <v>943.1099999999999</v>
      </c>
      <c r="J4" s="7"/>
      <c r="K4" s="57">
        <v>0.1</v>
      </c>
    </row>
    <row r="5" spans="1:11" x14ac:dyDescent="0.25">
      <c r="A5" s="7" t="s">
        <v>44</v>
      </c>
      <c r="B5" t="s">
        <v>25</v>
      </c>
      <c r="C5" s="1" t="s">
        <v>15</v>
      </c>
      <c r="D5" t="s">
        <v>14</v>
      </c>
      <c r="E5" s="7">
        <v>69.900000000000006</v>
      </c>
      <c r="F5" s="7">
        <f>TB_Produtos[[#This Row],[Preço Unitário]]*(1-$K$4)</f>
        <v>62.910000000000004</v>
      </c>
      <c r="G5" s="1">
        <v>15</v>
      </c>
      <c r="H5" s="1">
        <f>TB_Produtos[[#This Row],[Estoque]]</f>
        <v>15</v>
      </c>
      <c r="I5" s="7">
        <f>TB_Produtos[[#This Row],[Preço c/ Desconto]]*TB_Produtos[[#This Row],[Estoque]]</f>
        <v>943.65000000000009</v>
      </c>
      <c r="J5" s="7"/>
      <c r="K5" s="7"/>
    </row>
    <row r="6" spans="1:11" x14ac:dyDescent="0.25">
      <c r="A6" s="7" t="s">
        <v>43</v>
      </c>
      <c r="B6" t="s">
        <v>25</v>
      </c>
      <c r="C6" s="1" t="s">
        <v>20</v>
      </c>
      <c r="D6" t="s">
        <v>14</v>
      </c>
      <c r="E6" s="7">
        <v>65.900000000000006</v>
      </c>
      <c r="F6" s="7">
        <f>TB_Produtos[[#This Row],[Preço Unitário]]*(1-$K$4)</f>
        <v>59.310000000000009</v>
      </c>
      <c r="G6" s="1">
        <v>12</v>
      </c>
      <c r="H6" s="1">
        <f>TB_Produtos[[#This Row],[Estoque]]</f>
        <v>12</v>
      </c>
      <c r="I6" s="7">
        <f>TB_Produtos[[#This Row],[Preço c/ Desconto]]*TB_Produtos[[#This Row],[Estoque]]</f>
        <v>711.72000000000014</v>
      </c>
      <c r="J6" s="7"/>
      <c r="K6" s="7"/>
    </row>
    <row r="7" spans="1:11" x14ac:dyDescent="0.25">
      <c r="A7" s="7" t="s">
        <v>55</v>
      </c>
      <c r="B7" t="s">
        <v>112</v>
      </c>
      <c r="C7" s="1" t="s">
        <v>13</v>
      </c>
      <c r="D7" t="s">
        <v>14</v>
      </c>
      <c r="E7" s="7">
        <v>42.5</v>
      </c>
      <c r="F7" s="7">
        <f>TB_Produtos[[#This Row],[Preço Unitário]]*(1-$K$4)</f>
        <v>38.25</v>
      </c>
      <c r="G7" s="1">
        <v>12</v>
      </c>
      <c r="H7" s="1">
        <f>TB_Produtos[[#This Row],[Estoque]]</f>
        <v>12</v>
      </c>
      <c r="I7" s="7">
        <f>TB_Produtos[[#This Row],[Preço c/ Desconto]]*TB_Produtos[[#This Row],[Estoque]]</f>
        <v>459</v>
      </c>
      <c r="J7" s="7"/>
      <c r="K7" s="7"/>
    </row>
    <row r="8" spans="1:11" x14ac:dyDescent="0.25">
      <c r="A8" s="7" t="s">
        <v>57</v>
      </c>
      <c r="B8" t="s">
        <v>113</v>
      </c>
      <c r="C8" s="1" t="s">
        <v>13</v>
      </c>
      <c r="D8" t="s">
        <v>14</v>
      </c>
      <c r="E8" s="7">
        <v>32.9</v>
      </c>
      <c r="F8" s="7">
        <f>TB_Produtos[[#This Row],[Preço Unitário]]*(1-$K$4)</f>
        <v>29.61</v>
      </c>
      <c r="G8" s="1">
        <v>12</v>
      </c>
      <c r="H8" s="1">
        <f>TB_Produtos[[#This Row],[Estoque]]</f>
        <v>12</v>
      </c>
      <c r="I8" s="7">
        <f>TB_Produtos[[#This Row],[Preço c/ Desconto]]*TB_Produtos[[#This Row],[Estoque]]</f>
        <v>355.32</v>
      </c>
      <c r="J8" s="7"/>
      <c r="K8" s="7"/>
    </row>
    <row r="9" spans="1:11" x14ac:dyDescent="0.25">
      <c r="A9" s="7" t="s">
        <v>48</v>
      </c>
      <c r="B9" t="s">
        <v>22</v>
      </c>
      <c r="C9" s="1" t="s">
        <v>10</v>
      </c>
      <c r="D9" t="s">
        <v>11</v>
      </c>
      <c r="E9" s="7">
        <v>39.9</v>
      </c>
      <c r="F9" s="7">
        <f>TB_Produtos[[#This Row],[Preço Unitário]]*(1-$K$4)</f>
        <v>35.909999999999997</v>
      </c>
      <c r="G9" s="1">
        <v>11</v>
      </c>
      <c r="H9" s="1">
        <f>TB_Produtos[[#This Row],[Estoque]]</f>
        <v>11</v>
      </c>
      <c r="I9" s="7">
        <f>TB_Produtos[[#This Row],[Preço c/ Desconto]]*TB_Produtos[[#This Row],[Estoque]]</f>
        <v>395.01</v>
      </c>
      <c r="J9" s="7"/>
      <c r="K9" s="7"/>
    </row>
    <row r="10" spans="1:11" x14ac:dyDescent="0.25">
      <c r="A10" s="7" t="s">
        <v>54</v>
      </c>
      <c r="B10" t="s">
        <v>112</v>
      </c>
      <c r="C10" s="1" t="s">
        <v>15</v>
      </c>
      <c r="D10" t="s">
        <v>14</v>
      </c>
      <c r="E10" s="7">
        <v>39.9</v>
      </c>
      <c r="F10" s="7">
        <f>TB_Produtos[[#This Row],[Preço Unitário]]*(1-$K$4)</f>
        <v>35.909999999999997</v>
      </c>
      <c r="G10" s="1">
        <v>10</v>
      </c>
      <c r="H10" s="1">
        <f>TB_Produtos[[#This Row],[Estoque]]</f>
        <v>10</v>
      </c>
      <c r="I10" s="7">
        <f>TB_Produtos[[#This Row],[Preço c/ Desconto]]*TB_Produtos[[#This Row],[Estoque]]</f>
        <v>359.09999999999997</v>
      </c>
      <c r="J10" s="7"/>
      <c r="K10" s="7"/>
    </row>
    <row r="11" spans="1:11" x14ac:dyDescent="0.25">
      <c r="A11" s="7" t="s">
        <v>56</v>
      </c>
      <c r="B11" t="s">
        <v>113</v>
      </c>
      <c r="C11" s="1" t="s">
        <v>15</v>
      </c>
      <c r="D11" t="s">
        <v>14</v>
      </c>
      <c r="E11" s="7">
        <v>29.9</v>
      </c>
      <c r="F11" s="7">
        <f>TB_Produtos[[#This Row],[Preço Unitário]]*(1-$K$4)</f>
        <v>26.91</v>
      </c>
      <c r="G11" s="1">
        <v>10</v>
      </c>
      <c r="H11" s="1">
        <f>TB_Produtos[[#This Row],[Estoque]]</f>
        <v>10</v>
      </c>
      <c r="I11" s="7">
        <f>TB_Produtos[[#This Row],[Preço c/ Desconto]]*TB_Produtos[[#This Row],[Estoque]]</f>
        <v>269.10000000000002</v>
      </c>
      <c r="J11" s="7"/>
      <c r="K11" s="7"/>
    </row>
    <row r="12" spans="1:11" x14ac:dyDescent="0.25">
      <c r="A12" s="7" t="s">
        <v>50</v>
      </c>
      <c r="B12" t="s">
        <v>40</v>
      </c>
      <c r="C12" s="1" t="s">
        <v>13</v>
      </c>
      <c r="D12" t="s">
        <v>14</v>
      </c>
      <c r="E12" s="7">
        <v>92.9</v>
      </c>
      <c r="F12" s="7">
        <f>TB_Produtos[[#This Row],[Preço Unitário]]*(1-$K$4)</f>
        <v>83.610000000000014</v>
      </c>
      <c r="G12" s="1">
        <v>8</v>
      </c>
      <c r="H12" s="1">
        <f>TB_Produtos[[#This Row],[Estoque]]</f>
        <v>8</v>
      </c>
      <c r="I12" s="7">
        <f>TB_Produtos[[#This Row],[Preço c/ Desconto]]*TB_Produtos[[#This Row],[Estoque]]</f>
        <v>668.88000000000011</v>
      </c>
      <c r="J12" s="7"/>
      <c r="K12" s="7"/>
    </row>
    <row r="13" spans="1:11" x14ac:dyDescent="0.25">
      <c r="A13" s="7" t="s">
        <v>103</v>
      </c>
      <c r="B13" t="s">
        <v>40</v>
      </c>
      <c r="C13" s="1" t="s">
        <v>20</v>
      </c>
      <c r="D13" t="s">
        <v>14</v>
      </c>
      <c r="E13" s="7">
        <v>85.9</v>
      </c>
      <c r="F13" s="7">
        <f>TB_Produtos[[#This Row],[Preço Unitário]]*(1-$K$4)</f>
        <v>77.31</v>
      </c>
      <c r="G13" s="1">
        <v>6</v>
      </c>
      <c r="H13" s="1">
        <f>TB_Produtos[[#This Row],[Estoque]]</f>
        <v>6</v>
      </c>
      <c r="I13" s="7">
        <f>TB_Produtos[[#This Row],[Preço c/ Desconto]]*TB_Produtos[[#This Row],[Estoque]]</f>
        <v>463.86</v>
      </c>
      <c r="J13" s="7"/>
      <c r="K13" s="7"/>
    </row>
    <row r="14" spans="1:11" x14ac:dyDescent="0.25">
      <c r="A14" s="7" t="s">
        <v>53</v>
      </c>
      <c r="B14" t="s">
        <v>112</v>
      </c>
      <c r="C14" s="1" t="s">
        <v>20</v>
      </c>
      <c r="D14" t="s">
        <v>14</v>
      </c>
      <c r="E14" s="7">
        <v>39.9</v>
      </c>
      <c r="F14" s="7">
        <f>TB_Produtos[[#This Row],[Preço Unitário]]*(1-$K$4)</f>
        <v>35.909999999999997</v>
      </c>
      <c r="G14" s="1">
        <v>6</v>
      </c>
      <c r="H14" s="1">
        <f>TB_Produtos[[#This Row],[Estoque]]</f>
        <v>6</v>
      </c>
      <c r="I14" s="7">
        <f>TB_Produtos[[#This Row],[Preço c/ Desconto]]*TB_Produtos[[#This Row],[Estoque]]</f>
        <v>215.45999999999998</v>
      </c>
      <c r="J14" s="7"/>
      <c r="K14" s="7"/>
    </row>
    <row r="15" spans="1:11" x14ac:dyDescent="0.25">
      <c r="A15" s="7" t="s">
        <v>105</v>
      </c>
      <c r="B15" t="s">
        <v>28</v>
      </c>
      <c r="C15" s="1" t="s">
        <v>20</v>
      </c>
      <c r="D15" t="s">
        <v>14</v>
      </c>
      <c r="E15" s="7">
        <v>25.9</v>
      </c>
      <c r="F15" s="7">
        <f>TB_Produtos[[#This Row],[Preço Unitário]]*(1-$K$4)</f>
        <v>23.31</v>
      </c>
      <c r="G15" s="1">
        <v>6</v>
      </c>
      <c r="H15" s="1">
        <f>TB_Produtos[[#This Row],[Estoque]]</f>
        <v>6</v>
      </c>
      <c r="I15" s="7">
        <f>TB_Produtos[[#This Row],[Preço c/ Desconto]]*TB_Produtos[[#This Row],[Estoque]]</f>
        <v>139.85999999999999</v>
      </c>
      <c r="J15" s="7"/>
      <c r="K15" s="7"/>
    </row>
    <row r="16" spans="1:11" x14ac:dyDescent="0.25">
      <c r="A16" s="7" t="s">
        <v>45</v>
      </c>
      <c r="B16" t="s">
        <v>25</v>
      </c>
      <c r="C16" s="1" t="s">
        <v>13</v>
      </c>
      <c r="D16" t="s">
        <v>14</v>
      </c>
      <c r="E16" s="7">
        <v>70.900000000000006</v>
      </c>
      <c r="F16" s="7">
        <f>TB_Produtos[[#This Row],[Preço Unitário]]*(1-$K$4)</f>
        <v>63.810000000000009</v>
      </c>
      <c r="G16" s="1">
        <v>5</v>
      </c>
      <c r="H16" s="1">
        <f>TB_Produtos[[#This Row],[Estoque]]</f>
        <v>5</v>
      </c>
      <c r="I16" s="7">
        <f>TB_Produtos[[#This Row],[Preço c/ Desconto]]*TB_Produtos[[#This Row],[Estoque]]</f>
        <v>319.05000000000007</v>
      </c>
      <c r="J16" s="7"/>
      <c r="K16" s="7"/>
    </row>
    <row r="17" spans="1:11" x14ac:dyDescent="0.25">
      <c r="A17" s="7" t="s">
        <v>49</v>
      </c>
      <c r="B17" t="s">
        <v>40</v>
      </c>
      <c r="C17" s="1" t="s">
        <v>15</v>
      </c>
      <c r="D17" t="s">
        <v>14</v>
      </c>
      <c r="E17" s="7">
        <v>89.9</v>
      </c>
      <c r="F17" s="7">
        <f>TB_Produtos[[#This Row],[Preço Unitário]]*(1-$K$4)</f>
        <v>80.910000000000011</v>
      </c>
      <c r="G17" s="1">
        <v>5</v>
      </c>
      <c r="H17" s="1">
        <f>TB_Produtos[[#This Row],[Estoque]]</f>
        <v>5</v>
      </c>
      <c r="I17" s="7">
        <f>TB_Produtos[[#This Row],[Preço c/ Desconto]]*TB_Produtos[[#This Row],[Estoque]]</f>
        <v>404.55000000000007</v>
      </c>
      <c r="J17" s="7"/>
      <c r="K17" s="7"/>
    </row>
    <row r="18" spans="1:11" x14ac:dyDescent="0.25">
      <c r="A18" s="7" t="s">
        <v>52</v>
      </c>
      <c r="B18" t="s">
        <v>111</v>
      </c>
      <c r="C18" s="1" t="s">
        <v>13</v>
      </c>
      <c r="D18" t="s">
        <v>14</v>
      </c>
      <c r="E18" s="7">
        <v>48.9</v>
      </c>
      <c r="F18" s="7">
        <f>TB_Produtos[[#This Row],[Preço Unitário]]*(1-$K$4)</f>
        <v>44.01</v>
      </c>
      <c r="G18" s="1">
        <v>5</v>
      </c>
      <c r="H18" s="1">
        <f>TB_Produtos[[#This Row],[Estoque]]</f>
        <v>5</v>
      </c>
      <c r="I18" s="7">
        <f>TB_Produtos[[#This Row],[Preço c/ Desconto]]*TB_Produtos[[#This Row],[Estoque]]</f>
        <v>220.04999999999998</v>
      </c>
      <c r="J18" s="7"/>
      <c r="K18" s="7"/>
    </row>
    <row r="19" spans="1:11" x14ac:dyDescent="0.25">
      <c r="A19" s="7" t="s">
        <v>59</v>
      </c>
      <c r="B19" t="s">
        <v>12</v>
      </c>
      <c r="C19" s="1" t="s">
        <v>20</v>
      </c>
      <c r="D19" t="s">
        <v>14</v>
      </c>
      <c r="E19" s="7">
        <v>299.89999999999998</v>
      </c>
      <c r="F19" s="7">
        <f>TB_Produtos[[#This Row],[Preço Unitário]]*(1-$K$4)</f>
        <v>269.90999999999997</v>
      </c>
      <c r="G19" s="1">
        <v>5</v>
      </c>
      <c r="H19" s="1">
        <f>TB_Produtos[[#This Row],[Estoque]]</f>
        <v>5</v>
      </c>
      <c r="I19" s="7">
        <f>TB_Produtos[[#This Row],[Preço c/ Desconto]]*TB_Produtos[[#This Row],[Estoque]]</f>
        <v>1349.5499999999997</v>
      </c>
      <c r="J19" s="7"/>
      <c r="K19" s="7"/>
    </row>
    <row r="20" spans="1:11" x14ac:dyDescent="0.25">
      <c r="A20" s="7" t="s">
        <v>60</v>
      </c>
      <c r="B20" t="s">
        <v>12</v>
      </c>
      <c r="C20" s="1" t="s">
        <v>15</v>
      </c>
      <c r="D20" t="s">
        <v>14</v>
      </c>
      <c r="E20" s="7">
        <v>302.89999999999998</v>
      </c>
      <c r="F20" s="7">
        <f>TB_Produtos[[#This Row],[Preço Unitário]]*(1-$K$4)</f>
        <v>272.61</v>
      </c>
      <c r="G20" s="1">
        <v>5</v>
      </c>
      <c r="H20" s="1">
        <f>TB_Produtos[[#This Row],[Estoque]]</f>
        <v>5</v>
      </c>
      <c r="I20" s="7">
        <f>TB_Produtos[[#This Row],[Preço c/ Desconto]]*TB_Produtos[[#This Row],[Estoque]]</f>
        <v>1363.0500000000002</v>
      </c>
      <c r="J20" s="7"/>
      <c r="K20" s="7"/>
    </row>
    <row r="21" spans="1:11" x14ac:dyDescent="0.25">
      <c r="A21" s="7" t="s">
        <v>61</v>
      </c>
      <c r="B21" t="s">
        <v>12</v>
      </c>
      <c r="C21" s="1" t="s">
        <v>13</v>
      </c>
      <c r="D21" t="s">
        <v>14</v>
      </c>
      <c r="E21" s="7">
        <v>300</v>
      </c>
      <c r="F21" s="7">
        <f>TB_Produtos[[#This Row],[Preço Unitário]]*(1-$K$4)</f>
        <v>270</v>
      </c>
      <c r="G21" s="1">
        <v>5</v>
      </c>
      <c r="H21" s="1">
        <f>TB_Produtos[[#This Row],[Estoque]]</f>
        <v>5</v>
      </c>
      <c r="I21" s="7">
        <f>TB_Produtos[[#This Row],[Preço c/ Desconto]]*TB_Produtos[[#This Row],[Estoque]]</f>
        <v>1350</v>
      </c>
      <c r="J21" s="7"/>
      <c r="K21" s="7"/>
    </row>
    <row r="22" spans="1:11" x14ac:dyDescent="0.25">
      <c r="A22" s="7" t="s">
        <v>106</v>
      </c>
      <c r="B22" t="s">
        <v>114</v>
      </c>
      <c r="C22" s="1" t="s">
        <v>20</v>
      </c>
      <c r="D22" t="s">
        <v>14</v>
      </c>
      <c r="E22" s="7">
        <v>249.9</v>
      </c>
      <c r="F22" s="7">
        <f>TB_Produtos[[#This Row],[Preço Unitário]]*(1-$K$4)</f>
        <v>224.91</v>
      </c>
      <c r="G22" s="1">
        <v>5</v>
      </c>
      <c r="H22" s="1">
        <f>TB_Produtos[[#This Row],[Estoque]]</f>
        <v>5</v>
      </c>
      <c r="I22" s="7">
        <f>TB_Produtos[[#This Row],[Preço c/ Desconto]]*TB_Produtos[[#This Row],[Estoque]]</f>
        <v>1124.55</v>
      </c>
      <c r="J22" s="7"/>
      <c r="K22" s="7"/>
    </row>
    <row r="23" spans="1:11" x14ac:dyDescent="0.25">
      <c r="A23" s="7" t="s">
        <v>62</v>
      </c>
      <c r="B23" t="s">
        <v>114</v>
      </c>
      <c r="C23" s="1" t="s">
        <v>15</v>
      </c>
      <c r="D23" t="s">
        <v>14</v>
      </c>
      <c r="E23" s="7">
        <v>259.89999999999998</v>
      </c>
      <c r="F23" s="7">
        <f>TB_Produtos[[#This Row],[Preço Unitário]]*(1-$K$4)</f>
        <v>233.91</v>
      </c>
      <c r="G23" s="1">
        <v>5</v>
      </c>
      <c r="H23" s="1">
        <f>TB_Produtos[[#This Row],[Estoque]]</f>
        <v>5</v>
      </c>
      <c r="I23" s="7">
        <f>TB_Produtos[[#This Row],[Preço c/ Desconto]]*TB_Produtos[[#This Row],[Estoque]]</f>
        <v>1169.55</v>
      </c>
      <c r="J23" s="7"/>
      <c r="K23" s="7"/>
    </row>
    <row r="24" spans="1:11" x14ac:dyDescent="0.25">
      <c r="A24" s="7" t="s">
        <v>63</v>
      </c>
      <c r="B24" t="s">
        <v>114</v>
      </c>
      <c r="C24" s="1" t="s">
        <v>13</v>
      </c>
      <c r="D24" t="s">
        <v>14</v>
      </c>
      <c r="E24" s="7">
        <v>299.89999999999998</v>
      </c>
      <c r="F24" s="7">
        <f>TB_Produtos[[#This Row],[Preço Unitário]]*(1-$K$4)</f>
        <v>269.90999999999997</v>
      </c>
      <c r="G24" s="1">
        <v>5</v>
      </c>
      <c r="H24" s="1">
        <f>TB_Produtos[[#This Row],[Estoque]]</f>
        <v>5</v>
      </c>
      <c r="I24" s="7">
        <f>TB_Produtos[[#This Row],[Preço c/ Desconto]]*TB_Produtos[[#This Row],[Estoque]]</f>
        <v>1349.5499999999997</v>
      </c>
      <c r="J24" s="7"/>
      <c r="K24" s="7"/>
    </row>
    <row r="25" spans="1:11" x14ac:dyDescent="0.25">
      <c r="A25" s="7" t="s">
        <v>66</v>
      </c>
      <c r="B25" t="s">
        <v>117</v>
      </c>
      <c r="C25" s="1">
        <v>36</v>
      </c>
      <c r="D25" t="s">
        <v>121</v>
      </c>
      <c r="E25" s="7">
        <v>249.9</v>
      </c>
      <c r="F25" s="7">
        <f>TB_Produtos[[#This Row],[Preço Unitário]]*(1-$K$4)</f>
        <v>224.91</v>
      </c>
      <c r="G25" s="1">
        <v>5</v>
      </c>
      <c r="H25" s="1">
        <f>TB_Produtos[[#This Row],[Estoque]]</f>
        <v>5</v>
      </c>
      <c r="I25" s="7">
        <f>TB_Produtos[[#This Row],[Preço c/ Desconto]]*TB_Produtos[[#This Row],[Estoque]]</f>
        <v>1124.55</v>
      </c>
      <c r="J25" s="7"/>
      <c r="K25" s="7"/>
    </row>
    <row r="26" spans="1:11" x14ac:dyDescent="0.25">
      <c r="A26" s="7" t="s">
        <v>68</v>
      </c>
      <c r="B26" t="s">
        <v>117</v>
      </c>
      <c r="C26" s="1">
        <v>38</v>
      </c>
      <c r="D26" t="s">
        <v>121</v>
      </c>
      <c r="E26" s="7">
        <v>259.89999999999998</v>
      </c>
      <c r="F26" s="7">
        <f>TB_Produtos[[#This Row],[Preço Unitário]]*(1-$K$4)</f>
        <v>233.91</v>
      </c>
      <c r="G26" s="1">
        <v>5</v>
      </c>
      <c r="H26" s="1">
        <f>TB_Produtos[[#This Row],[Estoque]]</f>
        <v>5</v>
      </c>
      <c r="I26" s="7">
        <f>TB_Produtos[[#This Row],[Preço c/ Desconto]]*TB_Produtos[[#This Row],[Estoque]]</f>
        <v>1169.55</v>
      </c>
      <c r="J26" s="7"/>
      <c r="K26" s="7"/>
    </row>
    <row r="27" spans="1:11" x14ac:dyDescent="0.25">
      <c r="A27" s="7" t="s">
        <v>69</v>
      </c>
      <c r="B27" t="s">
        <v>118</v>
      </c>
      <c r="C27" s="1">
        <v>36</v>
      </c>
      <c r="D27" t="s">
        <v>121</v>
      </c>
      <c r="E27" s="7">
        <v>199.9</v>
      </c>
      <c r="F27" s="7">
        <f>TB_Produtos[[#This Row],[Preço Unitário]]*(1-$K$4)</f>
        <v>179.91</v>
      </c>
      <c r="G27" s="1">
        <v>5</v>
      </c>
      <c r="H27" s="1">
        <f>TB_Produtos[[#This Row],[Estoque]]</f>
        <v>5</v>
      </c>
      <c r="I27" s="7">
        <f>TB_Produtos[[#This Row],[Preço c/ Desconto]]*TB_Produtos[[#This Row],[Estoque]]</f>
        <v>899.55</v>
      </c>
      <c r="J27" s="7"/>
      <c r="K27" s="7"/>
    </row>
    <row r="28" spans="1:11" x14ac:dyDescent="0.25">
      <c r="A28" s="7" t="s">
        <v>70</v>
      </c>
      <c r="B28" t="s">
        <v>118</v>
      </c>
      <c r="C28" s="1">
        <v>37</v>
      </c>
      <c r="D28" t="s">
        <v>121</v>
      </c>
      <c r="E28" s="7">
        <v>249.9</v>
      </c>
      <c r="F28" s="7">
        <f>TB_Produtos[[#This Row],[Preço Unitário]]*(1-$K$4)</f>
        <v>224.91</v>
      </c>
      <c r="G28" s="1">
        <v>5</v>
      </c>
      <c r="H28" s="1">
        <f>TB_Produtos[[#This Row],[Estoque]]</f>
        <v>5</v>
      </c>
      <c r="I28" s="7">
        <f>TB_Produtos[[#This Row],[Preço c/ Desconto]]*TB_Produtos[[#This Row],[Estoque]]</f>
        <v>1124.55</v>
      </c>
      <c r="J28" s="7"/>
      <c r="K28" s="7"/>
    </row>
    <row r="29" spans="1:11" x14ac:dyDescent="0.25">
      <c r="A29" s="7" t="s">
        <v>107</v>
      </c>
      <c r="B29" t="s">
        <v>118</v>
      </c>
      <c r="C29" s="1">
        <v>38</v>
      </c>
      <c r="D29" t="s">
        <v>121</v>
      </c>
      <c r="E29" s="7">
        <v>259.89999999999998</v>
      </c>
      <c r="F29" s="7">
        <f>TB_Produtos[[#This Row],[Preço Unitário]]*(1-$K$4)</f>
        <v>233.91</v>
      </c>
      <c r="G29" s="1">
        <v>5</v>
      </c>
      <c r="H29" s="1">
        <f>TB_Produtos[[#This Row],[Estoque]]</f>
        <v>5</v>
      </c>
      <c r="I29" s="7">
        <f>TB_Produtos[[#This Row],[Preço c/ Desconto]]*TB_Produtos[[#This Row],[Estoque]]</f>
        <v>1169.55</v>
      </c>
      <c r="J29" s="7"/>
      <c r="K29" s="7"/>
    </row>
    <row r="30" spans="1:11" x14ac:dyDescent="0.25">
      <c r="A30" s="7" t="s">
        <v>51</v>
      </c>
      <c r="B30" t="s">
        <v>111</v>
      </c>
      <c r="C30" s="1" t="s">
        <v>15</v>
      </c>
      <c r="D30" t="s">
        <v>14</v>
      </c>
      <c r="E30" s="7">
        <v>46.9</v>
      </c>
      <c r="F30" s="7">
        <f>TB_Produtos[[#This Row],[Preço Unitário]]*(1-$K$4)</f>
        <v>42.21</v>
      </c>
      <c r="G30" s="1">
        <v>3</v>
      </c>
      <c r="H30" s="1">
        <f>TB_Produtos[[#This Row],[Estoque]]</f>
        <v>3</v>
      </c>
      <c r="I30" s="7">
        <f>TB_Produtos[[#This Row],[Preço c/ Desconto]]*TB_Produtos[[#This Row],[Estoque]]</f>
        <v>126.63</v>
      </c>
      <c r="J30" s="7"/>
      <c r="K30" s="7"/>
    </row>
    <row r="31" spans="1:11" x14ac:dyDescent="0.25">
      <c r="A31" s="7" t="s">
        <v>64</v>
      </c>
      <c r="B31" t="s">
        <v>115</v>
      </c>
      <c r="C31" s="1" t="s">
        <v>10</v>
      </c>
      <c r="D31" t="s">
        <v>11</v>
      </c>
      <c r="E31" s="7">
        <v>349.9</v>
      </c>
      <c r="F31" s="7">
        <f>TB_Produtos[[#This Row],[Preço Unitário]]*(1-$K$4)</f>
        <v>314.90999999999997</v>
      </c>
      <c r="G31" s="1">
        <v>3</v>
      </c>
      <c r="H31" s="1">
        <f>TB_Produtos[[#This Row],[Estoque]]</f>
        <v>3</v>
      </c>
      <c r="I31" s="7">
        <f>TB_Produtos[[#This Row],[Preço c/ Desconto]]*TB_Produtos[[#This Row],[Estoque]]</f>
        <v>944.7299999999999</v>
      </c>
      <c r="J31" s="7"/>
      <c r="K31" s="7"/>
    </row>
    <row r="32" spans="1:11" x14ac:dyDescent="0.25">
      <c r="A32" s="7" t="s">
        <v>65</v>
      </c>
      <c r="B32" t="s">
        <v>116</v>
      </c>
      <c r="C32" s="1" t="s">
        <v>10</v>
      </c>
      <c r="D32" t="s">
        <v>11</v>
      </c>
      <c r="E32" s="7">
        <v>399.9</v>
      </c>
      <c r="F32" s="7">
        <f>TB_Produtos[[#This Row],[Preço Unitário]]*(1-$K$4)</f>
        <v>359.90999999999997</v>
      </c>
      <c r="G32" s="1">
        <v>3</v>
      </c>
      <c r="H32" s="1">
        <f>TB_Produtos[[#This Row],[Estoque]]</f>
        <v>3</v>
      </c>
      <c r="I32" s="7">
        <f>TB_Produtos[[#This Row],[Preço c/ Desconto]]*TB_Produtos[[#This Row],[Estoque]]</f>
        <v>1079.73</v>
      </c>
      <c r="J32" s="7"/>
      <c r="K32" s="7"/>
    </row>
    <row r="33" spans="1:11" x14ac:dyDescent="0.25">
      <c r="A33" s="7" t="s">
        <v>67</v>
      </c>
      <c r="B33" t="s">
        <v>117</v>
      </c>
      <c r="C33" s="1">
        <v>37</v>
      </c>
      <c r="D33" t="s">
        <v>121</v>
      </c>
      <c r="E33" s="7">
        <v>255</v>
      </c>
      <c r="F33" s="7">
        <f>TB_Produtos[[#This Row],[Preço Unitário]]*(1-$K$4)</f>
        <v>229.5</v>
      </c>
      <c r="G33" s="1">
        <v>3</v>
      </c>
      <c r="H33" s="1">
        <f>TB_Produtos[[#This Row],[Estoque]]</f>
        <v>3</v>
      </c>
      <c r="I33" s="7">
        <f>TB_Produtos[[#This Row],[Preço c/ Desconto]]*TB_Produtos[[#This Row],[Estoque]]</f>
        <v>688.5</v>
      </c>
      <c r="J33" s="7"/>
      <c r="K33" s="7"/>
    </row>
    <row r="34" spans="1:11" x14ac:dyDescent="0.25">
      <c r="A34" s="7" t="s">
        <v>108</v>
      </c>
      <c r="B34" t="s">
        <v>119</v>
      </c>
      <c r="C34" s="1" t="s">
        <v>20</v>
      </c>
      <c r="D34" t="s">
        <v>14</v>
      </c>
      <c r="E34" s="7">
        <v>89.9</v>
      </c>
      <c r="F34" s="7">
        <f>TB_Produtos[[#This Row],[Preço Unitário]]*(1-$K$4)</f>
        <v>80.910000000000011</v>
      </c>
      <c r="G34" s="1">
        <v>3</v>
      </c>
      <c r="H34" s="1">
        <f>TB_Produtos[[#This Row],[Estoque]]</f>
        <v>3</v>
      </c>
      <c r="I34" s="7">
        <f>TB_Produtos[[#This Row],[Preço c/ Desconto]]*TB_Produtos[[#This Row],[Estoque]]</f>
        <v>242.73000000000002</v>
      </c>
      <c r="J34" s="7"/>
      <c r="K34" s="7"/>
    </row>
    <row r="35" spans="1:11" x14ac:dyDescent="0.25">
      <c r="A35" s="7" t="s">
        <v>71</v>
      </c>
      <c r="B35" t="s">
        <v>119</v>
      </c>
      <c r="C35" s="1" t="s">
        <v>15</v>
      </c>
      <c r="D35" t="s">
        <v>14</v>
      </c>
      <c r="E35" s="7">
        <v>91.4</v>
      </c>
      <c r="F35" s="7">
        <f>TB_Produtos[[#This Row],[Preço Unitário]]*(1-$K$4)</f>
        <v>82.26</v>
      </c>
      <c r="G35" s="1">
        <v>3</v>
      </c>
      <c r="H35" s="1">
        <f>TB_Produtos[[#This Row],[Estoque]]</f>
        <v>3</v>
      </c>
      <c r="I35" s="7">
        <f>TB_Produtos[[#This Row],[Preço c/ Desconto]]*TB_Produtos[[#This Row],[Estoque]]</f>
        <v>246.78000000000003</v>
      </c>
      <c r="J35" s="7"/>
      <c r="K35" s="7"/>
    </row>
    <row r="36" spans="1:11" x14ac:dyDescent="0.25">
      <c r="A36" s="7" t="s">
        <v>72</v>
      </c>
      <c r="B36" t="s">
        <v>119</v>
      </c>
      <c r="C36" s="1" t="s">
        <v>13</v>
      </c>
      <c r="D36" t="s">
        <v>14</v>
      </c>
      <c r="E36" s="7">
        <v>93.5</v>
      </c>
      <c r="F36" s="7">
        <f>TB_Produtos[[#This Row],[Preço Unitário]]*(1-$K$4)</f>
        <v>84.15</v>
      </c>
      <c r="G36" s="1">
        <v>3</v>
      </c>
      <c r="H36" s="1">
        <f>TB_Produtos[[#This Row],[Estoque]]</f>
        <v>3</v>
      </c>
      <c r="I36" s="7">
        <f>TB_Produtos[[#This Row],[Preço c/ Desconto]]*TB_Produtos[[#This Row],[Estoque]]</f>
        <v>252.45000000000002</v>
      </c>
      <c r="J36" s="7"/>
      <c r="K36" s="7"/>
    </row>
    <row r="37" spans="1:11" x14ac:dyDescent="0.25">
      <c r="A37" s="7" t="s">
        <v>46</v>
      </c>
      <c r="B37" t="s">
        <v>109</v>
      </c>
      <c r="C37" s="1" t="s">
        <v>10</v>
      </c>
      <c r="D37" t="s">
        <v>11</v>
      </c>
      <c r="E37" s="7">
        <v>145</v>
      </c>
      <c r="F37" s="7">
        <f>TB_Produtos[[#This Row],[Preço Unitário]]*(1-$K$4)</f>
        <v>130.5</v>
      </c>
      <c r="G37" s="1">
        <v>2</v>
      </c>
      <c r="H37" s="1">
        <f>TB_Produtos[[#This Row],[Estoque]]</f>
        <v>2</v>
      </c>
      <c r="I37" s="7">
        <f>TB_Produtos[[#This Row],[Preço c/ Desconto]]*TB_Produtos[[#This Row],[Estoque]]</f>
        <v>261</v>
      </c>
      <c r="J37" s="7"/>
      <c r="K37" s="7"/>
    </row>
    <row r="38" spans="1:11" x14ac:dyDescent="0.25">
      <c r="A38" s="7" t="s">
        <v>104</v>
      </c>
      <c r="B38" t="s">
        <v>111</v>
      </c>
      <c r="C38" s="1" t="s">
        <v>20</v>
      </c>
      <c r="D38" t="s">
        <v>14</v>
      </c>
      <c r="E38" s="7">
        <v>44.9</v>
      </c>
      <c r="F38" s="7">
        <f>TB_Produtos[[#This Row],[Preço Unitário]]*(1-$K$4)</f>
        <v>40.409999999999997</v>
      </c>
      <c r="G38" s="1">
        <v>2</v>
      </c>
      <c r="H38" s="1">
        <f>TB_Produtos[[#This Row],[Estoque]]</f>
        <v>2</v>
      </c>
      <c r="I38" s="7">
        <f>TB_Produtos[[#This Row],[Preço c/ Desconto]]*TB_Produtos[[#This Row],[Estoque]]</f>
        <v>80.819999999999993</v>
      </c>
      <c r="J38" s="7"/>
      <c r="K38" s="7"/>
    </row>
    <row r="39" spans="1:11" x14ac:dyDescent="0.25">
      <c r="A39" s="7" t="s">
        <v>73</v>
      </c>
      <c r="B39" t="s">
        <v>120</v>
      </c>
      <c r="C39" s="1" t="s">
        <v>20</v>
      </c>
      <c r="D39" t="s">
        <v>14</v>
      </c>
      <c r="E39" s="7">
        <v>140</v>
      </c>
      <c r="F39" s="7">
        <f>TB_Produtos[[#This Row],[Preço Unitário]]*(1-$K$4)</f>
        <v>126</v>
      </c>
      <c r="G39" s="1">
        <v>2</v>
      </c>
      <c r="H39" s="1">
        <f>TB_Produtos[[#This Row],[Estoque]]</f>
        <v>2</v>
      </c>
      <c r="I39" s="7">
        <f>TB_Produtos[[#This Row],[Preço c/ Desconto]]*TB_Produtos[[#This Row],[Estoque]]</f>
        <v>252</v>
      </c>
      <c r="J39" s="7"/>
      <c r="K39" s="7"/>
    </row>
    <row r="40" spans="1:11" x14ac:dyDescent="0.25">
      <c r="A40" s="7" t="s">
        <v>74</v>
      </c>
      <c r="B40" t="s">
        <v>120</v>
      </c>
      <c r="C40" s="1" t="s">
        <v>15</v>
      </c>
      <c r="D40" t="s">
        <v>14</v>
      </c>
      <c r="E40" s="7">
        <v>142.9</v>
      </c>
      <c r="F40" s="7">
        <f>TB_Produtos[[#This Row],[Preço Unitário]]*(1-$K$4)</f>
        <v>128.61000000000001</v>
      </c>
      <c r="G40" s="1">
        <v>2</v>
      </c>
      <c r="H40" s="1">
        <f>TB_Produtos[[#This Row],[Estoque]]</f>
        <v>2</v>
      </c>
      <c r="I40" s="7">
        <f>TB_Produtos[[#This Row],[Preço c/ Desconto]]*TB_Produtos[[#This Row],[Estoque]]</f>
        <v>257.22000000000003</v>
      </c>
      <c r="J40" s="7"/>
      <c r="K40" s="7"/>
    </row>
    <row r="41" spans="1:11" x14ac:dyDescent="0.25">
      <c r="A41" s="7" t="s">
        <v>75</v>
      </c>
      <c r="B41" t="s">
        <v>120</v>
      </c>
      <c r="C41" s="1" t="s">
        <v>13</v>
      </c>
      <c r="D41" t="s">
        <v>14</v>
      </c>
      <c r="E41" s="7">
        <v>146</v>
      </c>
      <c r="F41" s="7">
        <f>TB_Produtos[[#This Row],[Preço Unitário]]*(1-$K$4)</f>
        <v>131.4</v>
      </c>
      <c r="G41" s="1">
        <v>2</v>
      </c>
      <c r="H41" s="1">
        <f>TB_Produtos[[#This Row],[Estoque]]</f>
        <v>2</v>
      </c>
      <c r="I41" s="7">
        <f>TB_Produtos[[#This Row],[Preço c/ Desconto]]*TB_Produtos[[#This Row],[Estoque]]</f>
        <v>262.8</v>
      </c>
      <c r="J41" s="7"/>
      <c r="K41" s="7"/>
    </row>
    <row r="42" spans="1:11" x14ac:dyDescent="0.25">
      <c r="A42" s="7" t="s">
        <v>47</v>
      </c>
      <c r="B42" t="s">
        <v>110</v>
      </c>
      <c r="C42" s="1" t="s">
        <v>10</v>
      </c>
      <c r="D42" t="s">
        <v>11</v>
      </c>
      <c r="E42" s="7">
        <v>259.89999999999998</v>
      </c>
      <c r="F42" s="7">
        <f>TB_Produtos[[#This Row],[Preço Unitário]]*(1-$K$4)</f>
        <v>233.91</v>
      </c>
      <c r="G42" s="1">
        <v>1</v>
      </c>
      <c r="H42" s="1">
        <f>TB_Produtos[[#This Row],[Estoque]]</f>
        <v>1</v>
      </c>
      <c r="I42" s="7">
        <f>TB_Produtos[[#This Row],[Preço c/ Desconto]]*TB_Produtos[[#This Row],[Estoque]]</f>
        <v>233.91</v>
      </c>
      <c r="J42" s="7"/>
      <c r="K42" s="7"/>
    </row>
    <row r="43" spans="1:11" x14ac:dyDescent="0.25">
      <c r="B43" s="14" t="s">
        <v>29</v>
      </c>
      <c r="C43" s="1"/>
      <c r="D43" s="1"/>
      <c r="E43" s="7">
        <f>SUBTOTAL(109,TB_Produtos[Preço Unitário])</f>
        <v>5962.2999999999984</v>
      </c>
      <c r="F43" s="7">
        <f>SUBTOTAL(109,TB_Produtos[Preço c/ Desconto])</f>
        <v>5366.0699999999979</v>
      </c>
      <c r="G43" s="1">
        <f>SUBTOTAL(109,TB_Produtos[Estoque])</f>
        <v>231</v>
      </c>
      <c r="H43" s="1"/>
      <c r="I43" s="7">
        <f>SUBTOTAL(109,TB_Produtos[Valor Total])</f>
        <v>24991.019999999993</v>
      </c>
      <c r="J43" s="7"/>
      <c r="K43" s="7"/>
    </row>
  </sheetData>
  <mergeCells count="1">
    <mergeCell ref="A1:I1"/>
  </mergeCells>
  <conditionalFormatting sqref="I4:I4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{BF866843-8EE2-4B07-9244-9BCD02503628}</x14:id>
        </ext>
      </extLst>
    </cfRule>
  </conditionalFormatting>
  <conditionalFormatting sqref="H4:H42">
    <cfRule type="iconSet" priority="1">
      <iconSet iconSet="3Symbols" showValue="0">
        <cfvo type="percent" val="0"/>
        <cfvo type="num" val="3"/>
        <cfvo type="num" val="10" gte="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866843-8EE2-4B07-9244-9BCD0250362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I4:I42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58E0-392B-4A10-9BC5-26B6009D56CD}">
  <dimension ref="A1:G4"/>
  <sheetViews>
    <sheetView zoomScale="190" zoomScaleNormal="190" workbookViewId="0">
      <selection activeCell="F4" sqref="F4"/>
    </sheetView>
  </sheetViews>
  <sheetFormatPr defaultRowHeight="15" x14ac:dyDescent="0.25"/>
  <cols>
    <col min="1" max="1" width="20.140625" customWidth="1"/>
    <col min="2" max="3" width="18.28515625" customWidth="1"/>
    <col min="5" max="7" width="18.28515625" customWidth="1"/>
  </cols>
  <sheetData>
    <row r="1" spans="1:7" s="55" customFormat="1" ht="27" customHeight="1" thickBot="1" x14ac:dyDescent="0.55000000000000004">
      <c r="A1" s="127" t="s">
        <v>0</v>
      </c>
      <c r="B1" s="128"/>
      <c r="C1" s="128"/>
      <c r="D1" s="128"/>
      <c r="E1" s="128"/>
      <c r="F1" s="128"/>
      <c r="G1" s="128"/>
    </row>
    <row r="2" spans="1:7" ht="23.25" thickBot="1" x14ac:dyDescent="0.3">
      <c r="A2" s="129" t="s">
        <v>35</v>
      </c>
      <c r="B2" s="130"/>
      <c r="C2" s="131"/>
      <c r="E2" s="129" t="s">
        <v>12</v>
      </c>
      <c r="F2" s="130"/>
      <c r="G2" s="131"/>
    </row>
    <row r="3" spans="1:7" ht="70.5" customHeight="1" thickBot="1" x14ac:dyDescent="0.3">
      <c r="A3" s="27" t="s">
        <v>36</v>
      </c>
      <c r="B3" s="28" t="s">
        <v>37</v>
      </c>
      <c r="C3" s="29" t="s">
        <v>38</v>
      </c>
      <c r="E3" s="30" t="s">
        <v>36</v>
      </c>
      <c r="F3" s="31" t="s">
        <v>37</v>
      </c>
      <c r="G3" s="32" t="s">
        <v>39</v>
      </c>
    </row>
    <row r="4" spans="1:7" ht="60.75" customHeight="1" thickBot="1" x14ac:dyDescent="0.3">
      <c r="A4" s="37">
        <f>COUNTIF(Tabela_manual!F4:F23,"&gt;0")</f>
        <v>19</v>
      </c>
      <c r="B4" s="36">
        <f>Tabela_manual!F25</f>
        <v>132</v>
      </c>
      <c r="C4" s="35">
        <f>AVERAGE(Tabela_manual!F4:F23)</f>
        <v>6.6</v>
      </c>
      <c r="E4" s="33">
        <f>COUNTIF(int_nome_produto,E2)</f>
        <v>2</v>
      </c>
      <c r="F4" s="34">
        <f>SUMIF(int_nome_produto,E2,int_quantidade)</f>
        <v>3</v>
      </c>
      <c r="G4" s="34">
        <f>AVERAGEIF(int_nome_produto,E2,int_quantidade)</f>
        <v>1.5</v>
      </c>
    </row>
  </sheetData>
  <mergeCells count="3">
    <mergeCell ref="E2:G2"/>
    <mergeCell ref="A2:C2"/>
    <mergeCell ref="A1:G1"/>
  </mergeCells>
  <dataValidations count="1">
    <dataValidation type="list" showInputMessage="1" showErrorMessage="1" sqref="E2" xr:uid="{6B9AD630-79F6-43E9-B745-34CB355413D5}">
      <formula1>int_nome_produto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9283-6DD2-4339-88E7-6E8150105C85}">
  <dimension ref="A1:I63"/>
  <sheetViews>
    <sheetView topLeftCell="A55" zoomScale="145" zoomScaleNormal="145" workbookViewId="0">
      <selection activeCell="F71" sqref="F70:F71"/>
    </sheetView>
  </sheetViews>
  <sheetFormatPr defaultRowHeight="15" x14ac:dyDescent="0.25"/>
  <cols>
    <col min="2" max="2" width="17.5703125" customWidth="1"/>
    <col min="3" max="3" width="10.85546875" customWidth="1"/>
    <col min="4" max="4" width="13.42578125" customWidth="1"/>
    <col min="5" max="5" width="14" customWidth="1"/>
    <col min="7" max="7" width="12.28515625" style="83" customWidth="1"/>
    <col min="8" max="8" width="15.5703125" style="66" customWidth="1"/>
    <col min="9" max="9" width="14.28515625" customWidth="1"/>
  </cols>
  <sheetData>
    <row r="1" spans="1:9" ht="27.75" customHeight="1" x14ac:dyDescent="0.6">
      <c r="A1" s="85" t="s">
        <v>0</v>
      </c>
      <c r="B1" s="86"/>
      <c r="C1" s="86"/>
      <c r="D1" s="86"/>
      <c r="E1" s="86"/>
      <c r="F1" s="86"/>
      <c r="G1" s="86"/>
      <c r="H1" s="86"/>
      <c r="I1" s="86"/>
    </row>
    <row r="2" spans="1:9" ht="9.75" customHeight="1" x14ac:dyDescent="0.6">
      <c r="A2" s="63"/>
      <c r="B2" s="64"/>
      <c r="C2" s="64"/>
      <c r="D2" s="64"/>
      <c r="E2" s="64"/>
      <c r="F2" s="64"/>
      <c r="G2" s="80"/>
      <c r="H2" s="67"/>
      <c r="I2" s="64"/>
    </row>
    <row r="3" spans="1:9" ht="18.75" x14ac:dyDescent="0.3">
      <c r="A3" s="65" t="s">
        <v>83</v>
      </c>
      <c r="B3" s="65" t="s">
        <v>84</v>
      </c>
      <c r="C3" s="65" t="s">
        <v>41</v>
      </c>
      <c r="D3" s="65" t="s">
        <v>2</v>
      </c>
      <c r="E3" s="65" t="s">
        <v>3</v>
      </c>
      <c r="F3" s="65" t="s">
        <v>6</v>
      </c>
      <c r="G3" s="81" t="s">
        <v>102</v>
      </c>
      <c r="H3" s="68" t="s">
        <v>85</v>
      </c>
      <c r="I3" s="65" t="s">
        <v>86</v>
      </c>
    </row>
    <row r="4" spans="1:9" x14ac:dyDescent="0.25">
      <c r="A4" s="60">
        <v>1</v>
      </c>
      <c r="B4" s="61">
        <v>44931</v>
      </c>
      <c r="C4" s="62" t="s">
        <v>65</v>
      </c>
      <c r="D4" s="62" t="s">
        <v>10</v>
      </c>
      <c r="E4" s="62" t="s">
        <v>11</v>
      </c>
      <c r="F4" s="62">
        <v>1</v>
      </c>
      <c r="G4" s="82">
        <f>INDEX(TB_Produtos[Preço c/ Desconto],MATCH(C4,TB_Produtos[Código],0))</f>
        <v>359.90999999999997</v>
      </c>
      <c r="H4" s="69">
        <f>TB_Vendas[[#This Row],[Unitário]]*TB_Vendas[[#This Row],[Qtd]]</f>
        <v>359.90999999999997</v>
      </c>
      <c r="I4" s="62" t="s">
        <v>87</v>
      </c>
    </row>
    <row r="5" spans="1:9" x14ac:dyDescent="0.25">
      <c r="A5" s="60">
        <v>1</v>
      </c>
      <c r="B5" s="61">
        <v>44932</v>
      </c>
      <c r="C5" s="62" t="s">
        <v>69</v>
      </c>
      <c r="D5" s="62">
        <v>36</v>
      </c>
      <c r="E5" s="62" t="s">
        <v>88</v>
      </c>
      <c r="F5" s="62">
        <v>1</v>
      </c>
      <c r="G5" s="82">
        <f>INDEX(TB_Produtos[Preço c/ Desconto],MATCH(C5,TB_Produtos[Código],0))</f>
        <v>179.91</v>
      </c>
      <c r="H5" s="69">
        <f>TB_Vendas[[#This Row],[Unitário]]*TB_Vendas[[#This Row],[Qtd]]</f>
        <v>179.91</v>
      </c>
      <c r="I5" s="62" t="s">
        <v>89</v>
      </c>
    </row>
    <row r="6" spans="1:9" x14ac:dyDescent="0.25">
      <c r="A6" s="60">
        <v>1</v>
      </c>
      <c r="B6" s="61">
        <v>44933</v>
      </c>
      <c r="C6" s="62" t="s">
        <v>70</v>
      </c>
      <c r="D6" s="62">
        <v>37</v>
      </c>
      <c r="E6" s="62" t="s">
        <v>88</v>
      </c>
      <c r="F6" s="62">
        <v>2</v>
      </c>
      <c r="G6" s="82">
        <f>INDEX(TB_Produtos[Preço c/ Desconto],MATCH(C6,TB_Produtos[Código],0))</f>
        <v>224.91</v>
      </c>
      <c r="H6" s="69">
        <f>TB_Vendas[[#This Row],[Unitário]]*TB_Vendas[[#This Row],[Qtd]]</f>
        <v>449.82</v>
      </c>
      <c r="I6" s="62" t="s">
        <v>90</v>
      </c>
    </row>
    <row r="7" spans="1:9" x14ac:dyDescent="0.25">
      <c r="A7" s="60">
        <v>1</v>
      </c>
      <c r="B7" s="61">
        <v>44938</v>
      </c>
      <c r="C7" s="62" t="s">
        <v>51</v>
      </c>
      <c r="D7" s="62" t="s">
        <v>15</v>
      </c>
      <c r="E7" s="62" t="s">
        <v>14</v>
      </c>
      <c r="F7" s="62">
        <v>1</v>
      </c>
      <c r="G7" s="82">
        <f>INDEX(TB_Produtos[Preço c/ Desconto],MATCH(C7,TB_Produtos[Código],0))</f>
        <v>42.21</v>
      </c>
      <c r="H7" s="69">
        <f>TB_Vendas[[#This Row],[Unitário]]*TB_Vendas[[#This Row],[Qtd]]</f>
        <v>42.21</v>
      </c>
      <c r="I7" s="62" t="s">
        <v>90</v>
      </c>
    </row>
    <row r="8" spans="1:9" x14ac:dyDescent="0.25">
      <c r="A8" s="60">
        <v>1</v>
      </c>
      <c r="B8" s="61">
        <v>44939</v>
      </c>
      <c r="C8" s="62" t="s">
        <v>74</v>
      </c>
      <c r="D8" s="62" t="s">
        <v>15</v>
      </c>
      <c r="E8" s="62" t="s">
        <v>14</v>
      </c>
      <c r="F8" s="62">
        <v>1</v>
      </c>
      <c r="G8" s="82">
        <f>INDEX(TB_Produtos[Preço c/ Desconto],MATCH(C8,TB_Produtos[Código],0))</f>
        <v>128.61000000000001</v>
      </c>
      <c r="H8" s="69">
        <f>TB_Vendas[[#This Row],[Unitário]]*TB_Vendas[[#This Row],[Qtd]]</f>
        <v>128.61000000000001</v>
      </c>
      <c r="I8" s="62" t="s">
        <v>89</v>
      </c>
    </row>
    <row r="9" spans="1:9" x14ac:dyDescent="0.25">
      <c r="A9" s="60">
        <v>1</v>
      </c>
      <c r="B9" s="61">
        <v>44943</v>
      </c>
      <c r="C9" s="62" t="s">
        <v>69</v>
      </c>
      <c r="D9" s="62">
        <v>36</v>
      </c>
      <c r="E9" s="62" t="s">
        <v>88</v>
      </c>
      <c r="F9" s="62">
        <v>1</v>
      </c>
      <c r="G9" s="82">
        <f>INDEX(TB_Produtos[Preço c/ Desconto],MATCH(C9,TB_Produtos[Código],0))</f>
        <v>179.91</v>
      </c>
      <c r="H9" s="69">
        <f>TB_Vendas[[#This Row],[Unitário]]*TB_Vendas[[#This Row],[Qtd]]</f>
        <v>179.91</v>
      </c>
      <c r="I9" s="62" t="s">
        <v>89</v>
      </c>
    </row>
    <row r="10" spans="1:9" x14ac:dyDescent="0.25">
      <c r="A10" s="60">
        <v>1</v>
      </c>
      <c r="B10" s="61">
        <v>44949</v>
      </c>
      <c r="C10" s="62" t="s">
        <v>64</v>
      </c>
      <c r="D10" s="62" t="s">
        <v>10</v>
      </c>
      <c r="E10" s="62" t="s">
        <v>11</v>
      </c>
      <c r="F10" s="62">
        <v>1</v>
      </c>
      <c r="G10" s="82">
        <f>INDEX(TB_Produtos[Preço c/ Desconto],MATCH(C10,TB_Produtos[Código],0))</f>
        <v>314.90999999999997</v>
      </c>
      <c r="H10" s="69">
        <f>TB_Vendas[[#This Row],[Unitário]]*TB_Vendas[[#This Row],[Qtd]]</f>
        <v>314.90999999999997</v>
      </c>
      <c r="I10" s="62" t="s">
        <v>87</v>
      </c>
    </row>
    <row r="11" spans="1:9" x14ac:dyDescent="0.25">
      <c r="A11" s="60">
        <v>1</v>
      </c>
      <c r="B11" s="61">
        <v>44952</v>
      </c>
      <c r="C11" s="62" t="s">
        <v>54</v>
      </c>
      <c r="D11" s="62" t="s">
        <v>15</v>
      </c>
      <c r="E11" s="62" t="s">
        <v>14</v>
      </c>
      <c r="F11" s="62">
        <v>2</v>
      </c>
      <c r="G11" s="82">
        <f>INDEX(TB_Produtos[Preço c/ Desconto],MATCH(C11,TB_Produtos[Código],0))</f>
        <v>35.909999999999997</v>
      </c>
      <c r="H11" s="69">
        <f>TB_Vendas[[#This Row],[Unitário]]*TB_Vendas[[#This Row],[Qtd]]</f>
        <v>71.819999999999993</v>
      </c>
      <c r="I11" s="62" t="s">
        <v>89</v>
      </c>
    </row>
    <row r="12" spans="1:9" x14ac:dyDescent="0.25">
      <c r="A12" s="60">
        <v>1</v>
      </c>
      <c r="B12" s="61">
        <v>44954</v>
      </c>
      <c r="C12" s="62" t="s">
        <v>55</v>
      </c>
      <c r="D12" s="62" t="s">
        <v>13</v>
      </c>
      <c r="E12" s="62" t="s">
        <v>14</v>
      </c>
      <c r="F12" s="62">
        <v>2</v>
      </c>
      <c r="G12" s="82">
        <f>INDEX(TB_Produtos[Preço c/ Desconto],MATCH(C12,TB_Produtos[Código],0))</f>
        <v>38.25</v>
      </c>
      <c r="H12" s="69">
        <f>TB_Vendas[[#This Row],[Unitário]]*TB_Vendas[[#This Row],[Qtd]]</f>
        <v>76.5</v>
      </c>
      <c r="I12" s="62" t="s">
        <v>89</v>
      </c>
    </row>
    <row r="13" spans="1:9" x14ac:dyDescent="0.25">
      <c r="A13" s="60">
        <v>1</v>
      </c>
      <c r="B13" s="61">
        <v>44955</v>
      </c>
      <c r="C13" s="62" t="s">
        <v>71</v>
      </c>
      <c r="D13" s="62" t="s">
        <v>15</v>
      </c>
      <c r="E13" s="62" t="s">
        <v>14</v>
      </c>
      <c r="F13" s="62">
        <v>1</v>
      </c>
      <c r="G13" s="82">
        <f>INDEX(TB_Produtos[Preço c/ Desconto],MATCH(C13,TB_Produtos[Código],0))</f>
        <v>82.26</v>
      </c>
      <c r="H13" s="69">
        <f>TB_Vendas[[#This Row],[Unitário]]*TB_Vendas[[#This Row],[Qtd]]</f>
        <v>82.26</v>
      </c>
      <c r="I13" s="62" t="s">
        <v>90</v>
      </c>
    </row>
    <row r="14" spans="1:9" x14ac:dyDescent="0.25">
      <c r="A14" s="60">
        <v>1</v>
      </c>
      <c r="B14" s="61">
        <v>44956</v>
      </c>
      <c r="C14" s="62" t="s">
        <v>75</v>
      </c>
      <c r="D14" s="62" t="s">
        <v>13</v>
      </c>
      <c r="E14" s="62" t="s">
        <v>14</v>
      </c>
      <c r="F14" s="62">
        <v>1</v>
      </c>
      <c r="G14" s="82">
        <f>INDEX(TB_Produtos[Preço c/ Desconto],MATCH(C14,TB_Produtos[Código],0))</f>
        <v>131.4</v>
      </c>
      <c r="H14" s="69">
        <f>TB_Vendas[[#This Row],[Unitário]]*TB_Vendas[[#This Row],[Qtd]]</f>
        <v>131.4</v>
      </c>
      <c r="I14" s="62" t="s">
        <v>87</v>
      </c>
    </row>
    <row r="15" spans="1:9" x14ac:dyDescent="0.25">
      <c r="A15" s="60">
        <v>2</v>
      </c>
      <c r="B15" s="61">
        <v>44960</v>
      </c>
      <c r="C15" s="62" t="s">
        <v>47</v>
      </c>
      <c r="D15" s="62" t="s">
        <v>10</v>
      </c>
      <c r="E15" s="62" t="s">
        <v>11</v>
      </c>
      <c r="F15" s="62">
        <v>1</v>
      </c>
      <c r="G15" s="82">
        <f>INDEX(TB_Produtos[Preço c/ Desconto],MATCH(C15,TB_Produtos[Código],0))</f>
        <v>233.91</v>
      </c>
      <c r="H15" s="69">
        <f>TB_Vendas[[#This Row],[Unitário]]*TB_Vendas[[#This Row],[Qtd]]</f>
        <v>233.91</v>
      </c>
      <c r="I15" s="62" t="s">
        <v>90</v>
      </c>
    </row>
    <row r="16" spans="1:9" x14ac:dyDescent="0.25">
      <c r="A16" s="60">
        <v>2</v>
      </c>
      <c r="B16" s="61">
        <v>44962</v>
      </c>
      <c r="C16" s="62" t="s">
        <v>59</v>
      </c>
      <c r="D16" s="62" t="s">
        <v>20</v>
      </c>
      <c r="E16" s="62" t="s">
        <v>14</v>
      </c>
      <c r="F16" s="62">
        <v>2</v>
      </c>
      <c r="G16" s="82">
        <f>INDEX(TB_Produtos[Preço c/ Desconto],MATCH(C16,TB_Produtos[Código],0))</f>
        <v>269.90999999999997</v>
      </c>
      <c r="H16" s="69">
        <f>TB_Vendas[[#This Row],[Unitário]]*TB_Vendas[[#This Row],[Qtd]]</f>
        <v>539.81999999999994</v>
      </c>
      <c r="I16" s="62" t="s">
        <v>87</v>
      </c>
    </row>
    <row r="17" spans="1:9" x14ac:dyDescent="0.25">
      <c r="A17" s="60">
        <v>2</v>
      </c>
      <c r="B17" s="61">
        <v>44975</v>
      </c>
      <c r="C17" s="62" t="s">
        <v>70</v>
      </c>
      <c r="D17" s="62">
        <v>37</v>
      </c>
      <c r="E17" s="62" t="s">
        <v>88</v>
      </c>
      <c r="F17" s="62">
        <v>1</v>
      </c>
      <c r="G17" s="82">
        <f>INDEX(TB_Produtos[Preço c/ Desconto],MATCH(C17,TB_Produtos[Código],0))</f>
        <v>224.91</v>
      </c>
      <c r="H17" s="69">
        <f>TB_Vendas[[#This Row],[Unitário]]*TB_Vendas[[#This Row],[Qtd]]</f>
        <v>224.91</v>
      </c>
      <c r="I17" s="62" t="s">
        <v>89</v>
      </c>
    </row>
    <row r="18" spans="1:9" x14ac:dyDescent="0.25">
      <c r="A18" s="60">
        <v>2</v>
      </c>
      <c r="B18" s="61">
        <v>44978</v>
      </c>
      <c r="C18" s="62" t="s">
        <v>72</v>
      </c>
      <c r="D18" s="62" t="s">
        <v>13</v>
      </c>
      <c r="E18" s="62" t="s">
        <v>14</v>
      </c>
      <c r="F18" s="62">
        <v>2</v>
      </c>
      <c r="G18" s="82">
        <f>INDEX(TB_Produtos[Preço c/ Desconto],MATCH(C18,TB_Produtos[Código],0))</f>
        <v>84.15</v>
      </c>
      <c r="H18" s="69">
        <f>TB_Vendas[[#This Row],[Unitário]]*TB_Vendas[[#This Row],[Qtd]]</f>
        <v>168.3</v>
      </c>
      <c r="I18" s="62" t="s">
        <v>90</v>
      </c>
    </row>
    <row r="19" spans="1:9" x14ac:dyDescent="0.25">
      <c r="A19" s="60">
        <v>2</v>
      </c>
      <c r="B19" s="61">
        <v>44981</v>
      </c>
      <c r="C19" s="62" t="s">
        <v>68</v>
      </c>
      <c r="D19" s="62">
        <v>38</v>
      </c>
      <c r="E19" s="62" t="s">
        <v>88</v>
      </c>
      <c r="F19" s="62">
        <v>4</v>
      </c>
      <c r="G19" s="82">
        <f>INDEX(TB_Produtos[Preço c/ Desconto],MATCH(C19,TB_Produtos[Código],0))</f>
        <v>233.91</v>
      </c>
      <c r="H19" s="69">
        <f>TB_Vendas[[#This Row],[Unitário]]*TB_Vendas[[#This Row],[Qtd]]</f>
        <v>935.64</v>
      </c>
      <c r="I19" s="62" t="s">
        <v>87</v>
      </c>
    </row>
    <row r="20" spans="1:9" x14ac:dyDescent="0.25">
      <c r="A20" s="60">
        <v>2</v>
      </c>
      <c r="B20" s="61">
        <v>44982</v>
      </c>
      <c r="C20" s="62" t="s">
        <v>53</v>
      </c>
      <c r="D20" s="62" t="s">
        <v>20</v>
      </c>
      <c r="E20" s="62" t="s">
        <v>14</v>
      </c>
      <c r="F20" s="62">
        <v>3</v>
      </c>
      <c r="G20" s="82">
        <f>INDEX(TB_Produtos[Preço c/ Desconto],MATCH(C20,TB_Produtos[Código],0))</f>
        <v>35.909999999999997</v>
      </c>
      <c r="H20" s="69">
        <f>TB_Vendas[[#This Row],[Unitário]]*TB_Vendas[[#This Row],[Qtd]]</f>
        <v>107.72999999999999</v>
      </c>
      <c r="I20" s="62" t="s">
        <v>87</v>
      </c>
    </row>
    <row r="21" spans="1:9" x14ac:dyDescent="0.25">
      <c r="A21" s="60">
        <v>2</v>
      </c>
      <c r="B21" s="61">
        <v>44983</v>
      </c>
      <c r="C21" s="62" t="s">
        <v>44</v>
      </c>
      <c r="D21" s="62" t="s">
        <v>15</v>
      </c>
      <c r="E21" s="62" t="s">
        <v>14</v>
      </c>
      <c r="F21" s="62">
        <v>2</v>
      </c>
      <c r="G21" s="82">
        <f>INDEX(TB_Produtos[Preço c/ Desconto],MATCH(C21,TB_Produtos[Código],0))</f>
        <v>62.910000000000004</v>
      </c>
      <c r="H21" s="69">
        <f>TB_Vendas[[#This Row],[Unitário]]*TB_Vendas[[#This Row],[Qtd]]</f>
        <v>125.82000000000001</v>
      </c>
      <c r="I21" s="62" t="s">
        <v>89</v>
      </c>
    </row>
    <row r="22" spans="1:9" x14ac:dyDescent="0.25">
      <c r="A22" s="60">
        <v>3</v>
      </c>
      <c r="B22" s="61">
        <v>44986</v>
      </c>
      <c r="C22" s="62" t="s">
        <v>56</v>
      </c>
      <c r="D22" s="62" t="s">
        <v>15</v>
      </c>
      <c r="E22" s="62" t="s">
        <v>14</v>
      </c>
      <c r="F22" s="62">
        <v>3</v>
      </c>
      <c r="G22" s="82">
        <f>INDEX(TB_Produtos[Preço c/ Desconto],MATCH(C22,TB_Produtos[Código],0))</f>
        <v>26.91</v>
      </c>
      <c r="H22" s="69">
        <f>TB_Vendas[[#This Row],[Unitário]]*TB_Vendas[[#This Row],[Qtd]]</f>
        <v>80.73</v>
      </c>
      <c r="I22" s="62" t="s">
        <v>90</v>
      </c>
    </row>
    <row r="23" spans="1:9" x14ac:dyDescent="0.25">
      <c r="A23" s="60">
        <v>3</v>
      </c>
      <c r="B23" s="61">
        <v>44986</v>
      </c>
      <c r="C23" s="62" t="s">
        <v>70</v>
      </c>
      <c r="D23" s="62">
        <v>37</v>
      </c>
      <c r="E23" s="62" t="s">
        <v>88</v>
      </c>
      <c r="F23" s="62">
        <v>1</v>
      </c>
      <c r="G23" s="82">
        <f>INDEX(TB_Produtos[Preço c/ Desconto],MATCH(C23,TB_Produtos[Código],0))</f>
        <v>224.91</v>
      </c>
      <c r="H23" s="69">
        <f>TB_Vendas[[#This Row],[Unitário]]*TB_Vendas[[#This Row],[Qtd]]</f>
        <v>224.91</v>
      </c>
      <c r="I23" s="62" t="s">
        <v>89</v>
      </c>
    </row>
    <row r="24" spans="1:9" x14ac:dyDescent="0.25">
      <c r="A24" s="60">
        <v>3</v>
      </c>
      <c r="B24" s="61">
        <v>44987</v>
      </c>
      <c r="C24" s="62" t="s">
        <v>47</v>
      </c>
      <c r="D24" s="62" t="s">
        <v>10</v>
      </c>
      <c r="E24" s="62" t="s">
        <v>11</v>
      </c>
      <c r="F24" s="62">
        <v>4</v>
      </c>
      <c r="G24" s="82">
        <f>INDEX(TB_Produtos[Preço c/ Desconto],MATCH(C24,TB_Produtos[Código],0))</f>
        <v>233.91</v>
      </c>
      <c r="H24" s="69">
        <f>TB_Vendas[[#This Row],[Unitário]]*TB_Vendas[[#This Row],[Qtd]]</f>
        <v>935.64</v>
      </c>
      <c r="I24" s="62" t="s">
        <v>89</v>
      </c>
    </row>
    <row r="25" spans="1:9" x14ac:dyDescent="0.25">
      <c r="A25" s="60">
        <v>3</v>
      </c>
      <c r="B25" s="61">
        <v>44988</v>
      </c>
      <c r="C25" s="62" t="s">
        <v>52</v>
      </c>
      <c r="D25" s="62" t="s">
        <v>13</v>
      </c>
      <c r="E25" s="62" t="s">
        <v>14</v>
      </c>
      <c r="F25" s="62">
        <v>2</v>
      </c>
      <c r="G25" s="82">
        <f>INDEX(TB_Produtos[Preço c/ Desconto],MATCH(C25,TB_Produtos[Código],0))</f>
        <v>44.01</v>
      </c>
      <c r="H25" s="69">
        <f>TB_Vendas[[#This Row],[Unitário]]*TB_Vendas[[#This Row],[Qtd]]</f>
        <v>88.02</v>
      </c>
      <c r="I25" s="62" t="s">
        <v>90</v>
      </c>
    </row>
    <row r="26" spans="1:9" x14ac:dyDescent="0.25">
      <c r="A26" s="60">
        <v>3</v>
      </c>
      <c r="B26" s="61">
        <v>44989</v>
      </c>
      <c r="C26" s="62" t="s">
        <v>54</v>
      </c>
      <c r="D26" s="62" t="s">
        <v>15</v>
      </c>
      <c r="E26" s="62" t="s">
        <v>14</v>
      </c>
      <c r="F26" s="62">
        <v>3</v>
      </c>
      <c r="G26" s="82">
        <f>INDEX(TB_Produtos[Preço c/ Desconto],MATCH(C26,TB_Produtos[Código],0))</f>
        <v>35.909999999999997</v>
      </c>
      <c r="H26" s="69">
        <f>TB_Vendas[[#This Row],[Unitário]]*TB_Vendas[[#This Row],[Qtd]]</f>
        <v>107.72999999999999</v>
      </c>
      <c r="I26" s="62" t="s">
        <v>89</v>
      </c>
    </row>
    <row r="27" spans="1:9" x14ac:dyDescent="0.25">
      <c r="A27" s="60">
        <v>3</v>
      </c>
      <c r="B27" s="61">
        <v>44994</v>
      </c>
      <c r="C27" s="62" t="s">
        <v>62</v>
      </c>
      <c r="D27" s="62" t="s">
        <v>15</v>
      </c>
      <c r="E27" s="62" t="s">
        <v>14</v>
      </c>
      <c r="F27" s="62">
        <v>2</v>
      </c>
      <c r="G27" s="82">
        <f>INDEX(TB_Produtos[Preço c/ Desconto],MATCH(C27,TB_Produtos[Código],0))</f>
        <v>233.91</v>
      </c>
      <c r="H27" s="69">
        <f>TB_Vendas[[#This Row],[Unitário]]*TB_Vendas[[#This Row],[Qtd]]</f>
        <v>467.82</v>
      </c>
      <c r="I27" s="62" t="s">
        <v>90</v>
      </c>
    </row>
    <row r="28" spans="1:9" x14ac:dyDescent="0.25">
      <c r="A28" s="60">
        <v>3</v>
      </c>
      <c r="B28" s="61">
        <v>44999</v>
      </c>
      <c r="C28" s="62" t="s">
        <v>70</v>
      </c>
      <c r="D28" s="62">
        <v>37</v>
      </c>
      <c r="E28" s="62" t="s">
        <v>88</v>
      </c>
      <c r="F28" s="62">
        <v>1</v>
      </c>
      <c r="G28" s="82">
        <f>INDEX(TB_Produtos[Preço c/ Desconto],MATCH(C28,TB_Produtos[Código],0))</f>
        <v>224.91</v>
      </c>
      <c r="H28" s="69">
        <f>TB_Vendas[[#This Row],[Unitário]]*TB_Vendas[[#This Row],[Qtd]]</f>
        <v>224.91</v>
      </c>
      <c r="I28" s="62" t="s">
        <v>90</v>
      </c>
    </row>
    <row r="29" spans="1:9" x14ac:dyDescent="0.25">
      <c r="A29" s="60">
        <v>3</v>
      </c>
      <c r="B29" s="61">
        <v>45004</v>
      </c>
      <c r="C29" s="62" t="s">
        <v>45</v>
      </c>
      <c r="D29" s="62" t="s">
        <v>13</v>
      </c>
      <c r="E29" s="62" t="s">
        <v>14</v>
      </c>
      <c r="F29" s="62">
        <v>5</v>
      </c>
      <c r="G29" s="82">
        <f>INDEX(TB_Produtos[Preço c/ Desconto],MATCH(C29,TB_Produtos[Código],0))</f>
        <v>63.810000000000009</v>
      </c>
      <c r="H29" s="69">
        <f>TB_Vendas[[#This Row],[Unitário]]*TB_Vendas[[#This Row],[Qtd]]</f>
        <v>319.05000000000007</v>
      </c>
      <c r="I29" s="62" t="s">
        <v>90</v>
      </c>
    </row>
    <row r="30" spans="1:9" x14ac:dyDescent="0.25">
      <c r="A30" s="60">
        <v>3</v>
      </c>
      <c r="B30" s="61">
        <v>45006</v>
      </c>
      <c r="C30" s="62" t="s">
        <v>67</v>
      </c>
      <c r="D30" s="62">
        <v>37</v>
      </c>
      <c r="E30" s="62" t="s">
        <v>88</v>
      </c>
      <c r="F30" s="62">
        <v>2</v>
      </c>
      <c r="G30" s="82">
        <f>INDEX(TB_Produtos[Preço c/ Desconto],MATCH(C30,TB_Produtos[Código],0))</f>
        <v>229.5</v>
      </c>
      <c r="H30" s="69">
        <f>TB_Vendas[[#This Row],[Unitário]]*TB_Vendas[[#This Row],[Qtd]]</f>
        <v>459</v>
      </c>
      <c r="I30" s="62" t="s">
        <v>87</v>
      </c>
    </row>
    <row r="31" spans="1:9" x14ac:dyDescent="0.25">
      <c r="A31" s="60">
        <v>3</v>
      </c>
      <c r="B31" s="61">
        <v>45010</v>
      </c>
      <c r="C31" s="62" t="s">
        <v>45</v>
      </c>
      <c r="D31" s="62" t="s">
        <v>13</v>
      </c>
      <c r="E31" s="62" t="s">
        <v>14</v>
      </c>
      <c r="F31" s="62">
        <v>3</v>
      </c>
      <c r="G31" s="82">
        <f>INDEX(TB_Produtos[Preço c/ Desconto],MATCH(C31,TB_Produtos[Código],0))</f>
        <v>63.810000000000009</v>
      </c>
      <c r="H31" s="69">
        <f>TB_Vendas[[#This Row],[Unitário]]*TB_Vendas[[#This Row],[Qtd]]</f>
        <v>191.43000000000004</v>
      </c>
      <c r="I31" s="62" t="s">
        <v>89</v>
      </c>
    </row>
    <row r="32" spans="1:9" x14ac:dyDescent="0.25">
      <c r="A32" s="60">
        <v>4</v>
      </c>
      <c r="B32" s="61">
        <v>45018</v>
      </c>
      <c r="C32" s="62" t="s">
        <v>61</v>
      </c>
      <c r="D32" s="62" t="s">
        <v>13</v>
      </c>
      <c r="E32" s="62" t="s">
        <v>14</v>
      </c>
      <c r="F32" s="62">
        <v>1</v>
      </c>
      <c r="G32" s="82">
        <f>INDEX(TB_Produtos[Preço c/ Desconto],MATCH(C32,TB_Produtos[Código],0))</f>
        <v>270</v>
      </c>
      <c r="H32" s="69">
        <f>TB_Vendas[[#This Row],[Unitário]]*TB_Vendas[[#This Row],[Qtd]]</f>
        <v>270</v>
      </c>
      <c r="I32" s="62" t="s">
        <v>90</v>
      </c>
    </row>
    <row r="33" spans="1:9" x14ac:dyDescent="0.25">
      <c r="A33" s="60">
        <v>4</v>
      </c>
      <c r="B33" s="61">
        <v>45020</v>
      </c>
      <c r="C33" s="62" t="s">
        <v>66</v>
      </c>
      <c r="D33" s="62">
        <v>36</v>
      </c>
      <c r="E33" s="62" t="s">
        <v>88</v>
      </c>
      <c r="F33" s="62">
        <v>4</v>
      </c>
      <c r="G33" s="82">
        <f>INDEX(TB_Produtos[Preço c/ Desconto],MATCH(C33,TB_Produtos[Código],0))</f>
        <v>224.91</v>
      </c>
      <c r="H33" s="69">
        <f>TB_Vendas[[#This Row],[Unitário]]*TB_Vendas[[#This Row],[Qtd]]</f>
        <v>899.64</v>
      </c>
      <c r="I33" s="62" t="s">
        <v>90</v>
      </c>
    </row>
    <row r="34" spans="1:9" x14ac:dyDescent="0.25">
      <c r="A34" s="60">
        <v>4</v>
      </c>
      <c r="B34" s="61">
        <v>45024</v>
      </c>
      <c r="C34" s="62" t="s">
        <v>74</v>
      </c>
      <c r="D34" s="62" t="s">
        <v>15</v>
      </c>
      <c r="E34" s="62" t="s">
        <v>14</v>
      </c>
      <c r="F34" s="62">
        <v>3</v>
      </c>
      <c r="G34" s="82">
        <f>INDEX(TB_Produtos[Preço c/ Desconto],MATCH(C34,TB_Produtos[Código],0))</f>
        <v>128.61000000000001</v>
      </c>
      <c r="H34" s="69">
        <f>TB_Vendas[[#This Row],[Unitário]]*TB_Vendas[[#This Row],[Qtd]]</f>
        <v>385.83000000000004</v>
      </c>
      <c r="I34" s="62" t="s">
        <v>89</v>
      </c>
    </row>
    <row r="35" spans="1:9" x14ac:dyDescent="0.25">
      <c r="A35" s="60">
        <v>4</v>
      </c>
      <c r="B35" s="61">
        <v>45027</v>
      </c>
      <c r="C35" s="62" t="s">
        <v>43</v>
      </c>
      <c r="D35" s="62" t="s">
        <v>20</v>
      </c>
      <c r="E35" s="62" t="s">
        <v>14</v>
      </c>
      <c r="F35" s="62">
        <v>2</v>
      </c>
      <c r="G35" s="82">
        <f>INDEX(TB_Produtos[Preço c/ Desconto],MATCH(C35,TB_Produtos[Código],0))</f>
        <v>59.310000000000009</v>
      </c>
      <c r="H35" s="69">
        <f>TB_Vendas[[#This Row],[Unitário]]*TB_Vendas[[#This Row],[Qtd]]</f>
        <v>118.62000000000002</v>
      </c>
      <c r="I35" s="62" t="s">
        <v>87</v>
      </c>
    </row>
    <row r="36" spans="1:9" x14ac:dyDescent="0.25">
      <c r="A36" s="60">
        <v>4</v>
      </c>
      <c r="B36" s="61">
        <v>45028</v>
      </c>
      <c r="C36" s="62" t="s">
        <v>50</v>
      </c>
      <c r="D36" s="62" t="s">
        <v>13</v>
      </c>
      <c r="E36" s="62" t="s">
        <v>14</v>
      </c>
      <c r="F36" s="62">
        <v>1</v>
      </c>
      <c r="G36" s="82">
        <f>INDEX(TB_Produtos[Preço c/ Desconto],MATCH(C36,TB_Produtos[Código],0))</f>
        <v>83.610000000000014</v>
      </c>
      <c r="H36" s="69">
        <f>TB_Vendas[[#This Row],[Unitário]]*TB_Vendas[[#This Row],[Qtd]]</f>
        <v>83.610000000000014</v>
      </c>
      <c r="I36" s="62" t="s">
        <v>90</v>
      </c>
    </row>
    <row r="37" spans="1:9" x14ac:dyDescent="0.25">
      <c r="A37" s="60">
        <v>4</v>
      </c>
      <c r="B37" s="61">
        <v>45029</v>
      </c>
      <c r="C37" s="62" t="s">
        <v>53</v>
      </c>
      <c r="D37" s="62" t="s">
        <v>20</v>
      </c>
      <c r="E37" s="62" t="s">
        <v>14</v>
      </c>
      <c r="F37" s="62">
        <v>3</v>
      </c>
      <c r="G37" s="82">
        <f>INDEX(TB_Produtos[Preço c/ Desconto],MATCH(C37,TB_Produtos[Código],0))</f>
        <v>35.909999999999997</v>
      </c>
      <c r="H37" s="69">
        <f>TB_Vendas[[#This Row],[Unitário]]*TB_Vendas[[#This Row],[Qtd]]</f>
        <v>107.72999999999999</v>
      </c>
      <c r="I37" s="62" t="s">
        <v>90</v>
      </c>
    </row>
    <row r="38" spans="1:9" x14ac:dyDescent="0.25">
      <c r="A38" s="60">
        <v>4</v>
      </c>
      <c r="B38" s="61">
        <v>45031</v>
      </c>
      <c r="C38" s="62" t="s">
        <v>60</v>
      </c>
      <c r="D38" s="62" t="s">
        <v>15</v>
      </c>
      <c r="E38" s="62" t="s">
        <v>14</v>
      </c>
      <c r="F38" s="62">
        <v>4</v>
      </c>
      <c r="G38" s="82">
        <f>INDEX(TB_Produtos[Preço c/ Desconto],MATCH(C38,TB_Produtos[Código],0))</f>
        <v>272.61</v>
      </c>
      <c r="H38" s="69">
        <f>TB_Vendas[[#This Row],[Unitário]]*TB_Vendas[[#This Row],[Qtd]]</f>
        <v>1090.44</v>
      </c>
      <c r="I38" s="62" t="s">
        <v>89</v>
      </c>
    </row>
    <row r="39" spans="1:9" x14ac:dyDescent="0.25">
      <c r="A39" s="60">
        <v>4</v>
      </c>
      <c r="B39" s="61">
        <v>45038</v>
      </c>
      <c r="C39" s="62" t="s">
        <v>44</v>
      </c>
      <c r="D39" s="62" t="s">
        <v>15</v>
      </c>
      <c r="E39" s="62" t="s">
        <v>14</v>
      </c>
      <c r="F39" s="62">
        <v>2</v>
      </c>
      <c r="G39" s="82">
        <f>INDEX(TB_Produtos[Preço c/ Desconto],MATCH(C39,TB_Produtos[Código],0))</f>
        <v>62.910000000000004</v>
      </c>
      <c r="H39" s="69">
        <f>TB_Vendas[[#This Row],[Unitário]]*TB_Vendas[[#This Row],[Qtd]]</f>
        <v>125.82000000000001</v>
      </c>
      <c r="I39" s="62" t="s">
        <v>89</v>
      </c>
    </row>
    <row r="40" spans="1:9" x14ac:dyDescent="0.25">
      <c r="A40" s="60">
        <v>4</v>
      </c>
      <c r="B40" s="61">
        <v>45039</v>
      </c>
      <c r="C40" s="62" t="s">
        <v>75</v>
      </c>
      <c r="D40" s="62" t="s">
        <v>13</v>
      </c>
      <c r="E40" s="62" t="s">
        <v>14</v>
      </c>
      <c r="F40" s="62">
        <v>3</v>
      </c>
      <c r="G40" s="82">
        <f>INDEX(TB_Produtos[Preço c/ Desconto],MATCH(C40,TB_Produtos[Código],0))</f>
        <v>131.4</v>
      </c>
      <c r="H40" s="69">
        <f>TB_Vendas[[#This Row],[Unitário]]*TB_Vendas[[#This Row],[Qtd]]</f>
        <v>394.20000000000005</v>
      </c>
      <c r="I40" s="62" t="s">
        <v>90</v>
      </c>
    </row>
    <row r="41" spans="1:9" x14ac:dyDescent="0.25">
      <c r="A41" s="60">
        <v>4</v>
      </c>
      <c r="B41" s="61">
        <v>45042</v>
      </c>
      <c r="C41" s="62" t="s">
        <v>57</v>
      </c>
      <c r="D41" s="62" t="s">
        <v>13</v>
      </c>
      <c r="E41" s="62" t="s">
        <v>14</v>
      </c>
      <c r="F41" s="62">
        <v>1</v>
      </c>
      <c r="G41" s="82">
        <f>INDEX(TB_Produtos[Preço c/ Desconto],MATCH(C41,TB_Produtos[Código],0))</f>
        <v>29.61</v>
      </c>
      <c r="H41" s="69">
        <f>TB_Vendas[[#This Row],[Unitário]]*TB_Vendas[[#This Row],[Qtd]]</f>
        <v>29.61</v>
      </c>
      <c r="I41" s="62" t="s">
        <v>87</v>
      </c>
    </row>
    <row r="42" spans="1:9" x14ac:dyDescent="0.25">
      <c r="A42" s="60">
        <v>4</v>
      </c>
      <c r="B42" s="61">
        <v>45043</v>
      </c>
      <c r="C42" s="62" t="s">
        <v>54</v>
      </c>
      <c r="D42" s="62" t="s">
        <v>15</v>
      </c>
      <c r="E42" s="62" t="s">
        <v>14</v>
      </c>
      <c r="F42" s="62">
        <v>4</v>
      </c>
      <c r="G42" s="82">
        <f>INDEX(TB_Produtos[Preço c/ Desconto],MATCH(C42,TB_Produtos[Código],0))</f>
        <v>35.909999999999997</v>
      </c>
      <c r="H42" s="69">
        <f>TB_Vendas[[#This Row],[Unitário]]*TB_Vendas[[#This Row],[Qtd]]</f>
        <v>143.63999999999999</v>
      </c>
      <c r="I42" s="62" t="s">
        <v>87</v>
      </c>
    </row>
    <row r="43" spans="1:9" x14ac:dyDescent="0.25">
      <c r="A43" s="60">
        <v>5</v>
      </c>
      <c r="B43" s="61">
        <v>45054</v>
      </c>
      <c r="C43" s="62" t="s">
        <v>63</v>
      </c>
      <c r="D43" s="62" t="s">
        <v>13</v>
      </c>
      <c r="E43" s="62" t="s">
        <v>14</v>
      </c>
      <c r="F43" s="62">
        <v>2</v>
      </c>
      <c r="G43" s="82">
        <f>INDEX(TB_Produtos[Preço c/ Desconto],MATCH(C43,TB_Produtos[Código],0))</f>
        <v>269.90999999999997</v>
      </c>
      <c r="H43" s="69">
        <f>TB_Vendas[[#This Row],[Unitário]]*TB_Vendas[[#This Row],[Qtd]]</f>
        <v>539.81999999999994</v>
      </c>
      <c r="I43" s="62" t="s">
        <v>89</v>
      </c>
    </row>
    <row r="44" spans="1:9" x14ac:dyDescent="0.25">
      <c r="A44" s="60">
        <v>5</v>
      </c>
      <c r="B44" s="61">
        <v>45055</v>
      </c>
      <c r="C44" s="62" t="s">
        <v>55</v>
      </c>
      <c r="D44" s="62" t="s">
        <v>13</v>
      </c>
      <c r="E44" s="62" t="s">
        <v>14</v>
      </c>
      <c r="F44" s="62">
        <v>3</v>
      </c>
      <c r="G44" s="82">
        <f>INDEX(TB_Produtos[Preço c/ Desconto],MATCH(C44,TB_Produtos[Código],0))</f>
        <v>38.25</v>
      </c>
      <c r="H44" s="69">
        <f>TB_Vendas[[#This Row],[Unitário]]*TB_Vendas[[#This Row],[Qtd]]</f>
        <v>114.75</v>
      </c>
      <c r="I44" s="62" t="s">
        <v>89</v>
      </c>
    </row>
    <row r="45" spans="1:9" x14ac:dyDescent="0.25">
      <c r="A45" s="60">
        <v>5</v>
      </c>
      <c r="B45" s="61">
        <v>45056</v>
      </c>
      <c r="C45" s="62" t="s">
        <v>70</v>
      </c>
      <c r="D45" s="62">
        <v>37</v>
      </c>
      <c r="E45" s="62" t="s">
        <v>88</v>
      </c>
      <c r="F45" s="62">
        <v>1</v>
      </c>
      <c r="G45" s="82">
        <f>INDEX(TB_Produtos[Preço c/ Desconto],MATCH(C45,TB_Produtos[Código],0))</f>
        <v>224.91</v>
      </c>
      <c r="H45" s="69">
        <f>TB_Vendas[[#This Row],[Unitário]]*TB_Vendas[[#This Row],[Qtd]]</f>
        <v>224.91</v>
      </c>
      <c r="I45" s="62" t="s">
        <v>90</v>
      </c>
    </row>
    <row r="46" spans="1:9" x14ac:dyDescent="0.25">
      <c r="A46" s="60">
        <v>5</v>
      </c>
      <c r="B46" s="61">
        <v>45057</v>
      </c>
      <c r="C46" s="62" t="s">
        <v>70</v>
      </c>
      <c r="D46" s="62">
        <v>37</v>
      </c>
      <c r="E46" s="62" t="s">
        <v>88</v>
      </c>
      <c r="F46" s="62">
        <v>2</v>
      </c>
      <c r="G46" s="82">
        <f>INDEX(TB_Produtos[Preço c/ Desconto],MATCH(C46,TB_Produtos[Código],0))</f>
        <v>224.91</v>
      </c>
      <c r="H46" s="69">
        <f>TB_Vendas[[#This Row],[Unitário]]*TB_Vendas[[#This Row],[Qtd]]</f>
        <v>449.82</v>
      </c>
      <c r="I46" s="62" t="s">
        <v>87</v>
      </c>
    </row>
    <row r="47" spans="1:9" x14ac:dyDescent="0.25">
      <c r="A47" s="60">
        <v>5</v>
      </c>
      <c r="B47" s="61">
        <v>45058</v>
      </c>
      <c r="C47" s="62" t="s">
        <v>52</v>
      </c>
      <c r="D47" s="62" t="s">
        <v>13</v>
      </c>
      <c r="E47" s="62" t="s">
        <v>14</v>
      </c>
      <c r="F47" s="62">
        <v>3</v>
      </c>
      <c r="G47" s="82">
        <f>INDEX(TB_Produtos[Preço c/ Desconto],MATCH(C47,TB_Produtos[Código],0))</f>
        <v>44.01</v>
      </c>
      <c r="H47" s="69">
        <f>TB_Vendas[[#This Row],[Unitário]]*TB_Vendas[[#This Row],[Qtd]]</f>
        <v>132.03</v>
      </c>
      <c r="I47" s="62" t="s">
        <v>89</v>
      </c>
    </row>
    <row r="48" spans="1:9" x14ac:dyDescent="0.25">
      <c r="A48" s="60">
        <v>5</v>
      </c>
      <c r="B48" s="61">
        <v>45061</v>
      </c>
      <c r="C48" s="62" t="s">
        <v>58</v>
      </c>
      <c r="D48" s="62" t="s">
        <v>10</v>
      </c>
      <c r="E48" s="62" t="s">
        <v>11</v>
      </c>
      <c r="F48" s="62">
        <v>2</v>
      </c>
      <c r="G48" s="82">
        <f>INDEX(TB_Produtos[Preço c/ Desconto],MATCH(C48,TB_Produtos[Código],0))</f>
        <v>44.91</v>
      </c>
      <c r="H48" s="69">
        <f>TB_Vendas[[#This Row],[Unitário]]*TB_Vendas[[#This Row],[Qtd]]</f>
        <v>89.82</v>
      </c>
      <c r="I48" s="62" t="s">
        <v>87</v>
      </c>
    </row>
    <row r="49" spans="1:9" x14ac:dyDescent="0.25">
      <c r="A49" s="60">
        <v>5</v>
      </c>
      <c r="B49" s="61">
        <v>45064</v>
      </c>
      <c r="C49" s="62" t="s">
        <v>52</v>
      </c>
      <c r="D49" s="62" t="s">
        <v>13</v>
      </c>
      <c r="E49" s="62" t="s">
        <v>14</v>
      </c>
      <c r="F49" s="62">
        <v>4</v>
      </c>
      <c r="G49" s="82">
        <f>INDEX(TB_Produtos[Preço c/ Desconto],MATCH(C49,TB_Produtos[Código],0))</f>
        <v>44.01</v>
      </c>
      <c r="H49" s="69">
        <f>TB_Vendas[[#This Row],[Unitário]]*TB_Vendas[[#This Row],[Qtd]]</f>
        <v>176.04</v>
      </c>
      <c r="I49" s="62" t="s">
        <v>90</v>
      </c>
    </row>
    <row r="50" spans="1:9" x14ac:dyDescent="0.25">
      <c r="A50" s="60">
        <v>6</v>
      </c>
      <c r="B50" s="61">
        <v>45084</v>
      </c>
      <c r="C50" s="62" t="s">
        <v>66</v>
      </c>
      <c r="D50" s="62">
        <v>36</v>
      </c>
      <c r="E50" s="62" t="s">
        <v>88</v>
      </c>
      <c r="F50" s="62">
        <v>3</v>
      </c>
      <c r="G50" s="82">
        <f>INDEX(TB_Produtos[Preço c/ Desconto],MATCH(C50,TB_Produtos[Código],0))</f>
        <v>224.91</v>
      </c>
      <c r="H50" s="69">
        <f>TB_Vendas[[#This Row],[Unitário]]*TB_Vendas[[#This Row],[Qtd]]</f>
        <v>674.73</v>
      </c>
      <c r="I50" s="62" t="s">
        <v>89</v>
      </c>
    </row>
    <row r="51" spans="1:9" x14ac:dyDescent="0.25">
      <c r="A51" s="60">
        <v>6</v>
      </c>
      <c r="B51" s="61">
        <v>45084</v>
      </c>
      <c r="C51" s="62" t="s">
        <v>61</v>
      </c>
      <c r="D51" s="62" t="s">
        <v>13</v>
      </c>
      <c r="E51" s="62" t="s">
        <v>14</v>
      </c>
      <c r="F51" s="62">
        <v>2</v>
      </c>
      <c r="G51" s="82">
        <f>INDEX(TB_Produtos[Preço c/ Desconto],MATCH(C51,TB_Produtos[Código],0))</f>
        <v>270</v>
      </c>
      <c r="H51" s="69">
        <f>TB_Vendas[[#This Row],[Unitário]]*TB_Vendas[[#This Row],[Qtd]]</f>
        <v>540</v>
      </c>
      <c r="I51" s="62" t="s">
        <v>90</v>
      </c>
    </row>
    <row r="52" spans="1:9" x14ac:dyDescent="0.25">
      <c r="A52" s="60">
        <v>6</v>
      </c>
      <c r="B52" s="61">
        <v>45086</v>
      </c>
      <c r="C52" s="62" t="s">
        <v>58</v>
      </c>
      <c r="D52" s="62" t="s">
        <v>10</v>
      </c>
      <c r="E52" s="62" t="s">
        <v>11</v>
      </c>
      <c r="F52" s="62">
        <v>2</v>
      </c>
      <c r="G52" s="82">
        <f>INDEX(TB_Produtos[Preço c/ Desconto],MATCH(C52,TB_Produtos[Código],0))</f>
        <v>44.91</v>
      </c>
      <c r="H52" s="69">
        <f>TB_Vendas[[#This Row],[Unitário]]*TB_Vendas[[#This Row],[Qtd]]</f>
        <v>89.82</v>
      </c>
      <c r="I52" s="62" t="s">
        <v>90</v>
      </c>
    </row>
    <row r="53" spans="1:9" x14ac:dyDescent="0.25">
      <c r="A53" s="60">
        <v>6</v>
      </c>
      <c r="B53" s="61">
        <v>45086</v>
      </c>
      <c r="C53" s="62" t="s">
        <v>72</v>
      </c>
      <c r="D53" s="62" t="s">
        <v>13</v>
      </c>
      <c r="E53" s="62" t="s">
        <v>14</v>
      </c>
      <c r="F53" s="62">
        <v>2</v>
      </c>
      <c r="G53" s="82">
        <f>INDEX(TB_Produtos[Preço c/ Desconto],MATCH(C53,TB_Produtos[Código],0))</f>
        <v>84.15</v>
      </c>
      <c r="H53" s="69">
        <f>TB_Vendas[[#This Row],[Unitário]]*TB_Vendas[[#This Row],[Qtd]]</f>
        <v>168.3</v>
      </c>
      <c r="I53" s="62" t="s">
        <v>87</v>
      </c>
    </row>
    <row r="54" spans="1:9" x14ac:dyDescent="0.25">
      <c r="A54" s="60">
        <v>6</v>
      </c>
      <c r="B54" s="61">
        <v>45088</v>
      </c>
      <c r="C54" s="62" t="s">
        <v>46</v>
      </c>
      <c r="D54" s="62" t="s">
        <v>10</v>
      </c>
      <c r="E54" s="62" t="s">
        <v>11</v>
      </c>
      <c r="F54" s="62">
        <v>1</v>
      </c>
      <c r="G54" s="82">
        <f>INDEX(TB_Produtos[Preço c/ Desconto],MATCH(C54,TB_Produtos[Código],0))</f>
        <v>130.5</v>
      </c>
      <c r="H54" s="69">
        <f>TB_Vendas[[#This Row],[Unitário]]*TB_Vendas[[#This Row],[Qtd]]</f>
        <v>130.5</v>
      </c>
      <c r="I54" s="62" t="s">
        <v>89</v>
      </c>
    </row>
    <row r="55" spans="1:9" x14ac:dyDescent="0.25">
      <c r="A55" s="60">
        <v>6</v>
      </c>
      <c r="B55" s="61">
        <v>45090</v>
      </c>
      <c r="C55" s="62" t="s">
        <v>60</v>
      </c>
      <c r="D55" s="62" t="s">
        <v>15</v>
      </c>
      <c r="E55" s="62" t="s">
        <v>14</v>
      </c>
      <c r="F55" s="62">
        <v>1</v>
      </c>
      <c r="G55" s="82">
        <f>INDEX(TB_Produtos[Preço c/ Desconto],MATCH(C55,TB_Produtos[Código],0))</f>
        <v>272.61</v>
      </c>
      <c r="H55" s="69">
        <f>TB_Vendas[[#This Row],[Unitário]]*TB_Vendas[[#This Row],[Qtd]]</f>
        <v>272.61</v>
      </c>
      <c r="I55" s="62" t="s">
        <v>89</v>
      </c>
    </row>
    <row r="56" spans="1:9" x14ac:dyDescent="0.25">
      <c r="A56" s="60">
        <v>6</v>
      </c>
      <c r="B56" s="61">
        <v>45093</v>
      </c>
      <c r="C56" s="62" t="s">
        <v>44</v>
      </c>
      <c r="D56" s="62" t="s">
        <v>15</v>
      </c>
      <c r="E56" s="62" t="s">
        <v>14</v>
      </c>
      <c r="F56" s="62">
        <v>3</v>
      </c>
      <c r="G56" s="82">
        <f>INDEX(TB_Produtos[Preço c/ Desconto],MATCH(C56,TB_Produtos[Código],0))</f>
        <v>62.910000000000004</v>
      </c>
      <c r="H56" s="69">
        <f>TB_Vendas[[#This Row],[Unitário]]*TB_Vendas[[#This Row],[Qtd]]</f>
        <v>188.73000000000002</v>
      </c>
      <c r="I56" s="62" t="s">
        <v>89</v>
      </c>
    </row>
    <row r="57" spans="1:9" x14ac:dyDescent="0.25">
      <c r="A57" s="60">
        <v>6</v>
      </c>
      <c r="B57" s="61">
        <v>45093</v>
      </c>
      <c r="C57" s="62" t="s">
        <v>55</v>
      </c>
      <c r="D57" s="62" t="s">
        <v>13</v>
      </c>
      <c r="E57" s="62" t="s">
        <v>14</v>
      </c>
      <c r="F57" s="62">
        <v>4</v>
      </c>
      <c r="G57" s="82">
        <f>INDEX(TB_Produtos[Preço c/ Desconto],MATCH(C57,TB_Produtos[Código],0))</f>
        <v>38.25</v>
      </c>
      <c r="H57" s="69">
        <f>TB_Vendas[[#This Row],[Unitário]]*TB_Vendas[[#This Row],[Qtd]]</f>
        <v>153</v>
      </c>
      <c r="I57" s="62" t="s">
        <v>90</v>
      </c>
    </row>
    <row r="58" spans="1:9" x14ac:dyDescent="0.25">
      <c r="A58" s="60">
        <v>6</v>
      </c>
      <c r="B58" s="61">
        <v>45094</v>
      </c>
      <c r="C58" s="62" t="s">
        <v>58</v>
      </c>
      <c r="D58" s="62" t="s">
        <v>10</v>
      </c>
      <c r="E58" s="62" t="s">
        <v>11</v>
      </c>
      <c r="F58" s="62">
        <v>2</v>
      </c>
      <c r="G58" s="82">
        <f>INDEX(TB_Produtos[Preço c/ Desconto],MATCH(C58,TB_Produtos[Código],0))</f>
        <v>44.91</v>
      </c>
      <c r="H58" s="69">
        <f>TB_Vendas[[#This Row],[Unitário]]*TB_Vendas[[#This Row],[Qtd]]</f>
        <v>89.82</v>
      </c>
      <c r="I58" s="62" t="s">
        <v>90</v>
      </c>
    </row>
    <row r="59" spans="1:9" x14ac:dyDescent="0.25">
      <c r="A59" s="60">
        <v>6</v>
      </c>
      <c r="B59" s="61">
        <v>45097</v>
      </c>
      <c r="C59" s="62" t="s">
        <v>44</v>
      </c>
      <c r="D59" s="62" t="s">
        <v>15</v>
      </c>
      <c r="E59" s="62" t="s">
        <v>14</v>
      </c>
      <c r="F59" s="62">
        <v>1</v>
      </c>
      <c r="G59" s="82">
        <f>INDEX(TB_Produtos[Preço c/ Desconto],MATCH(C59,TB_Produtos[Código],0))</f>
        <v>62.910000000000004</v>
      </c>
      <c r="H59" s="69">
        <f>TB_Vendas[[#This Row],[Unitário]]*TB_Vendas[[#This Row],[Qtd]]</f>
        <v>62.910000000000004</v>
      </c>
      <c r="I59" s="62" t="s">
        <v>87</v>
      </c>
    </row>
    <row r="60" spans="1:9" x14ac:dyDescent="0.25">
      <c r="A60" s="60">
        <v>6</v>
      </c>
      <c r="B60" s="61">
        <v>45105</v>
      </c>
      <c r="C60" s="62" t="s">
        <v>49</v>
      </c>
      <c r="D60" s="62" t="s">
        <v>15</v>
      </c>
      <c r="E60" s="62" t="s">
        <v>14</v>
      </c>
      <c r="F60" s="62">
        <v>5</v>
      </c>
      <c r="G60" s="82">
        <f>INDEX(TB_Produtos[Preço c/ Desconto],MATCH(C60,TB_Produtos[Código],0))</f>
        <v>80.910000000000011</v>
      </c>
      <c r="H60" s="69">
        <f>TB_Vendas[[#This Row],[Unitário]]*TB_Vendas[[#This Row],[Qtd]]</f>
        <v>404.55000000000007</v>
      </c>
      <c r="I60" s="62" t="s">
        <v>87</v>
      </c>
    </row>
    <row r="61" spans="1:9" x14ac:dyDescent="0.25">
      <c r="A61" s="60">
        <v>6</v>
      </c>
      <c r="B61" s="61">
        <v>45105</v>
      </c>
      <c r="C61" s="62" t="s">
        <v>73</v>
      </c>
      <c r="D61" s="62" t="s">
        <v>20</v>
      </c>
      <c r="E61" s="62" t="s">
        <v>14</v>
      </c>
      <c r="F61" s="62">
        <v>2</v>
      </c>
      <c r="G61" s="82">
        <f>INDEX(TB_Produtos[Preço c/ Desconto],MATCH(C61,TB_Produtos[Código],0))</f>
        <v>126</v>
      </c>
      <c r="H61" s="69">
        <f>TB_Vendas[[#This Row],[Unitário]]*TB_Vendas[[#This Row],[Qtd]]</f>
        <v>252</v>
      </c>
      <c r="I61" s="62" t="s">
        <v>87</v>
      </c>
    </row>
    <row r="62" spans="1:9" x14ac:dyDescent="0.25">
      <c r="A62" s="60">
        <v>6</v>
      </c>
      <c r="B62" s="61">
        <v>45106</v>
      </c>
      <c r="C62" s="62" t="s">
        <v>48</v>
      </c>
      <c r="D62" s="62" t="s">
        <v>10</v>
      </c>
      <c r="E62" s="62" t="s">
        <v>11</v>
      </c>
      <c r="F62" s="62">
        <v>3</v>
      </c>
      <c r="G62" s="82">
        <f>INDEX(TB_Produtos[Preço c/ Desconto],MATCH(C62,TB_Produtos[Código],0))</f>
        <v>35.909999999999997</v>
      </c>
      <c r="H62" s="69">
        <f>TB_Vendas[[#This Row],[Unitário]]*TB_Vendas[[#This Row],[Qtd]]</f>
        <v>107.72999999999999</v>
      </c>
      <c r="I62" s="62" t="s">
        <v>90</v>
      </c>
    </row>
    <row r="63" spans="1:9" x14ac:dyDescent="0.25">
      <c r="A63" s="62" t="s">
        <v>85</v>
      </c>
      <c r="B63" s="62"/>
      <c r="C63" s="62"/>
      <c r="D63" s="62"/>
      <c r="E63" s="62"/>
      <c r="F63" s="62">
        <f>SUBTOTAL(109,TB_Vendas[Qtd])</f>
        <v>131</v>
      </c>
      <c r="G63" s="62"/>
      <c r="H63" s="69">
        <f>SUBTOTAL(109,TB_Vendas[Total])</f>
        <v>15963.659999999998</v>
      </c>
      <c r="I63" s="62"/>
    </row>
  </sheetData>
  <mergeCells count="1">
    <mergeCell ref="A1:I1"/>
  </mergeCells>
  <conditionalFormatting sqref="I4:I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G3">
    <cfRule type="cellIs" dxfId="2" priority="2" operator="equal">
      <formula>0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98FC-2636-4E1A-8BC2-C3FC42382E0B}">
  <dimension ref="D1:BP47"/>
  <sheetViews>
    <sheetView tabSelected="1" zoomScale="115" zoomScaleNormal="115" workbookViewId="0">
      <selection activeCell="CE38" sqref="CE38"/>
    </sheetView>
  </sheetViews>
  <sheetFormatPr defaultColWidth="2" defaultRowHeight="9.75" customHeight="1" x14ac:dyDescent="0.35"/>
  <cols>
    <col min="1" max="67" width="2" style="59"/>
    <col min="68" max="68" width="7" style="59" customWidth="1"/>
    <col min="69" max="16384" width="2" style="59"/>
  </cols>
  <sheetData>
    <row r="1" spans="4:68" s="58" customFormat="1" ht="9.75" customHeight="1" thickBot="1" x14ac:dyDescent="0.4"/>
    <row r="2" spans="4:68" ht="9.75" customHeight="1" x14ac:dyDescent="0.35">
      <c r="W2" s="107" t="s">
        <v>77</v>
      </c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9"/>
      <c r="AM2" s="107" t="s">
        <v>78</v>
      </c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3"/>
      <c r="BC2" s="107" t="s">
        <v>79</v>
      </c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3"/>
    </row>
    <row r="3" spans="4:68" ht="9.75" customHeight="1" thickBot="1" x14ac:dyDescent="0.4">
      <c r="W3" s="110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2"/>
      <c r="AM3" s="124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6"/>
      <c r="BC3" s="124"/>
      <c r="BD3" s="125"/>
      <c r="BE3" s="125"/>
      <c r="BF3" s="125"/>
      <c r="BG3" s="125"/>
      <c r="BH3" s="125"/>
      <c r="BI3" s="125"/>
      <c r="BJ3" s="125"/>
      <c r="BK3" s="125"/>
      <c r="BL3" s="125"/>
      <c r="BM3" s="125"/>
      <c r="BN3" s="125"/>
      <c r="BO3" s="125"/>
      <c r="BP3" s="126"/>
    </row>
    <row r="4" spans="4:68" ht="9.75" customHeight="1" x14ac:dyDescent="0.35">
      <c r="W4" s="113">
        <f>COUNTA(TB_Produtos[Estoque])</f>
        <v>39</v>
      </c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5"/>
      <c r="AM4" s="113">
        <f>SUM(TB_Vendas[Qtd])</f>
        <v>131</v>
      </c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5"/>
      <c r="BC4" s="140">
        <f>SUM(TB_Vendas[Total])</f>
        <v>15963.659999999998</v>
      </c>
      <c r="BD4" s="141"/>
      <c r="BE4" s="141"/>
      <c r="BF4" s="141"/>
      <c r="BG4" s="141"/>
      <c r="BH4" s="141"/>
      <c r="BI4" s="141"/>
      <c r="BJ4" s="141"/>
      <c r="BK4" s="141"/>
      <c r="BL4" s="141"/>
      <c r="BM4" s="141"/>
      <c r="BN4" s="141"/>
      <c r="BO4" s="141"/>
      <c r="BP4" s="142"/>
    </row>
    <row r="5" spans="4:68" ht="9.75" customHeight="1" x14ac:dyDescent="0.35">
      <c r="W5" s="116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8"/>
      <c r="AM5" s="116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8"/>
      <c r="BC5" s="143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144"/>
      <c r="BO5" s="144"/>
      <c r="BP5" s="145"/>
    </row>
    <row r="6" spans="4:68" ht="9.75" customHeight="1" x14ac:dyDescent="0.35">
      <c r="W6" s="116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8"/>
      <c r="AM6" s="116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8"/>
      <c r="BC6" s="143"/>
      <c r="BD6" s="144"/>
      <c r="BE6" s="144"/>
      <c r="BF6" s="144"/>
      <c r="BG6" s="144"/>
      <c r="BH6" s="144"/>
      <c r="BI6" s="144"/>
      <c r="BJ6" s="144"/>
      <c r="BK6" s="144"/>
      <c r="BL6" s="144"/>
      <c r="BM6" s="144"/>
      <c r="BN6" s="144"/>
      <c r="BO6" s="144"/>
      <c r="BP6" s="145"/>
    </row>
    <row r="7" spans="4:68" ht="9.75" customHeight="1" thickBot="1" x14ac:dyDescent="0.4">
      <c r="W7" s="119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1"/>
      <c r="AM7" s="119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1"/>
      <c r="BC7" s="146"/>
      <c r="BD7" s="147"/>
      <c r="BE7" s="147"/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48"/>
    </row>
    <row r="8" spans="4:68" ht="9.75" customHeight="1" thickBot="1" x14ac:dyDescent="0.4"/>
    <row r="9" spans="4:68" ht="9.75" customHeight="1" x14ac:dyDescent="0.35">
      <c r="D9" s="87" t="s">
        <v>80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9"/>
    </row>
    <row r="10" spans="4:68" ht="9.75" customHeight="1" thickBot="1" x14ac:dyDescent="0.4">
      <c r="D10" s="90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2"/>
    </row>
    <row r="11" spans="4:68" ht="9.75" customHeight="1" x14ac:dyDescent="0.3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100"/>
    </row>
    <row r="12" spans="4:68" ht="9.75" customHeight="1" x14ac:dyDescent="0.35">
      <c r="D12" s="101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3"/>
    </row>
    <row r="13" spans="4:68" ht="9.75" customHeight="1" x14ac:dyDescent="0.35">
      <c r="D13" s="101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3"/>
    </row>
    <row r="14" spans="4:68" ht="9.75" customHeight="1" x14ac:dyDescent="0.35">
      <c r="D14" s="101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3"/>
    </row>
    <row r="15" spans="4:68" ht="9.75" customHeight="1" x14ac:dyDescent="0.35">
      <c r="D15" s="101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3"/>
    </row>
    <row r="16" spans="4:68" ht="9.75" customHeight="1" x14ac:dyDescent="0.35">
      <c r="D16" s="101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3"/>
    </row>
    <row r="17" spans="4:68" ht="9.75" customHeight="1" x14ac:dyDescent="0.35">
      <c r="D17" s="101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3"/>
    </row>
    <row r="18" spans="4:68" ht="9.75" customHeight="1" x14ac:dyDescent="0.35">
      <c r="D18" s="101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3"/>
    </row>
    <row r="19" spans="4:68" ht="9.75" customHeight="1" x14ac:dyDescent="0.35">
      <c r="D19" s="101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3"/>
    </row>
    <row r="20" spans="4:68" ht="9.75" customHeight="1" x14ac:dyDescent="0.35">
      <c r="D20" s="101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3"/>
    </row>
    <row r="21" spans="4:68" ht="9.75" customHeight="1" x14ac:dyDescent="0.35">
      <c r="D21" s="101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3"/>
    </row>
    <row r="22" spans="4:68" ht="9.75" customHeight="1" x14ac:dyDescent="0.35">
      <c r="D22" s="101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3"/>
    </row>
    <row r="23" spans="4:68" ht="9.75" customHeight="1" x14ac:dyDescent="0.35">
      <c r="D23" s="101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3"/>
    </row>
    <row r="24" spans="4:68" ht="9.75" customHeight="1" thickBot="1" x14ac:dyDescent="0.4">
      <c r="D24" s="104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  <c r="BJ24" s="105"/>
      <c r="BK24" s="105"/>
      <c r="BL24" s="105"/>
      <c r="BM24" s="105"/>
      <c r="BN24" s="105"/>
      <c r="BO24" s="105"/>
      <c r="BP24" s="106"/>
    </row>
    <row r="25" spans="4:68" ht="9.75" customHeight="1" thickBot="1" x14ac:dyDescent="0.4"/>
    <row r="26" spans="4:68" ht="9.75" customHeight="1" x14ac:dyDescent="0.35">
      <c r="D26" s="87" t="s">
        <v>81</v>
      </c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4"/>
      <c r="AK26" s="87" t="s">
        <v>82</v>
      </c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4"/>
    </row>
    <row r="27" spans="4:68" ht="9.75" customHeight="1" thickBot="1" x14ac:dyDescent="0.4">
      <c r="D27" s="95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7"/>
      <c r="AK27" s="95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7"/>
    </row>
    <row r="28" spans="4:68" ht="9.75" customHeight="1" x14ac:dyDescent="0.3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100"/>
      <c r="AK28" s="98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100"/>
    </row>
    <row r="29" spans="4:68" ht="9.75" customHeight="1" x14ac:dyDescent="0.35">
      <c r="D29" s="101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3"/>
      <c r="AK29" s="101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3"/>
    </row>
    <row r="30" spans="4:68" ht="9.75" customHeight="1" x14ac:dyDescent="0.35">
      <c r="D30" s="101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3"/>
      <c r="AK30" s="101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3"/>
    </row>
    <row r="31" spans="4:68" ht="9.75" customHeight="1" x14ac:dyDescent="0.35">
      <c r="D31" s="101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3"/>
      <c r="AK31" s="101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3"/>
    </row>
    <row r="32" spans="4:68" ht="9.75" customHeight="1" x14ac:dyDescent="0.35">
      <c r="D32" s="101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3"/>
      <c r="AK32" s="101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3"/>
    </row>
    <row r="33" spans="4:68" ht="9.75" customHeight="1" x14ac:dyDescent="0.35">
      <c r="D33" s="101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3"/>
      <c r="AK33" s="101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3"/>
    </row>
    <row r="34" spans="4:68" ht="9.75" customHeight="1" x14ac:dyDescent="0.35">
      <c r="D34" s="101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3"/>
      <c r="AK34" s="101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3"/>
    </row>
    <row r="35" spans="4:68" ht="9.75" customHeight="1" x14ac:dyDescent="0.35">
      <c r="D35" s="101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3"/>
      <c r="AK35" s="101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3"/>
    </row>
    <row r="36" spans="4:68" ht="9.75" customHeight="1" x14ac:dyDescent="0.35">
      <c r="D36" s="101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3"/>
      <c r="AK36" s="101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3"/>
    </row>
    <row r="37" spans="4:68" ht="9.75" customHeight="1" x14ac:dyDescent="0.35">
      <c r="D37" s="101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3"/>
      <c r="AK37" s="101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3"/>
    </row>
    <row r="38" spans="4:68" ht="9.75" customHeight="1" x14ac:dyDescent="0.35">
      <c r="D38" s="101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3"/>
      <c r="AK38" s="101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3"/>
    </row>
    <row r="39" spans="4:68" ht="9.75" customHeight="1" x14ac:dyDescent="0.35">
      <c r="D39" s="101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3"/>
      <c r="AK39" s="101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3"/>
    </row>
    <row r="40" spans="4:68" ht="9.75" customHeight="1" x14ac:dyDescent="0.35">
      <c r="D40" s="101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3"/>
      <c r="AK40" s="101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3"/>
    </row>
    <row r="41" spans="4:68" ht="9.75" customHeight="1" x14ac:dyDescent="0.35">
      <c r="D41" s="101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3"/>
      <c r="AK41" s="101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3"/>
    </row>
    <row r="42" spans="4:68" ht="9.75" customHeight="1" x14ac:dyDescent="0.35">
      <c r="D42" s="101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3"/>
      <c r="AK42" s="101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02"/>
      <c r="BP42" s="103"/>
    </row>
    <row r="43" spans="4:68" ht="9.75" customHeight="1" x14ac:dyDescent="0.35">
      <c r="D43" s="101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3"/>
      <c r="AK43" s="101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3"/>
    </row>
    <row r="44" spans="4:68" ht="9.75" customHeight="1" x14ac:dyDescent="0.35">
      <c r="D44" s="101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3"/>
      <c r="AK44" s="101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  <c r="BL44" s="102"/>
      <c r="BM44" s="102"/>
      <c r="BN44" s="102"/>
      <c r="BO44" s="102"/>
      <c r="BP44" s="103"/>
    </row>
    <row r="45" spans="4:68" ht="9.75" customHeight="1" x14ac:dyDescent="0.35">
      <c r="D45" s="101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3"/>
      <c r="AK45" s="101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  <c r="BL45" s="102"/>
      <c r="BM45" s="102"/>
      <c r="BN45" s="102"/>
      <c r="BO45" s="102"/>
      <c r="BP45" s="103"/>
    </row>
    <row r="46" spans="4:68" ht="9.75" customHeight="1" x14ac:dyDescent="0.35">
      <c r="D46" s="101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3"/>
      <c r="AK46" s="101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02"/>
      <c r="BP46" s="103"/>
    </row>
    <row r="47" spans="4:68" ht="9.75" customHeight="1" thickBot="1" x14ac:dyDescent="0.4">
      <c r="D47" s="104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6"/>
      <c r="AK47" s="104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05"/>
      <c r="BK47" s="105"/>
      <c r="BL47" s="105"/>
      <c r="BM47" s="105"/>
      <c r="BN47" s="105"/>
      <c r="BO47" s="105"/>
      <c r="BP47" s="106"/>
    </row>
  </sheetData>
  <mergeCells count="12">
    <mergeCell ref="W2:AJ3"/>
    <mergeCell ref="W4:AJ7"/>
    <mergeCell ref="AM2:AZ3"/>
    <mergeCell ref="AM4:AZ7"/>
    <mergeCell ref="BC2:BP3"/>
    <mergeCell ref="BC4:BP7"/>
    <mergeCell ref="D9:BP10"/>
    <mergeCell ref="AK26:BP27"/>
    <mergeCell ref="D26:AH27"/>
    <mergeCell ref="D11:BP24"/>
    <mergeCell ref="AK28:BP47"/>
    <mergeCell ref="D28:AH4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4971-EA13-4253-B652-96CF820B6589}">
  <dimension ref="A1:J4"/>
  <sheetViews>
    <sheetView zoomScale="190" zoomScaleNormal="190" workbookViewId="0">
      <selection activeCell="E2" sqref="E2:G2"/>
    </sheetView>
  </sheetViews>
  <sheetFormatPr defaultRowHeight="15" x14ac:dyDescent="0.25"/>
  <cols>
    <col min="1" max="1" width="20.140625" customWidth="1"/>
    <col min="2" max="3" width="18.28515625" customWidth="1"/>
    <col min="5" max="7" width="18.28515625" customWidth="1"/>
  </cols>
  <sheetData>
    <row r="1" spans="1:10" s="55" customFormat="1" ht="27" customHeight="1" thickBot="1" x14ac:dyDescent="0.55000000000000004">
      <c r="A1" s="127" t="s">
        <v>0</v>
      </c>
      <c r="B1" s="128"/>
      <c r="C1" s="128"/>
      <c r="D1" s="128"/>
      <c r="E1" s="128"/>
      <c r="F1" s="128"/>
      <c r="G1" s="128"/>
    </row>
    <row r="2" spans="1:10" ht="30.75" thickBot="1" x14ac:dyDescent="0.3">
      <c r="A2" s="129" t="s">
        <v>35</v>
      </c>
      <c r="B2" s="130"/>
      <c r="C2" s="131"/>
      <c r="E2" s="129" t="s">
        <v>110</v>
      </c>
      <c r="F2" s="130"/>
      <c r="G2" s="131"/>
      <c r="J2" s="77" t="s">
        <v>122</v>
      </c>
    </row>
    <row r="3" spans="1:10" ht="70.5" customHeight="1" thickBot="1" x14ac:dyDescent="0.3">
      <c r="A3" s="27" t="s">
        <v>36</v>
      </c>
      <c r="B3" s="28" t="s">
        <v>37</v>
      </c>
      <c r="C3" s="29" t="s">
        <v>38</v>
      </c>
      <c r="E3" s="30" t="s">
        <v>36</v>
      </c>
      <c r="F3" s="31" t="s">
        <v>37</v>
      </c>
      <c r="G3" s="32" t="s">
        <v>39</v>
      </c>
    </row>
    <row r="4" spans="1:10" ht="60.75" customHeight="1" thickBot="1" x14ac:dyDescent="0.3">
      <c r="A4" s="37">
        <f>COUNTA(TB_Produtos[Produtos])</f>
        <v>39</v>
      </c>
      <c r="B4" s="36">
        <f>SUM(TB_Produtos[Estoque])</f>
        <v>231</v>
      </c>
      <c r="C4" s="35">
        <f>AVERAGE(TB_Produtos[Estoque])</f>
        <v>5.9230769230769234</v>
      </c>
      <c r="E4" s="33">
        <f>COUNTIF(TB_Produtos[],E2)</f>
        <v>1</v>
      </c>
      <c r="F4" s="34">
        <f ca="1">SUMIF(TB_Produtos[], E2, TB_Produtos[Estoque])</f>
        <v>1</v>
      </c>
      <c r="G4" s="79">
        <f ca="1">AVERAGEIF(TB_Produtos[],E2,TB_Produtos[Estoque])</f>
        <v>1</v>
      </c>
    </row>
  </sheetData>
  <mergeCells count="3">
    <mergeCell ref="A1:G1"/>
    <mergeCell ref="A2:C2"/>
    <mergeCell ref="E2:G2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44C17DA8-BBB9-4C8D-8AFF-4F9E352B1087}">
          <x14:formula1>
            <xm:f>Tabela_Dinâmica!$A$4:$A$21</xm:f>
          </x14:formula1>
          <xm:sqref>E2:G2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128B-E7A3-4960-AC05-47404292EC16}">
  <dimension ref="A2:H10"/>
  <sheetViews>
    <sheetView zoomScale="205" zoomScaleNormal="205" workbookViewId="0">
      <selection activeCell="E5" sqref="E5"/>
    </sheetView>
  </sheetViews>
  <sheetFormatPr defaultRowHeight="15" x14ac:dyDescent="0.25"/>
  <cols>
    <col min="2" max="2" width="11.85546875" customWidth="1"/>
    <col min="3" max="3" width="12.28515625" customWidth="1"/>
    <col min="4" max="4" width="13.7109375" customWidth="1"/>
    <col min="5" max="5" width="18" customWidth="1"/>
    <col min="6" max="6" width="23.85546875" customWidth="1"/>
    <col min="8" max="8" width="15.85546875" customWidth="1"/>
  </cols>
  <sheetData>
    <row r="2" spans="1:8" ht="19.5" thickBot="1" x14ac:dyDescent="0.35">
      <c r="B2" s="42"/>
      <c r="C2" s="42"/>
    </row>
    <row r="3" spans="1:8" ht="20.25" thickTop="1" thickBot="1" x14ac:dyDescent="0.35">
      <c r="A3" s="44"/>
      <c r="B3" s="43" t="s">
        <v>2</v>
      </c>
      <c r="C3" s="43" t="s">
        <v>6</v>
      </c>
    </row>
    <row r="4" spans="1:8" ht="15.75" thickTop="1" x14ac:dyDescent="0.25">
      <c r="B4" s="38" t="s">
        <v>13</v>
      </c>
      <c r="C4" s="48" t="s">
        <v>34</v>
      </c>
    </row>
    <row r="5" spans="1:8" ht="18.75" x14ac:dyDescent="0.3">
      <c r="B5" s="18"/>
      <c r="C5" s="18"/>
      <c r="D5" s="18"/>
      <c r="E5" s="18"/>
      <c r="F5" s="18"/>
      <c r="G5" s="18"/>
      <c r="H5" s="18"/>
    </row>
    <row r="6" spans="1:8" ht="15.75" thickBot="1" x14ac:dyDescent="0.3">
      <c r="C6" s="1"/>
      <c r="E6" s="7"/>
      <c r="F6" s="7"/>
      <c r="G6" s="19"/>
      <c r="H6" s="7"/>
    </row>
    <row r="7" spans="1:8" ht="19.5" thickBot="1" x14ac:dyDescent="0.35">
      <c r="B7" s="45" t="s">
        <v>1</v>
      </c>
      <c r="C7" s="46" t="s">
        <v>2</v>
      </c>
      <c r="D7" s="46" t="s">
        <v>3</v>
      </c>
      <c r="E7" s="46" t="s">
        <v>4</v>
      </c>
      <c r="F7" s="46" t="s">
        <v>5</v>
      </c>
      <c r="G7" s="46" t="s">
        <v>6</v>
      </c>
      <c r="H7" s="47" t="s">
        <v>7</v>
      </c>
    </row>
    <row r="8" spans="1:8" x14ac:dyDescent="0.25">
      <c r="B8" s="40" t="s">
        <v>23</v>
      </c>
      <c r="C8" s="38" t="s">
        <v>13</v>
      </c>
      <c r="D8" s="40" t="s">
        <v>14</v>
      </c>
      <c r="E8" s="41">
        <v>92.9</v>
      </c>
      <c r="F8" s="41">
        <v>83.610000000000014</v>
      </c>
      <c r="G8" s="39">
        <v>6</v>
      </c>
      <c r="H8" s="41">
        <v>501.66000000000008</v>
      </c>
    </row>
    <row r="9" spans="1:8" x14ac:dyDescent="0.25">
      <c r="B9" s="2" t="s">
        <v>25</v>
      </c>
      <c r="C9" s="8" t="s">
        <v>13</v>
      </c>
      <c r="D9" s="2" t="s">
        <v>14</v>
      </c>
      <c r="E9" s="3">
        <v>70.900000000000006</v>
      </c>
      <c r="F9" s="3">
        <v>63.810000000000009</v>
      </c>
      <c r="G9" s="4">
        <v>13</v>
      </c>
      <c r="H9" s="3">
        <v>829.53000000000009</v>
      </c>
    </row>
    <row r="10" spans="1:8" x14ac:dyDescent="0.25">
      <c r="B10" s="2" t="s">
        <v>28</v>
      </c>
      <c r="C10" s="8" t="s">
        <v>13</v>
      </c>
      <c r="D10" s="2" t="s">
        <v>14</v>
      </c>
      <c r="E10" s="3">
        <v>32.9</v>
      </c>
      <c r="F10" s="3">
        <v>29.61</v>
      </c>
      <c r="G10" s="4">
        <v>6</v>
      </c>
      <c r="H10" s="3">
        <v>177.66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A872-9848-4338-9DB1-2B0384AE4846}">
  <dimension ref="A1:F21"/>
  <sheetViews>
    <sheetView workbookViewId="0">
      <selection activeCell="E15" sqref="E15"/>
    </sheetView>
  </sheetViews>
  <sheetFormatPr defaultRowHeight="15" x14ac:dyDescent="0.25"/>
  <cols>
    <col min="1" max="1" width="17.28515625" customWidth="1"/>
    <col min="2" max="2" width="13.140625" customWidth="1"/>
    <col min="5" max="5" width="12.5703125" bestFit="1" customWidth="1"/>
    <col min="6" max="6" width="12.42578125" bestFit="1" customWidth="1"/>
  </cols>
  <sheetData>
    <row r="1" spans="1:6" ht="18.75" x14ac:dyDescent="0.3">
      <c r="A1" s="6"/>
      <c r="B1" s="6"/>
    </row>
    <row r="2" spans="1:6" ht="15.75" thickBot="1" x14ac:dyDescent="0.3">
      <c r="B2" s="17"/>
    </row>
    <row r="3" spans="1:6" x14ac:dyDescent="0.25">
      <c r="B3" s="17"/>
      <c r="E3" s="49" t="s">
        <v>1</v>
      </c>
      <c r="F3" s="54" t="s">
        <v>32</v>
      </c>
    </row>
    <row r="4" spans="1:6" x14ac:dyDescent="0.25">
      <c r="B4" s="17"/>
      <c r="E4" s="50" t="s">
        <v>25</v>
      </c>
      <c r="F4" s="51">
        <v>40</v>
      </c>
    </row>
    <row r="5" spans="1:6" x14ac:dyDescent="0.25">
      <c r="B5" s="17"/>
      <c r="E5" s="50" t="s">
        <v>31</v>
      </c>
      <c r="F5" s="51">
        <v>1</v>
      </c>
    </row>
    <row r="6" spans="1:6" x14ac:dyDescent="0.25">
      <c r="B6" s="17"/>
      <c r="E6" s="50" t="s">
        <v>22</v>
      </c>
      <c r="F6" s="51">
        <v>11</v>
      </c>
    </row>
    <row r="7" spans="1:6" x14ac:dyDescent="0.25">
      <c r="B7" s="17"/>
      <c r="E7" s="50" t="s">
        <v>30</v>
      </c>
      <c r="F7" s="51">
        <v>19</v>
      </c>
    </row>
    <row r="8" spans="1:6" x14ac:dyDescent="0.25">
      <c r="B8" s="17"/>
      <c r="E8" s="50" t="s">
        <v>28</v>
      </c>
      <c r="F8" s="51">
        <v>28</v>
      </c>
    </row>
    <row r="9" spans="1:6" x14ac:dyDescent="0.25">
      <c r="B9" s="17"/>
      <c r="E9" s="50" t="s">
        <v>27</v>
      </c>
      <c r="F9" s="51">
        <v>21</v>
      </c>
    </row>
    <row r="10" spans="1:6" x14ac:dyDescent="0.25">
      <c r="B10" s="17"/>
      <c r="E10" s="50" t="s">
        <v>19</v>
      </c>
      <c r="F10" s="51">
        <v>4</v>
      </c>
    </row>
    <row r="11" spans="1:6" x14ac:dyDescent="0.25">
      <c r="B11" s="17"/>
      <c r="E11" s="50" t="s">
        <v>9</v>
      </c>
      <c r="F11" s="51">
        <v>3</v>
      </c>
    </row>
    <row r="12" spans="1:6" x14ac:dyDescent="0.25">
      <c r="B12" s="17"/>
      <c r="E12" s="50" t="s">
        <v>16</v>
      </c>
      <c r="F12" s="51">
        <v>3</v>
      </c>
    </row>
    <row r="13" spans="1:6" x14ac:dyDescent="0.25">
      <c r="B13" s="17"/>
      <c r="E13" s="50" t="s">
        <v>21</v>
      </c>
      <c r="F13" s="51">
        <v>2</v>
      </c>
    </row>
    <row r="14" spans="1:6" ht="15.75" thickBot="1" x14ac:dyDescent="0.3">
      <c r="B14" s="17"/>
      <c r="D14" s="21"/>
      <c r="E14" s="52" t="s">
        <v>33</v>
      </c>
      <c r="F14" s="53">
        <v>132</v>
      </c>
    </row>
    <row r="15" spans="1:6" x14ac:dyDescent="0.25">
      <c r="B15" s="17"/>
    </row>
    <row r="16" spans="1:6" x14ac:dyDescent="0.25">
      <c r="B16" s="17"/>
    </row>
    <row r="17" spans="2:2" x14ac:dyDescent="0.25">
      <c r="B17" s="17"/>
    </row>
    <row r="18" spans="2:2" x14ac:dyDescent="0.25">
      <c r="B18" s="17"/>
    </row>
    <row r="19" spans="2:2" x14ac:dyDescent="0.25">
      <c r="B19" s="17"/>
    </row>
    <row r="20" spans="2:2" x14ac:dyDescent="0.25">
      <c r="B20" s="17"/>
    </row>
    <row r="21" spans="2:2" x14ac:dyDescent="0.25">
      <c r="B21" s="17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16F11-B7A4-41E7-A728-6F35C82817AD}">
  <dimension ref="A3:A22"/>
  <sheetViews>
    <sheetView workbookViewId="0">
      <selection activeCell="A3" sqref="A3"/>
    </sheetView>
  </sheetViews>
  <sheetFormatPr defaultRowHeight="15" x14ac:dyDescent="0.25"/>
  <cols>
    <col min="1" max="1" width="19.42578125" bestFit="1" customWidth="1"/>
  </cols>
  <sheetData>
    <row r="3" spans="1:1" x14ac:dyDescent="0.25">
      <c r="A3" s="78" t="s">
        <v>123</v>
      </c>
    </row>
    <row r="4" spans="1:1" x14ac:dyDescent="0.25">
      <c r="A4" s="14" t="s">
        <v>25</v>
      </c>
    </row>
    <row r="5" spans="1:1" x14ac:dyDescent="0.25">
      <c r="A5" s="14" t="s">
        <v>109</v>
      </c>
    </row>
    <row r="6" spans="1:1" x14ac:dyDescent="0.25">
      <c r="A6" s="14" t="s">
        <v>110</v>
      </c>
    </row>
    <row r="7" spans="1:1" x14ac:dyDescent="0.25">
      <c r="A7" s="14" t="s">
        <v>22</v>
      </c>
    </row>
    <row r="8" spans="1:1" x14ac:dyDescent="0.25">
      <c r="A8" s="14" t="s">
        <v>40</v>
      </c>
    </row>
    <row r="9" spans="1:1" x14ac:dyDescent="0.25">
      <c r="A9" s="14" t="s">
        <v>111</v>
      </c>
    </row>
    <row r="10" spans="1:1" x14ac:dyDescent="0.25">
      <c r="A10" s="14" t="s">
        <v>112</v>
      </c>
    </row>
    <row r="11" spans="1:1" x14ac:dyDescent="0.25">
      <c r="A11" s="14" t="s">
        <v>28</v>
      </c>
    </row>
    <row r="12" spans="1:1" x14ac:dyDescent="0.25">
      <c r="A12" s="14" t="s">
        <v>113</v>
      </c>
    </row>
    <row r="13" spans="1:1" x14ac:dyDescent="0.25">
      <c r="A13" s="14" t="s">
        <v>27</v>
      </c>
    </row>
    <row r="14" spans="1:1" x14ac:dyDescent="0.25">
      <c r="A14" s="14" t="s">
        <v>12</v>
      </c>
    </row>
    <row r="15" spans="1:1" x14ac:dyDescent="0.25">
      <c r="A15" s="14" t="s">
        <v>114</v>
      </c>
    </row>
    <row r="16" spans="1:1" x14ac:dyDescent="0.25">
      <c r="A16" s="14" t="s">
        <v>115</v>
      </c>
    </row>
    <row r="17" spans="1:1" x14ac:dyDescent="0.25">
      <c r="A17" s="14" t="s">
        <v>116</v>
      </c>
    </row>
    <row r="18" spans="1:1" x14ac:dyDescent="0.25">
      <c r="A18" s="14" t="s">
        <v>117</v>
      </c>
    </row>
    <row r="19" spans="1:1" x14ac:dyDescent="0.25">
      <c r="A19" s="14" t="s">
        <v>118</v>
      </c>
    </row>
    <row r="20" spans="1:1" x14ac:dyDescent="0.25">
      <c r="A20" s="14" t="s">
        <v>119</v>
      </c>
    </row>
    <row r="21" spans="1:1" x14ac:dyDescent="0.25">
      <c r="A21" s="14" t="s">
        <v>120</v>
      </c>
    </row>
    <row r="22" spans="1:1" x14ac:dyDescent="0.25">
      <c r="A22" s="14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343B-78D7-4970-BDD5-BAB39C4C3C7E}">
  <dimension ref="A1:N7"/>
  <sheetViews>
    <sheetView topLeftCell="C1" zoomScale="175" zoomScaleNormal="175" workbookViewId="0">
      <selection activeCell="M8" sqref="M8"/>
    </sheetView>
  </sheetViews>
  <sheetFormatPr defaultRowHeight="15" x14ac:dyDescent="0.25"/>
  <cols>
    <col min="1" max="3" width="16.85546875" customWidth="1"/>
    <col min="4" max="4" width="18.140625" style="66" customWidth="1"/>
    <col min="5" max="5" width="1.42578125" customWidth="1"/>
    <col min="8" max="8" width="12.7109375" customWidth="1"/>
    <col min="10" max="10" width="1.85546875" customWidth="1"/>
    <col min="11" max="11" width="10.42578125" bestFit="1" customWidth="1"/>
    <col min="12" max="12" width="11.42578125" customWidth="1"/>
    <col min="13" max="13" width="11.7109375" customWidth="1"/>
  </cols>
  <sheetData>
    <row r="1" spans="1:14" x14ac:dyDescent="0.25">
      <c r="A1" s="70" t="s">
        <v>91</v>
      </c>
      <c r="B1" s="70" t="s">
        <v>124</v>
      </c>
      <c r="C1" s="70" t="s">
        <v>101</v>
      </c>
      <c r="D1" s="149" t="s">
        <v>85</v>
      </c>
      <c r="F1" s="72" t="s">
        <v>92</v>
      </c>
      <c r="G1" s="72" t="s">
        <v>93</v>
      </c>
      <c r="H1" s="72" t="s">
        <v>85</v>
      </c>
      <c r="I1" s="72" t="s">
        <v>6</v>
      </c>
      <c r="K1" s="72" t="s">
        <v>3</v>
      </c>
      <c r="L1" s="72" t="s">
        <v>100</v>
      </c>
      <c r="M1" s="72" t="s">
        <v>101</v>
      </c>
      <c r="N1" s="72" t="s">
        <v>85</v>
      </c>
    </row>
    <row r="2" spans="1:14" x14ac:dyDescent="0.25">
      <c r="A2" s="2" t="s">
        <v>89</v>
      </c>
      <c r="B2" s="75">
        <f>D2/SUM($D$2:$D$4)</f>
        <v>0.38227135882372842</v>
      </c>
      <c r="C2" s="76">
        <f>1-B2</f>
        <v>0.61772864117627158</v>
      </c>
      <c r="D2" s="71">
        <f>SUMIF(TB_Vendas[Vendedor],A2,TB_Vendas[Total])</f>
        <v>6102.4500000000007</v>
      </c>
      <c r="F2" s="73">
        <v>1</v>
      </c>
      <c r="G2" s="73" t="s">
        <v>94</v>
      </c>
      <c r="H2" s="74">
        <f>SUMIF(TB_Vendas[Mês],F2,TB_Vendas[Total])</f>
        <v>2017.2600000000002</v>
      </c>
      <c r="I2" s="73">
        <f>SUMIF(TB_Vendas[Mês],F2,TB_Vendas[Qtd])</f>
        <v>14</v>
      </c>
      <c r="K2" s="2" t="s">
        <v>11</v>
      </c>
      <c r="L2" s="75">
        <f>N2/SUM($N$2:$N$4)</f>
        <v>0.14733839232356494</v>
      </c>
      <c r="M2" s="76">
        <f>1-L2</f>
        <v>0.85266160767643506</v>
      </c>
      <c r="N2" s="2">
        <f>SUMIF(TB_Vendas[Categoria],K2,TB_Vendas[Total])</f>
        <v>2352.06</v>
      </c>
    </row>
    <row r="3" spans="1:14" x14ac:dyDescent="0.25">
      <c r="A3" s="2" t="s">
        <v>87</v>
      </c>
      <c r="B3" s="75">
        <f t="shared" ref="B3:B4" si="0">D3/SUM($D$2:$D$4)</f>
        <v>0.28612987247285399</v>
      </c>
      <c r="C3" s="76">
        <f t="shared" ref="C3:C4" si="1">1-B3</f>
        <v>0.71387012752714596</v>
      </c>
      <c r="D3" s="71">
        <f>SUMIF(TB_Vendas[Vendedor],A3,TB_Vendas[Total])</f>
        <v>4567.68</v>
      </c>
      <c r="F3" s="73">
        <v>2</v>
      </c>
      <c r="G3" s="73" t="s">
        <v>95</v>
      </c>
      <c r="H3" s="74">
        <f>SUMIF(TB_Vendas[Mês],F3,TB_Vendas[Total])</f>
        <v>2336.13</v>
      </c>
      <c r="I3" s="73">
        <f>SUMIF(TB_Vendas[Mês],F3,TB_Vendas[Qtd])</f>
        <v>15</v>
      </c>
      <c r="K3" s="2" t="s">
        <v>88</v>
      </c>
      <c r="L3" s="75">
        <f>N3/SUM($N$2:$N$4)</f>
        <v>0.32123648336283783</v>
      </c>
      <c r="M3" s="76">
        <f>1-L3</f>
        <v>0.67876351663716217</v>
      </c>
      <c r="N3" s="2">
        <f>SUMIF(TB_Vendas[Categoria],K3,TB_Vendas[Total])</f>
        <v>5128.1099999999988</v>
      </c>
    </row>
    <row r="4" spans="1:14" x14ac:dyDescent="0.25">
      <c r="A4" s="2" t="s">
        <v>90</v>
      </c>
      <c r="B4" s="75">
        <f t="shared" si="0"/>
        <v>0.33159876870341759</v>
      </c>
      <c r="C4" s="76">
        <f t="shared" si="1"/>
        <v>0.66840123129658235</v>
      </c>
      <c r="D4" s="71">
        <f>SUMIF(TB_Vendas[Vendedor],A4,TB_Vendas[Total])</f>
        <v>5293.5299999999988</v>
      </c>
      <c r="F4" s="73">
        <v>3</v>
      </c>
      <c r="G4" s="73" t="s">
        <v>96</v>
      </c>
      <c r="H4" s="74">
        <f>SUMIF(TB_Vendas[Mês],F4,TB_Vendas[Total])</f>
        <v>3099.24</v>
      </c>
      <c r="I4" s="73">
        <f>SUMIF(TB_Vendas[Mês],F4,TB_Vendas[Qtd])</f>
        <v>26</v>
      </c>
      <c r="K4" s="2" t="s">
        <v>14</v>
      </c>
      <c r="L4" s="75">
        <f>N4/SUM($N$2:$N$4)</f>
        <v>0.53142512431359723</v>
      </c>
      <c r="M4" s="76">
        <f>1-L4</f>
        <v>0.46857487568640277</v>
      </c>
      <c r="N4" s="2">
        <f>SUMIF(TB_Vendas[Categoria],K4,TB_Vendas[Total])</f>
        <v>8483.489999999998</v>
      </c>
    </row>
    <row r="5" spans="1:14" x14ac:dyDescent="0.25">
      <c r="F5" s="73">
        <v>4</v>
      </c>
      <c r="G5" s="73" t="s">
        <v>97</v>
      </c>
      <c r="H5" s="74">
        <f>SUMIF(TB_Vendas[Mês],F5,TB_Vendas[Total])</f>
        <v>3649.1400000000003</v>
      </c>
      <c r="I5" s="73">
        <f>SUMIF(TB_Vendas[Mês],F5,TB_Vendas[Qtd])</f>
        <v>28</v>
      </c>
    </row>
    <row r="6" spans="1:14" x14ac:dyDescent="0.25">
      <c r="F6" s="73">
        <v>5</v>
      </c>
      <c r="G6" s="73" t="s">
        <v>98</v>
      </c>
      <c r="H6" s="74">
        <f>SUMIF(TB_Vendas[Mês],F6,TB_Vendas[Total])</f>
        <v>1727.1899999999998</v>
      </c>
      <c r="I6" s="73">
        <f>SUMIF(TB_Vendas[Mês],F6,TB_Vendas[Qtd])</f>
        <v>17</v>
      </c>
    </row>
    <row r="7" spans="1:14" x14ac:dyDescent="0.25">
      <c r="F7" s="73">
        <v>6</v>
      </c>
      <c r="G7" s="73" t="s">
        <v>99</v>
      </c>
      <c r="H7" s="74">
        <f>SUMIF(TB_Vendas[Mês],F7,TB_Vendas[Total])</f>
        <v>3134.7000000000003</v>
      </c>
      <c r="I7" s="73">
        <f>SUMIF(TB_Vendas[Mês],F7,TB_Vendas[Qtd])</f>
        <v>31</v>
      </c>
    </row>
  </sheetData>
  <phoneticPr fontId="2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84EE-9D64-480B-8D13-D6B6A45493F6}">
  <dimension ref="A1:K26"/>
  <sheetViews>
    <sheetView zoomScale="145" zoomScaleNormal="145" workbookViewId="0">
      <selection activeCell="G25" sqref="G25"/>
    </sheetView>
  </sheetViews>
  <sheetFormatPr defaultRowHeight="15" x14ac:dyDescent="0.25"/>
  <cols>
    <col min="1" max="1" width="13.28515625" customWidth="1"/>
    <col min="2" max="2" width="11.42578125" customWidth="1"/>
    <col min="3" max="3" width="12.140625" customWidth="1"/>
    <col min="4" max="4" width="17" customWidth="1"/>
    <col min="5" max="5" width="23.85546875" customWidth="1"/>
    <col min="6" max="6" width="10.85546875" customWidth="1"/>
    <col min="7" max="7" width="22" customWidth="1"/>
    <col min="9" max="9" width="11.42578125" customWidth="1"/>
  </cols>
  <sheetData>
    <row r="1" spans="1:9" ht="24.75" customHeight="1" x14ac:dyDescent="0.6">
      <c r="A1" s="138" t="s">
        <v>0</v>
      </c>
      <c r="B1" s="139"/>
      <c r="C1" s="139"/>
      <c r="D1" s="139"/>
      <c r="E1" s="139"/>
      <c r="F1" s="139"/>
      <c r="G1" s="139"/>
    </row>
    <row r="2" spans="1:9" ht="3.75" customHeight="1" x14ac:dyDescent="0.25">
      <c r="A2" s="23"/>
      <c r="B2" s="23"/>
      <c r="C2" s="23"/>
      <c r="D2" s="23"/>
      <c r="E2" s="23"/>
      <c r="F2" s="23"/>
      <c r="G2" s="23"/>
    </row>
    <row r="3" spans="1:9" ht="18.75" x14ac:dyDescent="0.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I3" s="15" t="s">
        <v>8</v>
      </c>
    </row>
    <row r="4" spans="1:9" x14ac:dyDescent="0.25">
      <c r="A4" s="2" t="s">
        <v>27</v>
      </c>
      <c r="B4" s="8" t="s">
        <v>10</v>
      </c>
      <c r="C4" s="2" t="s">
        <v>11</v>
      </c>
      <c r="D4" s="3">
        <v>49.9</v>
      </c>
      <c r="E4" s="3">
        <f t="shared" ref="E4:E23" si="0">D4*(1-$I$4)</f>
        <v>44.91</v>
      </c>
      <c r="F4" s="4">
        <v>21</v>
      </c>
      <c r="G4" s="3">
        <f t="shared" ref="G4:G23" si="1">E4*F4</f>
        <v>943.1099999999999</v>
      </c>
      <c r="I4" s="20">
        <v>0.1</v>
      </c>
    </row>
    <row r="5" spans="1:9" x14ac:dyDescent="0.25">
      <c r="A5" s="2" t="s">
        <v>25</v>
      </c>
      <c r="B5" s="8" t="s">
        <v>15</v>
      </c>
      <c r="C5" s="2" t="s">
        <v>14</v>
      </c>
      <c r="D5" s="3">
        <v>69.900000000000006</v>
      </c>
      <c r="E5" s="3">
        <f t="shared" si="0"/>
        <v>62.910000000000004</v>
      </c>
      <c r="F5" s="4">
        <v>15</v>
      </c>
      <c r="G5" s="3">
        <f t="shared" si="1"/>
        <v>943.65000000000009</v>
      </c>
    </row>
    <row r="6" spans="1:9" x14ac:dyDescent="0.25">
      <c r="A6" s="2" t="s">
        <v>25</v>
      </c>
      <c r="B6" s="8" t="s">
        <v>13</v>
      </c>
      <c r="C6" s="2" t="s">
        <v>14</v>
      </c>
      <c r="D6" s="3">
        <v>70.900000000000006</v>
      </c>
      <c r="E6" s="3">
        <f t="shared" si="0"/>
        <v>63.810000000000009</v>
      </c>
      <c r="F6" s="4">
        <v>13</v>
      </c>
      <c r="G6" s="3">
        <f t="shared" si="1"/>
        <v>829.53000000000009</v>
      </c>
    </row>
    <row r="7" spans="1:9" x14ac:dyDescent="0.25">
      <c r="A7" s="2" t="s">
        <v>25</v>
      </c>
      <c r="B7" s="8" t="s">
        <v>20</v>
      </c>
      <c r="C7" s="2" t="s">
        <v>14</v>
      </c>
      <c r="D7" s="3">
        <v>65.900000000000006</v>
      </c>
      <c r="E7" s="3">
        <f t="shared" si="0"/>
        <v>59.310000000000009</v>
      </c>
      <c r="F7" s="4">
        <v>12</v>
      </c>
      <c r="G7" s="3">
        <f t="shared" si="1"/>
        <v>711.72000000000014</v>
      </c>
    </row>
    <row r="8" spans="1:9" x14ac:dyDescent="0.25">
      <c r="A8" s="2" t="s">
        <v>28</v>
      </c>
      <c r="B8" s="8" t="s">
        <v>20</v>
      </c>
      <c r="C8" s="2" t="s">
        <v>14</v>
      </c>
      <c r="D8" s="3">
        <v>25.9</v>
      </c>
      <c r="E8" s="3">
        <f t="shared" si="0"/>
        <v>23.31</v>
      </c>
      <c r="F8" s="4">
        <v>12</v>
      </c>
      <c r="G8" s="3">
        <f t="shared" si="1"/>
        <v>279.71999999999997</v>
      </c>
    </row>
    <row r="9" spans="1:9" x14ac:dyDescent="0.25">
      <c r="A9" s="2" t="s">
        <v>22</v>
      </c>
      <c r="B9" s="8" t="s">
        <v>10</v>
      </c>
      <c r="C9" s="2" t="s">
        <v>11</v>
      </c>
      <c r="D9" s="3">
        <v>139.9</v>
      </c>
      <c r="E9" s="3">
        <f t="shared" si="0"/>
        <v>125.91000000000001</v>
      </c>
      <c r="F9" s="4">
        <v>11</v>
      </c>
      <c r="G9" s="3">
        <f t="shared" si="1"/>
        <v>1385.0100000000002</v>
      </c>
    </row>
    <row r="10" spans="1:9" x14ac:dyDescent="0.25">
      <c r="A10" s="2" t="s">
        <v>28</v>
      </c>
      <c r="B10" s="8" t="s">
        <v>15</v>
      </c>
      <c r="C10" s="2" t="s">
        <v>14</v>
      </c>
      <c r="D10" s="3">
        <v>29.9</v>
      </c>
      <c r="E10" s="3">
        <f t="shared" si="0"/>
        <v>26.91</v>
      </c>
      <c r="F10" s="4">
        <v>10</v>
      </c>
      <c r="G10" s="3">
        <f t="shared" si="1"/>
        <v>269.10000000000002</v>
      </c>
    </row>
    <row r="11" spans="1:9" x14ac:dyDescent="0.25">
      <c r="A11" s="2" t="s">
        <v>24</v>
      </c>
      <c r="B11" s="8" t="s">
        <v>20</v>
      </c>
      <c r="C11" s="2" t="s">
        <v>14</v>
      </c>
      <c r="D11" s="3">
        <v>85.9</v>
      </c>
      <c r="E11" s="3">
        <f t="shared" si="0"/>
        <v>77.31</v>
      </c>
      <c r="F11" s="4">
        <v>8</v>
      </c>
      <c r="G11" s="3">
        <f t="shared" si="1"/>
        <v>618.48</v>
      </c>
    </row>
    <row r="12" spans="1:9" x14ac:dyDescent="0.25">
      <c r="A12" s="2" t="s">
        <v>23</v>
      </c>
      <c r="B12" s="8" t="s">
        <v>13</v>
      </c>
      <c r="C12" s="2" t="s">
        <v>14</v>
      </c>
      <c r="D12" s="3">
        <v>92.9</v>
      </c>
      <c r="E12" s="3">
        <f t="shared" si="0"/>
        <v>83.610000000000014</v>
      </c>
      <c r="F12" s="4">
        <v>6</v>
      </c>
      <c r="G12" s="3">
        <f t="shared" si="1"/>
        <v>501.66000000000008</v>
      </c>
    </row>
    <row r="13" spans="1:9" x14ac:dyDescent="0.25">
      <c r="A13" s="2" t="s">
        <v>28</v>
      </c>
      <c r="B13" s="8" t="s">
        <v>13</v>
      </c>
      <c r="C13" s="2" t="s">
        <v>14</v>
      </c>
      <c r="D13" s="3">
        <v>32.9</v>
      </c>
      <c r="E13" s="3">
        <f t="shared" si="0"/>
        <v>29.61</v>
      </c>
      <c r="F13" s="4">
        <v>6</v>
      </c>
      <c r="G13" s="3">
        <f t="shared" si="1"/>
        <v>177.66</v>
      </c>
    </row>
    <row r="14" spans="1:9" x14ac:dyDescent="0.25">
      <c r="A14" s="2" t="s">
        <v>23</v>
      </c>
      <c r="B14" s="8" t="s">
        <v>15</v>
      </c>
      <c r="C14" s="2" t="s">
        <v>14</v>
      </c>
      <c r="D14" s="3">
        <v>89.9</v>
      </c>
      <c r="E14" s="3">
        <f t="shared" si="0"/>
        <v>80.910000000000011</v>
      </c>
      <c r="F14" s="4">
        <v>5</v>
      </c>
      <c r="G14" s="3">
        <f t="shared" si="1"/>
        <v>404.55000000000007</v>
      </c>
    </row>
    <row r="15" spans="1:9" x14ac:dyDescent="0.25">
      <c r="A15" s="2" t="s">
        <v>9</v>
      </c>
      <c r="B15" s="8" t="s">
        <v>10</v>
      </c>
      <c r="C15" s="2" t="s">
        <v>11</v>
      </c>
      <c r="D15" s="3">
        <v>399.9</v>
      </c>
      <c r="E15" s="3">
        <f t="shared" si="0"/>
        <v>359.90999999999997</v>
      </c>
      <c r="F15" s="4">
        <v>3</v>
      </c>
      <c r="G15" s="3">
        <f t="shared" si="1"/>
        <v>1079.73</v>
      </c>
    </row>
    <row r="16" spans="1:9" x14ac:dyDescent="0.25">
      <c r="A16" s="2" t="s">
        <v>12</v>
      </c>
      <c r="B16" s="8" t="s">
        <v>15</v>
      </c>
      <c r="C16" s="2" t="s">
        <v>14</v>
      </c>
      <c r="D16" s="3">
        <v>259.89999999999998</v>
      </c>
      <c r="E16" s="3">
        <f t="shared" si="0"/>
        <v>233.91</v>
      </c>
      <c r="F16" s="4">
        <v>2</v>
      </c>
      <c r="G16" s="3">
        <f t="shared" si="1"/>
        <v>467.82</v>
      </c>
    </row>
    <row r="17" spans="1:11" x14ac:dyDescent="0.25">
      <c r="A17" s="2" t="s">
        <v>16</v>
      </c>
      <c r="B17" s="8">
        <v>36</v>
      </c>
      <c r="C17" s="2" t="s">
        <v>17</v>
      </c>
      <c r="D17" s="3">
        <v>199.9</v>
      </c>
      <c r="E17" s="3">
        <f t="shared" si="0"/>
        <v>179.91</v>
      </c>
      <c r="F17" s="4">
        <v>2</v>
      </c>
      <c r="G17" s="3">
        <f t="shared" si="1"/>
        <v>359.82</v>
      </c>
    </row>
    <row r="18" spans="1:11" x14ac:dyDescent="0.25">
      <c r="A18" s="2" t="s">
        <v>21</v>
      </c>
      <c r="B18" s="8" t="s">
        <v>10</v>
      </c>
      <c r="C18" s="2" t="s">
        <v>14</v>
      </c>
      <c r="D18" s="3">
        <v>149.9</v>
      </c>
      <c r="E18" s="3">
        <f t="shared" si="0"/>
        <v>134.91</v>
      </c>
      <c r="F18" s="4">
        <v>2</v>
      </c>
      <c r="G18" s="3">
        <f t="shared" si="1"/>
        <v>269.82</v>
      </c>
    </row>
    <row r="19" spans="1:11" x14ac:dyDescent="0.25">
      <c r="A19" s="2" t="s">
        <v>12</v>
      </c>
      <c r="B19" s="8" t="s">
        <v>13</v>
      </c>
      <c r="C19" s="2" t="s">
        <v>14</v>
      </c>
      <c r="D19" s="3">
        <v>299.89999999999998</v>
      </c>
      <c r="E19" s="3">
        <f t="shared" si="0"/>
        <v>269.90999999999997</v>
      </c>
      <c r="F19" s="4">
        <v>1</v>
      </c>
      <c r="G19" s="3">
        <f t="shared" si="1"/>
        <v>269.90999999999997</v>
      </c>
      <c r="K19" t="s">
        <v>26</v>
      </c>
    </row>
    <row r="20" spans="1:11" x14ac:dyDescent="0.25">
      <c r="A20" s="2" t="s">
        <v>18</v>
      </c>
      <c r="B20" s="8" t="s">
        <v>10</v>
      </c>
      <c r="C20" s="2" t="s">
        <v>11</v>
      </c>
      <c r="D20" s="3">
        <v>259.89999999999998</v>
      </c>
      <c r="E20" s="3">
        <f t="shared" si="0"/>
        <v>233.91</v>
      </c>
      <c r="F20" s="4">
        <v>1</v>
      </c>
      <c r="G20" s="3">
        <f t="shared" si="1"/>
        <v>233.91</v>
      </c>
    </row>
    <row r="21" spans="1:11" x14ac:dyDescent="0.25">
      <c r="A21" s="2" t="s">
        <v>19</v>
      </c>
      <c r="B21" s="8" t="s">
        <v>20</v>
      </c>
      <c r="C21" s="2" t="s">
        <v>14</v>
      </c>
      <c r="D21" s="3">
        <v>249.9</v>
      </c>
      <c r="E21" s="3">
        <f t="shared" si="0"/>
        <v>224.91</v>
      </c>
      <c r="F21" s="4">
        <v>1</v>
      </c>
      <c r="G21" s="3">
        <f t="shared" si="1"/>
        <v>224.91</v>
      </c>
    </row>
    <row r="22" spans="1:11" x14ac:dyDescent="0.25">
      <c r="A22" s="2" t="s">
        <v>16</v>
      </c>
      <c r="B22" s="8">
        <v>37</v>
      </c>
      <c r="C22" s="2" t="s">
        <v>17</v>
      </c>
      <c r="D22" s="3">
        <v>249.9</v>
      </c>
      <c r="E22" s="3">
        <f t="shared" si="0"/>
        <v>224.91</v>
      </c>
      <c r="F22" s="4">
        <v>1</v>
      </c>
      <c r="G22" s="3">
        <f t="shared" si="1"/>
        <v>224.91</v>
      </c>
    </row>
    <row r="23" spans="1:11" ht="14.25" customHeight="1" x14ac:dyDescent="0.25">
      <c r="A23" s="9" t="s">
        <v>16</v>
      </c>
      <c r="B23" s="10">
        <v>38</v>
      </c>
      <c r="C23" s="9" t="s">
        <v>17</v>
      </c>
      <c r="D23" s="11">
        <v>259.89999999999998</v>
      </c>
      <c r="E23" s="3">
        <f t="shared" si="0"/>
        <v>233.91</v>
      </c>
      <c r="F23" s="12">
        <v>0</v>
      </c>
      <c r="G23" s="3">
        <f t="shared" si="1"/>
        <v>0</v>
      </c>
    </row>
    <row r="24" spans="1:11" ht="6" customHeight="1" x14ac:dyDescent="0.25">
      <c r="A24" s="22"/>
      <c r="B24" s="23"/>
      <c r="C24" s="24"/>
      <c r="D24" s="25"/>
      <c r="E24" s="25"/>
      <c r="F24" s="26"/>
      <c r="G24" s="25"/>
    </row>
    <row r="25" spans="1:11" ht="15.75" x14ac:dyDescent="0.25">
      <c r="A25" s="132" t="s">
        <v>29</v>
      </c>
      <c r="B25" s="133"/>
      <c r="C25" s="134"/>
      <c r="D25" s="13">
        <f>SUM(D4:D23)</f>
        <v>3083.0000000000005</v>
      </c>
      <c r="E25" s="13">
        <f>SUM(E4:E23)</f>
        <v>2774.7</v>
      </c>
      <c r="F25" s="13">
        <f>SUM(F4:F23)</f>
        <v>132</v>
      </c>
      <c r="G25" s="13">
        <f>SUM(G4:G23)</f>
        <v>10195.019999999999</v>
      </c>
    </row>
    <row r="26" spans="1:11" ht="15.75" x14ac:dyDescent="0.25">
      <c r="A26" s="135"/>
      <c r="B26" s="136"/>
      <c r="C26" s="136"/>
      <c r="D26" s="137"/>
      <c r="E26" s="137"/>
      <c r="F26" s="137"/>
      <c r="G26" s="16"/>
    </row>
  </sheetData>
  <sortState xmlns:xlrd2="http://schemas.microsoft.com/office/spreadsheetml/2017/richdata2" ref="A4:G23">
    <sortCondition descending="1" ref="F4:F23"/>
  </sortState>
  <mergeCells count="4">
    <mergeCell ref="A25:C25"/>
    <mergeCell ref="A26:C26"/>
    <mergeCell ref="D26:F26"/>
    <mergeCell ref="A1:G1"/>
  </mergeCells>
  <conditionalFormatting sqref="F4:F23">
    <cfRule type="cellIs" dxfId="1" priority="1" operator="lessThan">
      <formula>1</formula>
    </cfRule>
    <cfRule type="cellIs" dxfId="0" priority="2" operator="greaterThan">
      <formula>10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4</vt:i4>
      </vt:variant>
    </vt:vector>
  </HeadingPairs>
  <TitlesOfParts>
    <vt:vector size="14" baseType="lpstr">
      <vt:lpstr>Produtos</vt:lpstr>
      <vt:lpstr>Vendas</vt:lpstr>
      <vt:lpstr>Dashboard</vt:lpstr>
      <vt:lpstr>Médias_Ref_Estruturada</vt:lpstr>
      <vt:lpstr>Filtro_Avançado</vt:lpstr>
      <vt:lpstr>Gráfico_dinâmico</vt:lpstr>
      <vt:lpstr>Tabela_Dinâmica</vt:lpstr>
      <vt:lpstr>Dados_para_gráficos</vt:lpstr>
      <vt:lpstr>Tabela_manual</vt:lpstr>
      <vt:lpstr>Médias</vt:lpstr>
      <vt:lpstr>Filtro_Avançado!Area_de_extracao</vt:lpstr>
      <vt:lpstr>Filtro_Avançado!Criterios</vt:lpstr>
      <vt:lpstr>int_nome_produto</vt:lpstr>
      <vt:lpstr>int_quantidade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Lara Evellyn</cp:lastModifiedBy>
  <cp:revision/>
  <dcterms:created xsi:type="dcterms:W3CDTF">2025-10-04T20:17:41Z</dcterms:created>
  <dcterms:modified xsi:type="dcterms:W3CDTF">2025-10-12T13:00:57Z</dcterms:modified>
  <cp:category/>
  <cp:contentStatus/>
</cp:coreProperties>
</file>