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4º ANO/4º ANO - 1º SEMESTRE/COMPETENCIAS TRANSFERIVEIS 1/FINANCAS_EMPRESARIAIS/"/>
    </mc:Choice>
  </mc:AlternateContent>
  <xr:revisionPtr revIDLastSave="31" documentId="13_ncr:1_{300F2309-A39F-49EF-816D-70BDA6C964D9}" xr6:coauthVersionLast="47" xr6:coauthVersionMax="47" xr10:uidLastSave="{1FBCE8EB-893A-4B3B-8BDC-D92D99E89553}"/>
  <bookViews>
    <workbookView xWindow="-108" yWindow="-108" windowWidth="23256" windowHeight="12576" activeTab="2" xr2:uid="{2AB6C6A4-9B02-483B-96E0-3314280D3865}"/>
  </bookViews>
  <sheets>
    <sheet name="ex5" sheetId="1" r:id="rId1"/>
    <sheet name="ex6" sheetId="2" r:id="rId2"/>
    <sheet name="ex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G48" i="2"/>
  <c r="E48" i="2"/>
  <c r="E45" i="2"/>
  <c r="G36" i="2"/>
  <c r="G25" i="2" l="1"/>
  <c r="G50" i="2"/>
  <c r="G47" i="2"/>
  <c r="C52" i="2"/>
  <c r="H47" i="2"/>
  <c r="F47" i="2"/>
  <c r="E47" i="2"/>
  <c r="D47" i="2"/>
  <c r="D48" i="2" s="1"/>
  <c r="H44" i="2"/>
  <c r="G44" i="2"/>
  <c r="F44" i="2"/>
  <c r="E44" i="2"/>
  <c r="D44" i="2"/>
  <c r="D45" i="2" s="1"/>
  <c r="D50" i="2" s="1"/>
  <c r="E50" i="2" s="1"/>
  <c r="F50" i="2" s="1"/>
  <c r="H50" i="2" s="1"/>
  <c r="F45" i="2"/>
  <c r="H48" i="2"/>
  <c r="F48" i="2"/>
  <c r="H45" i="2"/>
  <c r="G45" i="2"/>
  <c r="J31" i="1" l="1"/>
  <c r="L29" i="1"/>
  <c r="M19" i="1"/>
  <c r="D11" i="3"/>
  <c r="E11" i="3"/>
  <c r="F11" i="3"/>
  <c r="D12" i="3"/>
  <c r="E12" i="3"/>
  <c r="F12" i="3"/>
  <c r="C11" i="3" l="1"/>
  <c r="G33" i="2" l="1"/>
  <c r="H33" i="2"/>
  <c r="I33" i="2"/>
  <c r="J33" i="2"/>
  <c r="F33" i="2"/>
  <c r="H34" i="2"/>
  <c r="G34" i="2"/>
  <c r="K25" i="2" l="1"/>
  <c r="I34" i="2"/>
  <c r="K34" i="2" s="1"/>
  <c r="J34" i="2"/>
  <c r="H25" i="2"/>
  <c r="I25" i="2"/>
  <c r="J25" i="2"/>
  <c r="G12" i="2"/>
  <c r="H24" i="2"/>
  <c r="I24" i="2"/>
  <c r="J24" i="2"/>
  <c r="G24" i="2"/>
  <c r="F12" i="2"/>
  <c r="E12" i="2"/>
  <c r="D12" i="2"/>
  <c r="G7" i="2"/>
  <c r="F7" i="2"/>
  <c r="E7" i="2"/>
  <c r="D7" i="2"/>
  <c r="H31" i="1"/>
  <c r="I31" i="1"/>
  <c r="K31" i="1"/>
  <c r="G31" i="1"/>
  <c r="M27" i="1"/>
  <c r="H29" i="1"/>
  <c r="H28" i="1" s="1"/>
  <c r="I29" i="1"/>
  <c r="I28" i="1" s="1"/>
  <c r="J29" i="1"/>
  <c r="J28" i="1" s="1"/>
  <c r="K29" i="1"/>
  <c r="K28" i="1" s="1"/>
  <c r="G29" i="1"/>
  <c r="G28" i="1" s="1"/>
  <c r="F29" i="1"/>
  <c r="G21" i="1"/>
  <c r="H20" i="1"/>
  <c r="I20" i="1"/>
  <c r="J20" i="1"/>
  <c r="K20" i="1"/>
  <c r="G20" i="1"/>
  <c r="L21" i="1"/>
  <c r="H21" i="1"/>
  <c r="I21" i="1"/>
  <c r="J21" i="1"/>
  <c r="K21" i="1"/>
  <c r="F21" i="1"/>
</calcChain>
</file>

<file path=xl/sharedStrings.xml><?xml version="1.0" encoding="utf-8"?>
<sst xmlns="http://schemas.openxmlformats.org/spreadsheetml/2006/main" count="62" uniqueCount="50">
  <si>
    <t>Cash-flow global Projeto A</t>
  </si>
  <si>
    <t>ANOS</t>
  </si>
  <si>
    <t>VAL</t>
  </si>
  <si>
    <t>Taxa de utilização</t>
  </si>
  <si>
    <t>Cash-flow global Projeto A atualizado</t>
  </si>
  <si>
    <t>-&gt; desvalorização</t>
  </si>
  <si>
    <t>Descrição</t>
  </si>
  <si>
    <t>Ano 0</t>
  </si>
  <si>
    <t>Ano 1</t>
  </si>
  <si>
    <t>Ano 2</t>
  </si>
  <si>
    <t>Ano 3</t>
  </si>
  <si>
    <t>Ano 4</t>
  </si>
  <si>
    <t>1. Resultado líquido previsional</t>
  </si>
  <si>
    <t>2. Depreciações do exercício</t>
  </si>
  <si>
    <t>3. Imparidades do exercício</t>
  </si>
  <si>
    <t>4. Encargos financeiros de financiamento</t>
  </si>
  <si>
    <t>6. Investimento em ativo fixo</t>
  </si>
  <si>
    <t>7. Investimento em Ativo Circulante (NFM)</t>
  </si>
  <si>
    <t>8. Valor Residual do Imobilizado</t>
  </si>
  <si>
    <t>9. Valor Residual do Ativo Circulante (NFM)</t>
  </si>
  <si>
    <t>10. Cash-Flow Global</t>
  </si>
  <si>
    <t xml:space="preserve">5. Cash-Flow Exploração </t>
  </si>
  <si>
    <t>= Ano0 + Ano1 + Ano2 + Ano3 + Ano4</t>
  </si>
  <si>
    <t>Cash-Flow Global = CFE - Investimento em ativo fixo - Investimento em Ativo Circulante (NFM) + Valor Residual do Imobilizado + Valor Residual do Ativo Circulante (NFM)</t>
  </si>
  <si>
    <t>b) Taxa de desconto</t>
  </si>
  <si>
    <t>Anos</t>
  </si>
  <si>
    <t xml:space="preserve">c) Taxa alternativa </t>
  </si>
  <si>
    <t xml:space="preserve">TIR </t>
  </si>
  <si>
    <t>i1</t>
  </si>
  <si>
    <t>i2</t>
  </si>
  <si>
    <t>d) calcular payback ratio do projeto com atualização</t>
  </si>
  <si>
    <t>Clientes</t>
  </si>
  <si>
    <t>Inventários</t>
  </si>
  <si>
    <t>Fornecedores</t>
  </si>
  <si>
    <t>Necessidades fundo maneio (NFM)</t>
  </si>
  <si>
    <t>Investimento em NFM</t>
  </si>
  <si>
    <t>NFM = Inventários(produtos + matérias-primas) + Clientes - Fornecedores</t>
  </si>
  <si>
    <t>∆NFM = NFMt - NFMt-1</t>
  </si>
  <si>
    <t>RB »»</t>
  </si>
  <si>
    <t>CFI</t>
  </si>
  <si>
    <t>CFI atualizado</t>
  </si>
  <si>
    <t>CFE</t>
  </si>
  <si>
    <t>CFE atualizado</t>
  </si>
  <si>
    <t>OU</t>
  </si>
  <si>
    <t>passa de positivo entre ano 3 e 4</t>
  </si>
  <si>
    <t>logo 3 anos e 10,58 meses</t>
  </si>
  <si>
    <t>CFG acumulado</t>
  </si>
  <si>
    <t>(verde numerador e denominador cinzento)</t>
  </si>
  <si>
    <t>Opçao B: utilizando o CFG acumulado cf excel aula</t>
  </si>
  <si>
    <t>Opção A: aplicação direta formula PPT, mas ultimo ano com valores residuais relevantes que impactam a recuperabilidade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</si>
</sst>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D9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0" fillId="0" borderId="0" xfId="0" quotePrefix="1"/>
    <xf numFmtId="0" fontId="4" fillId="2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top" shrinkToFit="1"/>
    </xf>
    <xf numFmtId="0" fontId="3" fillId="0" borderId="2" xfId="0" applyNumberFormat="1" applyFont="1" applyBorder="1" applyAlignment="1">
      <alignment horizontal="center" vertical="top" shrinkToFit="1"/>
    </xf>
    <xf numFmtId="3" fontId="3" fillId="3" borderId="2" xfId="0" applyNumberFormat="1" applyFont="1" applyFill="1" applyBorder="1" applyAlignment="1">
      <alignment horizontal="center" vertical="top" shrinkToFit="1"/>
    </xf>
    <xf numFmtId="3" fontId="0" fillId="0" borderId="0" xfId="0" applyNumberFormat="1"/>
    <xf numFmtId="4" fontId="0" fillId="0" borderId="0" xfId="0" applyNumberFormat="1"/>
    <xf numFmtId="3" fontId="3" fillId="0" borderId="0" xfId="0" applyNumberFormat="1" applyFont="1" applyFill="1" applyBorder="1" applyAlignment="1">
      <alignment horizontal="right" vertical="top" shrinkToFit="1"/>
    </xf>
    <xf numFmtId="10" fontId="0" fillId="0" borderId="0" xfId="0" applyNumberFormat="1"/>
    <xf numFmtId="0" fontId="6" fillId="2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 indent="2"/>
    </xf>
    <xf numFmtId="1" fontId="3" fillId="0" borderId="2" xfId="0" applyNumberFormat="1" applyFont="1" applyBorder="1" applyAlignment="1">
      <alignment horizontal="left" vertical="top" shrinkToFit="1"/>
    </xf>
    <xf numFmtId="0" fontId="7" fillId="4" borderId="2" xfId="0" applyFont="1" applyFill="1" applyBorder="1" applyAlignment="1">
      <alignment horizontal="left" vertical="top" wrapText="1" indent="2"/>
    </xf>
    <xf numFmtId="0" fontId="8" fillId="0" borderId="0" xfId="0" applyFont="1" applyAlignment="1">
      <alignment horizontal="center"/>
    </xf>
    <xf numFmtId="1" fontId="5" fillId="4" borderId="2" xfId="0" applyNumberFormat="1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5" borderId="3" xfId="0" applyFont="1" applyFill="1" applyBorder="1" applyAlignment="1">
      <alignment horizontal="center" vertical="center" wrapText="1"/>
    </xf>
    <xf numFmtId="3" fontId="0" fillId="6" borderId="0" xfId="0" applyNumberFormat="1" applyFill="1"/>
    <xf numFmtId="3" fontId="0" fillId="7" borderId="0" xfId="0" applyNumberFormat="1" applyFill="1"/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2" fillId="0" borderId="0" xfId="0" applyFont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</xdr:colOff>
      <xdr:row>1</xdr:row>
      <xdr:rowOff>10249</xdr:rowOff>
    </xdr:from>
    <xdr:to>
      <xdr:col>12</xdr:col>
      <xdr:colOff>572485</xdr:colOff>
      <xdr:row>13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BD0DB6-0E81-4ADD-B2CF-96DA2F541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" y="191224"/>
          <a:ext cx="7489540" cy="2332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</xdr:colOff>
      <xdr:row>31</xdr:row>
      <xdr:rowOff>83821</xdr:rowOff>
    </xdr:from>
    <xdr:to>
      <xdr:col>17</xdr:col>
      <xdr:colOff>20885</xdr:colOff>
      <xdr:row>35</xdr:row>
      <xdr:rowOff>167641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07C430-5BCE-4C5F-AC0A-27AD3E23F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360" y="5753101"/>
          <a:ext cx="3042215" cy="80772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17</xdr:row>
      <xdr:rowOff>7621</xdr:rowOff>
    </xdr:from>
    <xdr:to>
      <xdr:col>21</xdr:col>
      <xdr:colOff>243840</xdr:colOff>
      <xdr:row>30</xdr:row>
      <xdr:rowOff>58744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D3E109-29BF-4E5B-8A10-269289FE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9360" y="3116581"/>
          <a:ext cx="5699760" cy="2415228"/>
        </a:xfrm>
        <a:prstGeom prst="rect">
          <a:avLst/>
        </a:prstGeom>
      </xdr:spPr>
    </xdr:pic>
    <xdr:clientData/>
  </xdr:twoCellAnchor>
  <xdr:twoCellAnchor editAs="oneCell">
    <xdr:from>
      <xdr:col>8</xdr:col>
      <xdr:colOff>487680</xdr:colOff>
      <xdr:row>43</xdr:row>
      <xdr:rowOff>94283</xdr:rowOff>
    </xdr:from>
    <xdr:to>
      <xdr:col>15</xdr:col>
      <xdr:colOff>265565</xdr:colOff>
      <xdr:row>51</xdr:row>
      <xdr:rowOff>133613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04802A5-C34B-4A66-8474-E1D8FE374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4730" y="7942883"/>
          <a:ext cx="4302260" cy="1487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71399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915663-6BB2-4971-8B28-13CCEA17E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6500774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5348-88EE-471A-B656-CF1815B13668}">
  <dimension ref="B17:M31"/>
  <sheetViews>
    <sheetView workbookViewId="0">
      <selection activeCell="O25" sqref="O25"/>
    </sheetView>
  </sheetViews>
  <sheetFormatPr defaultRowHeight="14.4" x14ac:dyDescent="0.3"/>
  <cols>
    <col min="6" max="6" width="9.21875" bestFit="1" customWidth="1"/>
    <col min="7" max="11" width="9.44140625" bestFit="1" customWidth="1"/>
    <col min="13" max="13" width="9.21875" bestFit="1" customWidth="1"/>
  </cols>
  <sheetData>
    <row r="17" spans="2:13" x14ac:dyDescent="0.3">
      <c r="B17" s="1"/>
      <c r="C17" s="1"/>
      <c r="D17" s="1"/>
      <c r="E17" s="1"/>
      <c r="F17" s="34" t="s">
        <v>1</v>
      </c>
      <c r="G17" s="34"/>
      <c r="H17" s="34"/>
      <c r="I17" s="34"/>
      <c r="J17" s="34"/>
      <c r="K17" s="34"/>
      <c r="L17" s="35" t="s">
        <v>2</v>
      </c>
    </row>
    <row r="18" spans="2:13" x14ac:dyDescent="0.3">
      <c r="B18" s="1"/>
      <c r="C18" s="1"/>
      <c r="D18" s="1"/>
      <c r="E18" s="1"/>
      <c r="F18">
        <v>0</v>
      </c>
      <c r="G18">
        <v>1</v>
      </c>
      <c r="H18">
        <v>2</v>
      </c>
      <c r="I18">
        <v>3</v>
      </c>
      <c r="J18">
        <v>4</v>
      </c>
      <c r="K18">
        <v>5</v>
      </c>
      <c r="L18" s="35"/>
    </row>
    <row r="19" spans="2:13" x14ac:dyDescent="0.3">
      <c r="B19" s="34" t="s">
        <v>0</v>
      </c>
      <c r="C19" s="34"/>
      <c r="D19" s="34"/>
      <c r="E19" s="34"/>
      <c r="F19" s="4">
        <v>-1000</v>
      </c>
      <c r="G19" s="4">
        <v>150</v>
      </c>
      <c r="H19" s="4">
        <v>250</v>
      </c>
      <c r="I19" s="4">
        <v>250</v>
      </c>
      <c r="J19" s="4">
        <v>400</v>
      </c>
      <c r="K19" s="4">
        <v>400</v>
      </c>
      <c r="M19" s="6">
        <f>SUM(G19:K19)</f>
        <v>1450</v>
      </c>
    </row>
    <row r="20" spans="2:13" x14ac:dyDescent="0.3">
      <c r="B20" s="34" t="s">
        <v>3</v>
      </c>
      <c r="C20" s="34"/>
      <c r="D20" s="34"/>
      <c r="E20" s="5">
        <v>0.08</v>
      </c>
      <c r="F20" s="2"/>
      <c r="G20" s="3">
        <f>G21/G19</f>
        <v>0.92592592592592593</v>
      </c>
      <c r="H20" s="3">
        <f t="shared" ref="H20:K20" si="0">H21/H19</f>
        <v>0.85733882030178321</v>
      </c>
      <c r="I20" s="3">
        <f t="shared" si="0"/>
        <v>0.79383224102016958</v>
      </c>
      <c r="J20" s="3">
        <f t="shared" si="0"/>
        <v>0.73502985279645328</v>
      </c>
      <c r="K20" s="3">
        <f t="shared" si="0"/>
        <v>0.68058319703375303</v>
      </c>
      <c r="M20" s="8" t="s">
        <v>5</v>
      </c>
    </row>
    <row r="21" spans="2:13" x14ac:dyDescent="0.3">
      <c r="B21" s="34" t="s">
        <v>4</v>
      </c>
      <c r="C21" s="34"/>
      <c r="D21" s="34"/>
      <c r="E21" s="34"/>
      <c r="F21" s="6">
        <f>F19</f>
        <v>-1000</v>
      </c>
      <c r="G21" s="7">
        <f>G19/(1+$E$20)^G18</f>
        <v>138.88888888888889</v>
      </c>
      <c r="H21" s="7">
        <f t="shared" ref="H21:K21" si="1">H19/(1+$E$20)^H18</f>
        <v>214.33470507544581</v>
      </c>
      <c r="I21" s="7">
        <f t="shared" si="1"/>
        <v>198.4580602550424</v>
      </c>
      <c r="J21" s="7">
        <f t="shared" si="1"/>
        <v>294.01194111858132</v>
      </c>
      <c r="K21" s="7">
        <f t="shared" si="1"/>
        <v>272.23327881350122</v>
      </c>
      <c r="L21" s="6">
        <f>SUM(F21:K21)</f>
        <v>117.92687415145957</v>
      </c>
    </row>
    <row r="25" spans="2:13" x14ac:dyDescent="0.3">
      <c r="B25" s="1"/>
      <c r="C25" s="1"/>
      <c r="D25" s="1"/>
      <c r="E25" s="1"/>
      <c r="F25" s="34" t="s">
        <v>1</v>
      </c>
      <c r="G25" s="34"/>
      <c r="H25" s="34"/>
      <c r="I25" s="34"/>
      <c r="J25" s="34"/>
      <c r="K25" s="34"/>
      <c r="L25" s="35" t="s">
        <v>2</v>
      </c>
    </row>
    <row r="26" spans="2:13" x14ac:dyDescent="0.3">
      <c r="B26" s="1"/>
      <c r="C26" s="1"/>
      <c r="D26" s="1"/>
      <c r="E26" s="1"/>
      <c r="F26">
        <v>0</v>
      </c>
      <c r="G26">
        <v>1</v>
      </c>
      <c r="H26">
        <v>2</v>
      </c>
      <c r="I26">
        <v>3</v>
      </c>
      <c r="J26">
        <v>4</v>
      </c>
      <c r="K26">
        <v>5</v>
      </c>
      <c r="L26" s="35"/>
    </row>
    <row r="27" spans="2:13" x14ac:dyDescent="0.3">
      <c r="B27" s="34" t="s">
        <v>0</v>
      </c>
      <c r="C27" s="34"/>
      <c r="D27" s="34"/>
      <c r="E27" s="34"/>
      <c r="F27" s="4">
        <v>-1000</v>
      </c>
      <c r="G27" s="4">
        <v>300</v>
      </c>
      <c r="H27" s="4">
        <v>300</v>
      </c>
      <c r="I27" s="4">
        <v>270</v>
      </c>
      <c r="J27" s="4">
        <v>250</v>
      </c>
      <c r="K27" s="4">
        <v>272</v>
      </c>
      <c r="M27" s="6">
        <f>SUM(G27:K27)</f>
        <v>1392</v>
      </c>
    </row>
    <row r="28" spans="2:13" x14ac:dyDescent="0.3">
      <c r="B28" s="34" t="s">
        <v>3</v>
      </c>
      <c r="C28" s="34"/>
      <c r="D28" s="34"/>
      <c r="E28" s="5">
        <v>0.08</v>
      </c>
      <c r="F28" s="2"/>
      <c r="G28" s="3">
        <f>G29/G27</f>
        <v>0.92592592592592593</v>
      </c>
      <c r="H28" s="3">
        <f t="shared" ref="H28" si="2">H29/H27</f>
        <v>0.85733882030178321</v>
      </c>
      <c r="I28" s="3">
        <f t="shared" ref="I28" si="3">I29/I27</f>
        <v>0.79383224102016958</v>
      </c>
      <c r="J28" s="3">
        <f t="shared" ref="J28" si="4">J29/J27</f>
        <v>0.73502985279645328</v>
      </c>
      <c r="K28" s="3">
        <f t="shared" ref="K28" si="5">K29/K27</f>
        <v>0.68058319703375303</v>
      </c>
    </row>
    <row r="29" spans="2:13" x14ac:dyDescent="0.3">
      <c r="B29" s="34" t="s">
        <v>4</v>
      </c>
      <c r="C29" s="34"/>
      <c r="D29" s="34"/>
      <c r="E29" s="34"/>
      <c r="F29" s="6">
        <f>F27</f>
        <v>-1000</v>
      </c>
      <c r="G29" s="7">
        <f>G27/(1+$E$28)^G26</f>
        <v>277.77777777777777</v>
      </c>
      <c r="H29" s="7">
        <f t="shared" ref="H29:K29" si="6">H27/(1+$E$28)^H26</f>
        <v>257.20164609053495</v>
      </c>
      <c r="I29" s="7">
        <f t="shared" si="6"/>
        <v>214.33470507544578</v>
      </c>
      <c r="J29" s="7">
        <f t="shared" si="6"/>
        <v>183.75746319911332</v>
      </c>
      <c r="K29" s="7">
        <f t="shared" si="6"/>
        <v>185.11862959318083</v>
      </c>
      <c r="L29" s="6">
        <f>SUM(F29:K29)</f>
        <v>118.19022173605271</v>
      </c>
    </row>
    <row r="31" spans="2:13" x14ac:dyDescent="0.3">
      <c r="G31" s="7">
        <f>+G29-G21</f>
        <v>138.88888888888889</v>
      </c>
      <c r="H31" s="7">
        <f t="shared" ref="H31:K31" si="7">+H29-H21</f>
        <v>42.866941015089139</v>
      </c>
      <c r="I31" s="7">
        <f t="shared" si="7"/>
        <v>15.876644820403385</v>
      </c>
      <c r="J31" s="7">
        <f>+J29-J21</f>
        <v>-110.254477919468</v>
      </c>
      <c r="K31" s="7">
        <f t="shared" si="7"/>
        <v>-87.114649220320388</v>
      </c>
    </row>
  </sheetData>
  <mergeCells count="10">
    <mergeCell ref="B21:E21"/>
    <mergeCell ref="B19:E19"/>
    <mergeCell ref="F17:K17"/>
    <mergeCell ref="L17:L18"/>
    <mergeCell ref="B20:D20"/>
    <mergeCell ref="F25:K25"/>
    <mergeCell ref="L25:L26"/>
    <mergeCell ref="B27:E27"/>
    <mergeCell ref="B28:D28"/>
    <mergeCell ref="B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DF98-B40B-41C7-97F1-CF85BB219BDB}">
  <dimension ref="B2:P59"/>
  <sheetViews>
    <sheetView workbookViewId="0">
      <pane ySplit="12" topLeftCell="A13" activePane="bottomLeft" state="frozen"/>
      <selection pane="bottomLeft" activeCell="F38" sqref="F38"/>
    </sheetView>
  </sheetViews>
  <sheetFormatPr defaultRowHeight="14.4" x14ac:dyDescent="0.3"/>
  <cols>
    <col min="2" max="2" width="43.88671875" customWidth="1"/>
    <col min="3" max="3" width="16.88671875" customWidth="1"/>
    <col min="4" max="9" width="11.33203125" customWidth="1"/>
    <col min="10" max="10" width="9.88671875" bestFit="1" customWidth="1"/>
    <col min="11" max="11" width="9.109375" bestFit="1" customWidth="1"/>
  </cols>
  <sheetData>
    <row r="2" spans="2:15" x14ac:dyDescent="0.3"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</row>
    <row r="3" spans="2:15" x14ac:dyDescent="0.3">
      <c r="B3" s="10" t="s">
        <v>12</v>
      </c>
      <c r="C3" s="13"/>
      <c r="D3" s="14">
        <v>-45378</v>
      </c>
      <c r="E3" s="15">
        <v>14622</v>
      </c>
      <c r="F3" s="14">
        <v>67405</v>
      </c>
      <c r="G3" s="14">
        <v>115173</v>
      </c>
    </row>
    <row r="4" spans="2:15" x14ac:dyDescent="0.3">
      <c r="B4" s="10" t="s">
        <v>13</v>
      </c>
      <c r="C4" s="13"/>
      <c r="D4" s="14">
        <v>92333</v>
      </c>
      <c r="E4" s="14">
        <v>92333</v>
      </c>
      <c r="F4" s="14">
        <v>92334</v>
      </c>
      <c r="G4" s="14">
        <v>30000</v>
      </c>
    </row>
    <row r="5" spans="2:15" x14ac:dyDescent="0.3">
      <c r="B5" s="10" t="s">
        <v>14</v>
      </c>
      <c r="C5" s="13"/>
      <c r="D5" s="14">
        <v>30000</v>
      </c>
      <c r="E5" s="14">
        <v>30000</v>
      </c>
      <c r="F5" s="14">
        <v>10000</v>
      </c>
      <c r="G5" s="12">
        <v>0</v>
      </c>
    </row>
    <row r="6" spans="2:15" x14ac:dyDescent="0.3">
      <c r="B6" s="10" t="s">
        <v>15</v>
      </c>
      <c r="C6" s="13"/>
      <c r="D6" s="14">
        <v>20545</v>
      </c>
      <c r="E6" s="14">
        <v>20545</v>
      </c>
      <c r="F6" s="14">
        <v>20545</v>
      </c>
      <c r="G6" s="14">
        <v>16436</v>
      </c>
    </row>
    <row r="7" spans="2:15" x14ac:dyDescent="0.3">
      <c r="B7" s="11" t="s">
        <v>21</v>
      </c>
      <c r="C7" s="16">
        <v>0</v>
      </c>
      <c r="D7" s="16">
        <f>SUM(D3:D6)</f>
        <v>97500</v>
      </c>
      <c r="E7" s="16">
        <f>SUM(E3:E6)</f>
        <v>157500</v>
      </c>
      <c r="F7" s="16">
        <f>SUM(F3:F6)</f>
        <v>190284</v>
      </c>
      <c r="G7" s="16">
        <f>SUM(G3:G6)</f>
        <v>161609</v>
      </c>
      <c r="I7" s="8" t="s">
        <v>22</v>
      </c>
    </row>
    <row r="8" spans="2:15" x14ac:dyDescent="0.3">
      <c r="B8" s="10" t="s">
        <v>16</v>
      </c>
      <c r="C8" s="14">
        <v>687000</v>
      </c>
      <c r="D8" s="13"/>
      <c r="E8" s="13"/>
      <c r="F8" s="13"/>
      <c r="G8" s="13"/>
    </row>
    <row r="9" spans="2:15" x14ac:dyDescent="0.3">
      <c r="B9" s="10" t="s">
        <v>17</v>
      </c>
      <c r="C9" s="13"/>
      <c r="D9" s="14">
        <v>96180</v>
      </c>
      <c r="E9" s="14">
        <v>97570</v>
      </c>
      <c r="F9" s="14">
        <v>33380</v>
      </c>
      <c r="G9" s="12">
        <v>394</v>
      </c>
    </row>
    <row r="10" spans="2:15" x14ac:dyDescent="0.3">
      <c r="B10" s="10" t="s">
        <v>18</v>
      </c>
      <c r="C10" s="13"/>
      <c r="D10" s="13"/>
      <c r="E10" s="13"/>
      <c r="F10" s="13"/>
      <c r="G10" s="14">
        <v>365000</v>
      </c>
    </row>
    <row r="11" spans="2:15" x14ac:dyDescent="0.3">
      <c r="B11" s="10" t="s">
        <v>19</v>
      </c>
      <c r="C11" s="13"/>
      <c r="D11" s="13"/>
      <c r="E11" s="13"/>
      <c r="F11" s="13"/>
      <c r="G11" s="14">
        <v>157524</v>
      </c>
    </row>
    <row r="12" spans="2:15" x14ac:dyDescent="0.3">
      <c r="B12" s="11" t="s">
        <v>20</v>
      </c>
      <c r="C12" s="16">
        <v>-687000</v>
      </c>
      <c r="D12" s="16">
        <f>D7-D9</f>
        <v>1320</v>
      </c>
      <c r="E12" s="16">
        <f>E7-E9</f>
        <v>59930</v>
      </c>
      <c r="F12" s="16">
        <f>F7-F9</f>
        <v>156904</v>
      </c>
      <c r="G12" s="16">
        <f>G7-G9+G10+G11</f>
        <v>683739</v>
      </c>
      <c r="I12" s="8"/>
    </row>
    <row r="16" spans="2:15" x14ac:dyDescent="0.3">
      <c r="B16" s="37" t="s">
        <v>23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20" spans="3:11" x14ac:dyDescent="0.3">
      <c r="C20" s="34" t="s">
        <v>24</v>
      </c>
      <c r="D20" s="34"/>
      <c r="E20" s="34"/>
      <c r="F20" s="5">
        <v>0.05</v>
      </c>
      <c r="G20" t="s">
        <v>28</v>
      </c>
    </row>
    <row r="22" spans="3:11" x14ac:dyDescent="0.3">
      <c r="F22" s="34" t="s">
        <v>25</v>
      </c>
      <c r="G22" s="34"/>
      <c r="H22" s="34"/>
      <c r="I22" s="34"/>
      <c r="J22" s="34"/>
    </row>
    <row r="23" spans="3:11" x14ac:dyDescent="0.3">
      <c r="F23">
        <v>0</v>
      </c>
      <c r="G23">
        <v>1</v>
      </c>
      <c r="H23">
        <v>2</v>
      </c>
      <c r="I23">
        <v>3</v>
      </c>
      <c r="J23">
        <v>4</v>
      </c>
    </row>
    <row r="24" spans="3:11" x14ac:dyDescent="0.3">
      <c r="F24">
        <v>-687000</v>
      </c>
      <c r="G24" s="17">
        <f>+D12</f>
        <v>1320</v>
      </c>
      <c r="H24" s="17">
        <f t="shared" ref="H24:J24" si="0">+E12</f>
        <v>59930</v>
      </c>
      <c r="I24" s="17">
        <f t="shared" si="0"/>
        <v>156904</v>
      </c>
      <c r="J24" s="17">
        <f t="shared" si="0"/>
        <v>683739</v>
      </c>
    </row>
    <row r="25" spans="3:11" x14ac:dyDescent="0.3">
      <c r="E25" t="s">
        <v>2</v>
      </c>
      <c r="G25" s="18">
        <f>G24/(1+$F$20)^G23</f>
        <v>1257.1428571428571</v>
      </c>
      <c r="H25" s="18">
        <f t="shared" ref="H25:J25" si="1">H24/(1+$F$20)^H23</f>
        <v>54358.276643990925</v>
      </c>
      <c r="I25" s="18">
        <f t="shared" si="1"/>
        <v>135539.57455998272</v>
      </c>
      <c r="J25" s="18">
        <f t="shared" si="1"/>
        <v>562513.76741172664</v>
      </c>
      <c r="K25" s="18">
        <f>SUM(G25:J25)+F24</f>
        <v>66668.761472843122</v>
      </c>
    </row>
    <row r="29" spans="3:11" x14ac:dyDescent="0.3">
      <c r="C29" s="34" t="s">
        <v>26</v>
      </c>
      <c r="D29" s="34"/>
      <c r="E29" s="34"/>
      <c r="F29" s="5">
        <v>0.1</v>
      </c>
      <c r="G29" t="s">
        <v>29</v>
      </c>
    </row>
    <row r="32" spans="3:11" x14ac:dyDescent="0.3">
      <c r="F32">
        <v>0</v>
      </c>
      <c r="G32">
        <v>1</v>
      </c>
      <c r="H32">
        <v>2</v>
      </c>
      <c r="I32">
        <v>3</v>
      </c>
      <c r="J32">
        <v>4</v>
      </c>
    </row>
    <row r="33" spans="2:16" x14ac:dyDescent="0.3">
      <c r="F33" s="19">
        <f>C12</f>
        <v>-687000</v>
      </c>
      <c r="G33" s="19">
        <f t="shared" ref="G33:J33" si="2">D12</f>
        <v>1320</v>
      </c>
      <c r="H33" s="19">
        <f t="shared" si="2"/>
        <v>59930</v>
      </c>
      <c r="I33" s="19">
        <f t="shared" si="2"/>
        <v>156904</v>
      </c>
      <c r="J33" s="19">
        <f t="shared" si="2"/>
        <v>683739</v>
      </c>
    </row>
    <row r="34" spans="2:16" x14ac:dyDescent="0.3">
      <c r="E34" t="s">
        <v>2</v>
      </c>
      <c r="G34">
        <f>G33/(1+$F$29)^G32</f>
        <v>1200</v>
      </c>
      <c r="H34">
        <f>H33/(1+$F$29)^H32</f>
        <v>49528.925619834707</v>
      </c>
      <c r="I34">
        <f t="shared" ref="I34:J34" si="3">I33/(1+$F$29)^I32</f>
        <v>117884.29752066112</v>
      </c>
      <c r="J34">
        <f t="shared" si="3"/>
        <v>467002.93695785792</v>
      </c>
      <c r="K34" s="17">
        <f>SUM(G34:J34)+F33</f>
        <v>-51383.83990164625</v>
      </c>
    </row>
    <row r="36" spans="2:16" x14ac:dyDescent="0.3">
      <c r="E36" t="s">
        <v>27</v>
      </c>
      <c r="G36" s="20">
        <f>F20+(F29-F20)*(K25/(K25-K34))</f>
        <v>7.8236887919714213E-2</v>
      </c>
    </row>
    <row r="37" spans="2:16" x14ac:dyDescent="0.3">
      <c r="K37" s="28"/>
    </row>
    <row r="40" spans="2:16" x14ac:dyDescent="0.3">
      <c r="C40" s="34" t="s">
        <v>30</v>
      </c>
      <c r="D40" s="34"/>
      <c r="E40" s="34"/>
      <c r="F40" s="34"/>
      <c r="G40" s="34"/>
      <c r="H40" s="34"/>
    </row>
    <row r="41" spans="2:16" ht="15" customHeight="1" x14ac:dyDescent="0.3"/>
    <row r="42" spans="2:16" ht="16.8" customHeight="1" thickBot="1" x14ac:dyDescent="0.35">
      <c r="B42" s="29" t="s">
        <v>38</v>
      </c>
      <c r="C42" s="38" t="s">
        <v>49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2:16" ht="16.2" thickBot="1" x14ac:dyDescent="0.35">
      <c r="D43" s="30">
        <v>0</v>
      </c>
      <c r="E43" s="30">
        <v>1</v>
      </c>
      <c r="F43" s="30">
        <v>2</v>
      </c>
      <c r="G43" s="30">
        <v>3</v>
      </c>
      <c r="H43" s="30">
        <v>4</v>
      </c>
    </row>
    <row r="44" spans="2:16" x14ac:dyDescent="0.3">
      <c r="C44" t="s">
        <v>39</v>
      </c>
      <c r="D44" s="17">
        <f>-C8-C9+C10+C11</f>
        <v>-687000</v>
      </c>
      <c r="E44" s="17">
        <f>-D8-D9+D10+D11</f>
        <v>-96180</v>
      </c>
      <c r="F44" s="17">
        <f>-E8-E9+E10+E11</f>
        <v>-97570</v>
      </c>
      <c r="G44" s="17">
        <f>-F8-F9+F10+F11</f>
        <v>-33380</v>
      </c>
      <c r="H44" s="17">
        <f>-G8-G9+G10+G11</f>
        <v>522130</v>
      </c>
    </row>
    <row r="45" spans="2:16" x14ac:dyDescent="0.3">
      <c r="C45" t="s">
        <v>40</v>
      </c>
      <c r="D45" s="31">
        <f>+D44/(1+5%)^D43</f>
        <v>-687000</v>
      </c>
      <c r="E45" s="31">
        <f>+E44/(1+5%)^E43</f>
        <v>-91600</v>
      </c>
      <c r="F45" s="31">
        <f t="shared" ref="E45:H45" si="4">+F44/(1+5%)^F43</f>
        <v>-88498.866213151923</v>
      </c>
      <c r="G45" s="31">
        <f t="shared" si="4"/>
        <v>-28834.899038980668</v>
      </c>
      <c r="H45" s="32">
        <f t="shared" si="4"/>
        <v>429557.64316308533</v>
      </c>
    </row>
    <row r="47" spans="2:16" x14ac:dyDescent="0.3">
      <c r="C47" t="s">
        <v>41</v>
      </c>
      <c r="D47" s="17">
        <f>+C7</f>
        <v>0</v>
      </c>
      <c r="E47" s="17">
        <f>+D7</f>
        <v>97500</v>
      </c>
      <c r="F47" s="17">
        <f>+E7</f>
        <v>157500</v>
      </c>
      <c r="G47" s="17">
        <f>+F7</f>
        <v>190284</v>
      </c>
      <c r="H47" s="17">
        <f>+G7</f>
        <v>161609</v>
      </c>
    </row>
    <row r="48" spans="2:16" x14ac:dyDescent="0.3">
      <c r="C48" t="s">
        <v>42</v>
      </c>
      <c r="D48" s="31">
        <f>+D47/(1+5%)^D43</f>
        <v>0</v>
      </c>
      <c r="E48" s="31">
        <f>+E47/(1+5%)^E43</f>
        <v>92857.142857142855</v>
      </c>
      <c r="F48" s="31">
        <f t="shared" ref="E48:H48" si="5">+F47/(1+5%)^F43</f>
        <v>142857.14285714284</v>
      </c>
      <c r="G48" s="31">
        <f>+G47/(1+5%)^G43</f>
        <v>164374.47359896338</v>
      </c>
      <c r="H48" s="32">
        <f t="shared" si="5"/>
        <v>132956.12424864125</v>
      </c>
    </row>
    <row r="50" spans="3:8" x14ac:dyDescent="0.3">
      <c r="C50" t="s">
        <v>46</v>
      </c>
      <c r="D50" s="17">
        <f>+D45+D48</f>
        <v>-687000</v>
      </c>
      <c r="E50" s="17">
        <f>+D50+E45+E48</f>
        <v>-685742.85714285716</v>
      </c>
      <c r="F50" s="17">
        <f t="shared" ref="F50:H50" si="6">+E50+F45+F48</f>
        <v>-631384.58049886627</v>
      </c>
      <c r="G50" s="17">
        <f>+F50+G45+G48</f>
        <v>-495845.00593888364</v>
      </c>
      <c r="H50" s="17">
        <f t="shared" si="6"/>
        <v>66668.761472842947</v>
      </c>
    </row>
    <row r="51" spans="3:8" x14ac:dyDescent="0.3">
      <c r="G51" s="36" t="s">
        <v>44</v>
      </c>
      <c r="H51" s="36"/>
    </row>
    <row r="52" spans="3:8" x14ac:dyDescent="0.3">
      <c r="C52" s="3">
        <f>+((-SUM(D45:G45)-SUM(D48:G48))/(H48+H45))*12</f>
        <v>10.577767898276978</v>
      </c>
      <c r="D52" t="s">
        <v>47</v>
      </c>
      <c r="G52" s="36"/>
      <c r="H52" s="36"/>
    </row>
    <row r="53" spans="3:8" x14ac:dyDescent="0.3">
      <c r="G53" s="36"/>
      <c r="H53" s="36"/>
    </row>
    <row r="54" spans="3:8" x14ac:dyDescent="0.3">
      <c r="G54" s="33" t="s">
        <v>45</v>
      </c>
    </row>
    <row r="56" spans="3:8" x14ac:dyDescent="0.3">
      <c r="C56" s="33" t="s">
        <v>43</v>
      </c>
    </row>
    <row r="58" spans="3:8" x14ac:dyDescent="0.3">
      <c r="C58" s="33" t="s">
        <v>48</v>
      </c>
    </row>
    <row r="59" spans="3:8" x14ac:dyDescent="0.3">
      <c r="D59">
        <f>-G50/(-G50+H50)*12</f>
        <v>10.577767898276978</v>
      </c>
    </row>
  </sheetData>
  <mergeCells count="7">
    <mergeCell ref="G51:H53"/>
    <mergeCell ref="B16:O16"/>
    <mergeCell ref="C20:E20"/>
    <mergeCell ref="F22:J22"/>
    <mergeCell ref="C29:E29"/>
    <mergeCell ref="C40:H40"/>
    <mergeCell ref="C42:P4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6651-EE26-4C94-B19C-4D432FC04FDD}">
  <dimension ref="B7:F16"/>
  <sheetViews>
    <sheetView tabSelected="1" workbookViewId="0">
      <selection activeCell="C11" sqref="C11"/>
    </sheetView>
  </sheetViews>
  <sheetFormatPr defaultRowHeight="14.4" x14ac:dyDescent="0.3"/>
  <cols>
    <col min="2" max="2" width="49.33203125" customWidth="1"/>
  </cols>
  <sheetData>
    <row r="7" spans="2:6" ht="15.6" x14ac:dyDescent="0.3">
      <c r="B7" s="21" t="s">
        <v>6</v>
      </c>
      <c r="C7" s="21" t="s">
        <v>8</v>
      </c>
      <c r="D7" s="21" t="s">
        <v>9</v>
      </c>
      <c r="E7" s="21" t="s">
        <v>10</v>
      </c>
      <c r="F7" s="21" t="s">
        <v>11</v>
      </c>
    </row>
    <row r="8" spans="2:6" x14ac:dyDescent="0.3">
      <c r="B8" s="22" t="s">
        <v>31</v>
      </c>
      <c r="C8" s="23">
        <v>1000</v>
      </c>
      <c r="D8" s="23">
        <v>1500</v>
      </c>
      <c r="E8" s="23">
        <v>2000</v>
      </c>
      <c r="F8" s="23">
        <v>2500</v>
      </c>
    </row>
    <row r="9" spans="2:6" x14ac:dyDescent="0.3">
      <c r="B9" s="22" t="s">
        <v>32</v>
      </c>
      <c r="C9" s="23">
        <v>500</v>
      </c>
      <c r="D9" s="23">
        <v>500</v>
      </c>
      <c r="E9" s="23">
        <v>500</v>
      </c>
      <c r="F9" s="23">
        <v>500</v>
      </c>
    </row>
    <row r="10" spans="2:6" x14ac:dyDescent="0.3">
      <c r="B10" s="22" t="s">
        <v>33</v>
      </c>
      <c r="C10" s="23">
        <v>800</v>
      </c>
      <c r="D10" s="23">
        <v>900</v>
      </c>
      <c r="E10" s="23">
        <v>1400</v>
      </c>
      <c r="F10" s="23">
        <v>1500</v>
      </c>
    </row>
    <row r="11" spans="2:6" x14ac:dyDescent="0.3">
      <c r="B11" s="24" t="s">
        <v>34</v>
      </c>
      <c r="C11" s="26">
        <f>C9+C8-C10</f>
        <v>700</v>
      </c>
      <c r="D11" s="26">
        <f t="shared" ref="D11:F11" si="0">D9+D8-D10</f>
        <v>1100</v>
      </c>
      <c r="E11" s="26">
        <f t="shared" si="0"/>
        <v>1100</v>
      </c>
      <c r="F11" s="26">
        <f t="shared" si="0"/>
        <v>1500</v>
      </c>
    </row>
    <row r="12" spans="2:6" x14ac:dyDescent="0.3">
      <c r="B12" s="24" t="s">
        <v>35</v>
      </c>
      <c r="C12" s="27">
        <v>700</v>
      </c>
      <c r="D12" s="26">
        <f>D11-C11</f>
        <v>400</v>
      </c>
      <c r="E12" s="26">
        <f>E11-D11</f>
        <v>0</v>
      </c>
      <c r="F12" s="26">
        <f>F11-E11</f>
        <v>400</v>
      </c>
    </row>
    <row r="15" spans="2:6" x14ac:dyDescent="0.3">
      <c r="B15" s="37" t="s">
        <v>36</v>
      </c>
      <c r="C15" s="37"/>
      <c r="D15" s="37"/>
    </row>
    <row r="16" spans="2:6" x14ac:dyDescent="0.3">
      <c r="B16" s="25" t="s">
        <v>37</v>
      </c>
    </row>
  </sheetData>
  <mergeCells count="1">
    <mergeCell ref="B15:D1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ex5</vt:lpstr>
      <vt:lpstr>ex6</vt:lpstr>
      <vt:lpstr>ex7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dcterms:created xsi:type="dcterms:W3CDTF">2021-12-11T15:22:24Z</dcterms:created>
  <dcterms:modified xsi:type="dcterms:W3CDTF">2021-12-16T15:19:40Z</dcterms:modified>
</cp:coreProperties>
</file>