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VLuser2\Documents\package_analyzer\sample_data\"/>
    </mc:Choice>
  </mc:AlternateContent>
  <xr:revisionPtr revIDLastSave="0" documentId="13_ncr:1_{3A55BF3A-3269-4924-B93A-A5B93A91B8E2}" xr6:coauthVersionLast="47" xr6:coauthVersionMax="47" xr10:uidLastSave="{00000000-0000-0000-0000-000000000000}"/>
  <bookViews>
    <workbookView xWindow="-120" yWindow="-120" windowWidth="24240" windowHeight="13140" activeTab="1" xr2:uid="{C307161E-0246-4C65-B621-5FD1966ACC18}"/>
  </bookViews>
  <sheets>
    <sheet name="Loan Tape" sheetId="1" r:id="rId1"/>
    <sheet name="Summary" sheetId="3" r:id="rId2"/>
    <sheet name="Strats" sheetId="2" r:id="rId3"/>
    <sheet name="NAICS" sheetId="4" r:id="rId4"/>
    <sheet name="FHN STRIP" sheetId="5" r:id="rId5"/>
  </sheets>
  <externalReferences>
    <externalReference r:id="rId6"/>
    <externalReference r:id="rId7"/>
    <externalReference r:id="rId8"/>
  </externalReferences>
  <definedNames>
    <definedName name="_xlnm._FilterDatabase" localSheetId="0" hidden="1">'Loan Tape'!$A$13:$AC$1349</definedName>
    <definedName name="bb_QjgzMDU4QUYwQjMzNDk4Qk" hidden="1">#REF!</definedName>
    <definedName name="BK_Flag">#REF!</definedName>
    <definedName name="BPO">#REF!</definedName>
    <definedName name="BPO_Age">#REF!</definedName>
    <definedName name="BPO_LTV">#REF!</definedName>
    <definedName name="Coupon">#REF!</definedName>
    <definedName name="Current_Balance">#REF!</definedName>
    <definedName name="Current_FICO">#REF!</definedName>
    <definedName name="Cut_off_Date">#REF!</definedName>
    <definedName name="Deferred_Balance">[1]Strats!#REF!</definedName>
    <definedName name="Delinquency_Status">#REF!</definedName>
    <definedName name="f" localSheetId="0">#REF!</definedName>
    <definedName name="f" localSheetId="3">#REF!</definedName>
    <definedName name="f" localSheetId="2">#REF!</definedName>
    <definedName name="f">#REF!</definedName>
    <definedName name="FC_Flag">#REF!</definedName>
    <definedName name="i" localSheetId="0">#REF!</definedName>
    <definedName name="i" localSheetId="3">#REF!</definedName>
    <definedName name="i" localSheetId="2">#REF!</definedName>
    <definedName name="i">#REF!</definedName>
    <definedName name="Index">#REF!</definedName>
    <definedName name="Interest_Only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en_Position">#REF!</definedName>
    <definedName name="LifeCPRs" localSheetId="0">#REF!</definedName>
    <definedName name="LifeCPRs" localSheetId="3">#REF!</definedName>
    <definedName name="LifeCPRs">#REF!</definedName>
    <definedName name="Margin">#REF!</definedName>
    <definedName name="Maximum_Mortgage_Interest_Rate">#REF!</definedName>
    <definedName name="Minimum_Mortgage_Interest_Rate">#REF!</definedName>
    <definedName name="Minimum_Value">#REF!</definedName>
    <definedName name="Modified">#REF!</definedName>
    <definedName name="Months_Clean">#REF!</definedName>
    <definedName name="Months_since_Origination">#REF!</definedName>
    <definedName name="Months_to_Next_Rate_Reset">#REF!</definedName>
    <definedName name="Multiple" localSheetId="0">#REF!</definedName>
    <definedName name="Multiple" localSheetId="3">#REF!</definedName>
    <definedName name="Multiple">#REF!</definedName>
    <definedName name="n" localSheetId="0">#REF!</definedName>
    <definedName name="n" localSheetId="3">#REF!</definedName>
    <definedName name="n">#REF!</definedName>
    <definedName name="Occupancy_Status">#REF!</definedName>
    <definedName name="p" localSheetId="0">#REF!</definedName>
    <definedName name="p" localSheetId="3">#REF!</definedName>
    <definedName name="p" localSheetId="2">#REF!</definedName>
    <definedName name="p">#REF!</definedName>
    <definedName name="Print_Area_MI" localSheetId="0">#REF!</definedName>
    <definedName name="Print_Area_MI" localSheetId="3">#REF!</definedName>
    <definedName name="Print_Area_MI">#REF!</definedName>
    <definedName name="Property_Type">#REF!</definedName>
    <definedName name="Purchase_Price">#REF!</definedName>
    <definedName name="r_" localSheetId="0">#REF!</definedName>
    <definedName name="r_" localSheetId="3">#REF!</definedName>
    <definedName name="r_" localSheetId="2">#REF!</definedName>
    <definedName name="r_">#REF!</definedName>
    <definedName name="range" localSheetId="0">#REF!</definedName>
    <definedName name="range" localSheetId="3">#REF!</definedName>
    <definedName name="range">#REF!</definedName>
    <definedName name="Rate_Type">#REF!</definedName>
    <definedName name="Remaining_Term_to_Maturity__months_">#REF!</definedName>
    <definedName name="s" localSheetId="0">#REF!</definedName>
    <definedName name="s" localSheetId="3">#REF!</definedName>
    <definedName name="s" localSheetId="2">#REF!</definedName>
    <definedName name="s">#REF!</definedName>
    <definedName name="side" localSheetId="0">'[2]Strip Package'!#REF!</definedName>
    <definedName name="side" localSheetId="3">'[2]Strip Package'!#REF!</definedName>
    <definedName name="side">'[2]Strip Package'!#REF!</definedName>
    <definedName name="State">#REF!</definedName>
    <definedName name="Summary">#REF!</definedName>
    <definedName name="Times_30__in_12">#REF!</definedName>
    <definedName name="Times_60__in_12">#REF!</definedName>
    <definedName name="Times_90__in_12">#REF!</definedName>
  </definedNames>
  <calcPr calcId="191029" calcMode="autoNoTable"/>
  <pivotCaches>
    <pivotCache cacheId="77" r:id="rId9"/>
    <pivotCache cacheId="78" r:id="rId10"/>
    <pivotCache cacheId="79" r:id="rId11"/>
    <pivotCache cacheId="8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" i="1" l="1"/>
  <c r="O26" i="1"/>
  <c r="T26" i="1"/>
  <c r="U26" i="1"/>
  <c r="Y26" i="1" s="1"/>
  <c r="V26" i="1"/>
  <c r="T14" i="1"/>
  <c r="W26" i="1" l="1"/>
  <c r="V237" i="5"/>
  <c r="H237" i="5"/>
  <c r="V236" i="5"/>
  <c r="H236" i="5"/>
  <c r="V235" i="5"/>
  <c r="H235" i="5"/>
  <c r="V234" i="5"/>
  <c r="H234" i="5"/>
  <c r="V233" i="5"/>
  <c r="H233" i="5"/>
  <c r="V232" i="5"/>
  <c r="H232" i="5"/>
  <c r="V231" i="5"/>
  <c r="H231" i="5"/>
  <c r="V230" i="5"/>
  <c r="H230" i="5"/>
  <c r="V229" i="5"/>
  <c r="H229" i="5"/>
  <c r="V228" i="5"/>
  <c r="H228" i="5"/>
  <c r="V227" i="5"/>
  <c r="H227" i="5"/>
  <c r="V226" i="5"/>
  <c r="H226" i="5"/>
  <c r="V225" i="5"/>
  <c r="H225" i="5"/>
  <c r="V224" i="5"/>
  <c r="H224" i="5"/>
  <c r="V223" i="5"/>
  <c r="H223" i="5"/>
  <c r="V222" i="5"/>
  <c r="H222" i="5"/>
  <c r="V221" i="5"/>
  <c r="H221" i="5"/>
  <c r="V220" i="5"/>
  <c r="H220" i="5"/>
  <c r="V219" i="5"/>
  <c r="H219" i="5"/>
  <c r="V218" i="5"/>
  <c r="H218" i="5"/>
  <c r="V217" i="5"/>
  <c r="H217" i="5"/>
  <c r="V216" i="5"/>
  <c r="H216" i="5"/>
  <c r="V215" i="5"/>
  <c r="H215" i="5"/>
  <c r="V214" i="5"/>
  <c r="H214" i="5"/>
  <c r="V213" i="5"/>
  <c r="H213" i="5"/>
  <c r="V212" i="5"/>
  <c r="H212" i="5"/>
  <c r="V211" i="5"/>
  <c r="H211" i="5"/>
  <c r="V210" i="5"/>
  <c r="H210" i="5"/>
  <c r="V209" i="5"/>
  <c r="H209" i="5"/>
  <c r="V208" i="5"/>
  <c r="H208" i="5"/>
  <c r="V207" i="5"/>
  <c r="H207" i="5"/>
  <c r="V206" i="5"/>
  <c r="H206" i="5"/>
  <c r="V205" i="5"/>
  <c r="H205" i="5"/>
  <c r="V204" i="5"/>
  <c r="H204" i="5"/>
  <c r="V203" i="5"/>
  <c r="H203" i="5"/>
  <c r="V202" i="5"/>
  <c r="H202" i="5"/>
  <c r="V201" i="5"/>
  <c r="H201" i="5"/>
  <c r="V200" i="5"/>
  <c r="H200" i="5"/>
  <c r="V199" i="5"/>
  <c r="H199" i="5"/>
  <c r="V198" i="5"/>
  <c r="H198" i="5"/>
  <c r="V197" i="5"/>
  <c r="H197" i="5"/>
  <c r="V196" i="5"/>
  <c r="H196" i="5"/>
  <c r="V195" i="5"/>
  <c r="H195" i="5"/>
  <c r="V194" i="5"/>
  <c r="H194" i="5"/>
  <c r="V193" i="5"/>
  <c r="H193" i="5"/>
  <c r="V192" i="5"/>
  <c r="H192" i="5"/>
  <c r="V191" i="5"/>
  <c r="H191" i="5"/>
  <c r="V190" i="5"/>
  <c r="H190" i="5"/>
  <c r="V189" i="5"/>
  <c r="H189" i="5"/>
  <c r="V188" i="5"/>
  <c r="H188" i="5"/>
  <c r="V187" i="5"/>
  <c r="H187" i="5"/>
  <c r="V186" i="5"/>
  <c r="H186" i="5"/>
  <c r="V185" i="5"/>
  <c r="H185" i="5"/>
  <c r="V184" i="5"/>
  <c r="H184" i="5"/>
  <c r="V183" i="5"/>
  <c r="H183" i="5"/>
  <c r="V182" i="5"/>
  <c r="H182" i="5"/>
  <c r="V181" i="5"/>
  <c r="H181" i="5"/>
  <c r="V180" i="5"/>
  <c r="H180" i="5"/>
  <c r="V179" i="5"/>
  <c r="H179" i="5"/>
  <c r="V178" i="5"/>
  <c r="H178" i="5"/>
  <c r="V177" i="5"/>
  <c r="H177" i="5"/>
  <c r="V176" i="5"/>
  <c r="H176" i="5"/>
  <c r="V175" i="5"/>
  <c r="H175" i="5"/>
  <c r="V174" i="5"/>
  <c r="H174" i="5"/>
  <c r="V173" i="5"/>
  <c r="H173" i="5"/>
  <c r="V172" i="5"/>
  <c r="H172" i="5"/>
  <c r="V171" i="5"/>
  <c r="H171" i="5"/>
  <c r="V170" i="5"/>
  <c r="H170" i="5"/>
  <c r="V169" i="5"/>
  <c r="H169" i="5"/>
  <c r="V168" i="5"/>
  <c r="H168" i="5"/>
  <c r="V167" i="5"/>
  <c r="H167" i="5"/>
  <c r="V166" i="5"/>
  <c r="H166" i="5"/>
  <c r="V165" i="5"/>
  <c r="H165" i="5"/>
  <c r="V164" i="5"/>
  <c r="H164" i="5"/>
  <c r="V163" i="5"/>
  <c r="H163" i="5"/>
  <c r="V162" i="5"/>
  <c r="H162" i="5"/>
  <c r="V161" i="5"/>
  <c r="H161" i="5"/>
  <c r="V160" i="5"/>
  <c r="H160" i="5"/>
  <c r="V159" i="5"/>
  <c r="H159" i="5"/>
  <c r="V158" i="5"/>
  <c r="H158" i="5"/>
  <c r="V157" i="5"/>
  <c r="H157" i="5"/>
  <c r="V156" i="5"/>
  <c r="H156" i="5"/>
  <c r="V155" i="5"/>
  <c r="H155" i="5"/>
  <c r="V154" i="5"/>
  <c r="H154" i="5"/>
  <c r="V153" i="5"/>
  <c r="H153" i="5"/>
  <c r="V152" i="5"/>
  <c r="H152" i="5"/>
  <c r="V151" i="5"/>
  <c r="H151" i="5"/>
  <c r="V150" i="5"/>
  <c r="H150" i="5"/>
  <c r="V149" i="5"/>
  <c r="H149" i="5"/>
  <c r="V148" i="5"/>
  <c r="H148" i="5"/>
  <c r="V147" i="5"/>
  <c r="H147" i="5"/>
  <c r="V146" i="5"/>
  <c r="H146" i="5"/>
  <c r="V145" i="5"/>
  <c r="H145" i="5"/>
  <c r="V144" i="5"/>
  <c r="H144" i="5"/>
  <c r="V143" i="5"/>
  <c r="H143" i="5"/>
  <c r="V142" i="5"/>
  <c r="H142" i="5"/>
  <c r="V141" i="5"/>
  <c r="H141" i="5"/>
  <c r="V140" i="5"/>
  <c r="H140" i="5"/>
  <c r="V139" i="5"/>
  <c r="H139" i="5"/>
  <c r="V138" i="5"/>
  <c r="H138" i="5"/>
  <c r="V137" i="5"/>
  <c r="H137" i="5"/>
  <c r="V136" i="5"/>
  <c r="H136" i="5"/>
  <c r="V135" i="5"/>
  <c r="H135" i="5"/>
  <c r="V134" i="5"/>
  <c r="H134" i="5"/>
  <c r="V133" i="5"/>
  <c r="H133" i="5"/>
  <c r="V132" i="5"/>
  <c r="H132" i="5"/>
  <c r="V131" i="5"/>
  <c r="H131" i="5"/>
  <c r="V130" i="5"/>
  <c r="H130" i="5"/>
  <c r="V129" i="5"/>
  <c r="H129" i="5"/>
  <c r="V128" i="5"/>
  <c r="H128" i="5"/>
  <c r="V127" i="5"/>
  <c r="H127" i="5"/>
  <c r="V126" i="5"/>
  <c r="H126" i="5"/>
  <c r="V125" i="5"/>
  <c r="H125" i="5"/>
  <c r="V124" i="5"/>
  <c r="H124" i="5"/>
  <c r="V123" i="5"/>
  <c r="H123" i="5"/>
  <c r="V122" i="5"/>
  <c r="H122" i="5"/>
  <c r="V121" i="5"/>
  <c r="H121" i="5"/>
  <c r="V120" i="5"/>
  <c r="H120" i="5"/>
  <c r="V119" i="5"/>
  <c r="H119" i="5"/>
  <c r="V118" i="5"/>
  <c r="H118" i="5"/>
  <c r="V117" i="5"/>
  <c r="H117" i="5"/>
  <c r="V116" i="5"/>
  <c r="H116" i="5"/>
  <c r="V115" i="5"/>
  <c r="H115" i="5"/>
  <c r="V114" i="5"/>
  <c r="H114" i="5"/>
  <c r="V113" i="5"/>
  <c r="H113" i="5"/>
  <c r="V112" i="5"/>
  <c r="H112" i="5"/>
  <c r="V111" i="5"/>
  <c r="H111" i="5"/>
  <c r="V110" i="5"/>
  <c r="H110" i="5"/>
  <c r="V109" i="5"/>
  <c r="H109" i="5"/>
  <c r="V108" i="5"/>
  <c r="H108" i="5"/>
  <c r="V107" i="5"/>
  <c r="H107" i="5"/>
  <c r="V106" i="5"/>
  <c r="H106" i="5"/>
  <c r="V105" i="5"/>
  <c r="H105" i="5"/>
  <c r="V104" i="5"/>
  <c r="H104" i="5"/>
  <c r="V103" i="5"/>
  <c r="H103" i="5"/>
  <c r="V102" i="5"/>
  <c r="H102" i="5"/>
  <c r="V101" i="5"/>
  <c r="H101" i="5"/>
  <c r="V100" i="5"/>
  <c r="H100" i="5"/>
  <c r="V99" i="5"/>
  <c r="H99" i="5"/>
  <c r="V98" i="5"/>
  <c r="H98" i="5"/>
  <c r="V97" i="5"/>
  <c r="H97" i="5"/>
  <c r="V96" i="5"/>
  <c r="H96" i="5"/>
  <c r="V95" i="5"/>
  <c r="H95" i="5"/>
  <c r="V94" i="5"/>
  <c r="H94" i="5"/>
  <c r="V93" i="5"/>
  <c r="H93" i="5"/>
  <c r="V92" i="5"/>
  <c r="H92" i="5"/>
  <c r="V91" i="5"/>
  <c r="H91" i="5"/>
  <c r="V90" i="5"/>
  <c r="H90" i="5"/>
  <c r="V89" i="5"/>
  <c r="H89" i="5"/>
  <c r="V88" i="5"/>
  <c r="H88" i="5"/>
  <c r="V87" i="5"/>
  <c r="H87" i="5"/>
  <c r="V86" i="5"/>
  <c r="H86" i="5"/>
  <c r="V85" i="5"/>
  <c r="H85" i="5"/>
  <c r="V84" i="5"/>
  <c r="H84" i="5"/>
  <c r="V83" i="5"/>
  <c r="H83" i="5"/>
  <c r="V82" i="5"/>
  <c r="H82" i="5"/>
  <c r="V81" i="5"/>
  <c r="H81" i="5"/>
  <c r="V80" i="5"/>
  <c r="H80" i="5"/>
  <c r="V79" i="5"/>
  <c r="H79" i="5"/>
  <c r="V78" i="5"/>
  <c r="H78" i="5"/>
  <c r="V77" i="5"/>
  <c r="H77" i="5"/>
  <c r="V76" i="5"/>
  <c r="H76" i="5"/>
  <c r="V75" i="5"/>
  <c r="H75" i="5"/>
  <c r="V74" i="5"/>
  <c r="H74" i="5"/>
  <c r="V73" i="5"/>
  <c r="H73" i="5"/>
  <c r="V72" i="5"/>
  <c r="H72" i="5"/>
  <c r="V71" i="5"/>
  <c r="H71" i="5"/>
  <c r="V70" i="5"/>
  <c r="H70" i="5"/>
  <c r="V69" i="5"/>
  <c r="H69" i="5"/>
  <c r="V68" i="5"/>
  <c r="H68" i="5"/>
  <c r="V67" i="5"/>
  <c r="H67" i="5"/>
  <c r="V66" i="5"/>
  <c r="H66" i="5"/>
  <c r="V65" i="5"/>
  <c r="H65" i="5"/>
  <c r="V64" i="5"/>
  <c r="H64" i="5"/>
  <c r="V63" i="5"/>
  <c r="H63" i="5"/>
  <c r="V62" i="5"/>
  <c r="H62" i="5"/>
  <c r="V61" i="5"/>
  <c r="H61" i="5"/>
  <c r="V60" i="5"/>
  <c r="H60" i="5"/>
  <c r="V59" i="5"/>
  <c r="H59" i="5"/>
  <c r="V58" i="5"/>
  <c r="H58" i="5"/>
  <c r="V57" i="5"/>
  <c r="H57" i="5"/>
  <c r="V56" i="5"/>
  <c r="H56" i="5"/>
  <c r="V55" i="5"/>
  <c r="H55" i="5"/>
  <c r="V54" i="5"/>
  <c r="H54" i="5"/>
  <c r="V53" i="5"/>
  <c r="H53" i="5"/>
  <c r="V52" i="5"/>
  <c r="H52" i="5"/>
  <c r="V51" i="5"/>
  <c r="H51" i="5"/>
  <c r="V50" i="5"/>
  <c r="H50" i="5"/>
  <c r="V49" i="5"/>
  <c r="H49" i="5"/>
  <c r="V48" i="5"/>
  <c r="H48" i="5"/>
  <c r="V47" i="5"/>
  <c r="H47" i="5"/>
  <c r="V46" i="5"/>
  <c r="H46" i="5"/>
  <c r="V45" i="5"/>
  <c r="H45" i="5"/>
  <c r="V44" i="5"/>
  <c r="H44" i="5"/>
  <c r="V43" i="5"/>
  <c r="H43" i="5"/>
  <c r="V42" i="5"/>
  <c r="H42" i="5"/>
  <c r="V41" i="5"/>
  <c r="H41" i="5"/>
  <c r="V40" i="5"/>
  <c r="H40" i="5"/>
  <c r="V39" i="5"/>
  <c r="H39" i="5"/>
  <c r="V38" i="5"/>
  <c r="H38" i="5"/>
  <c r="V37" i="5"/>
  <c r="H37" i="5"/>
  <c r="V36" i="5"/>
  <c r="H36" i="5"/>
  <c r="V35" i="5"/>
  <c r="H35" i="5"/>
  <c r="V34" i="5"/>
  <c r="H34" i="5"/>
  <c r="V33" i="5"/>
  <c r="H33" i="5"/>
  <c r="V32" i="5"/>
  <c r="H32" i="5"/>
  <c r="V31" i="5"/>
  <c r="H31" i="5"/>
  <c r="V30" i="5"/>
  <c r="H30" i="5"/>
  <c r="V29" i="5"/>
  <c r="H29" i="5"/>
  <c r="V28" i="5"/>
  <c r="H28" i="5"/>
  <c r="V27" i="5"/>
  <c r="H27" i="5"/>
  <c r="V26" i="5"/>
  <c r="H26" i="5"/>
  <c r="V25" i="5"/>
  <c r="H25" i="5"/>
  <c r="V24" i="5"/>
  <c r="H24" i="5"/>
  <c r="V23" i="5"/>
  <c r="H23" i="5"/>
  <c r="V22" i="5"/>
  <c r="H22" i="5"/>
  <c r="V21" i="5"/>
  <c r="H21" i="5"/>
  <c r="V20" i="5"/>
  <c r="H20" i="5"/>
  <c r="V19" i="5"/>
  <c r="H19" i="5"/>
  <c r="V18" i="5"/>
  <c r="H18" i="5"/>
  <c r="V17" i="5"/>
  <c r="H17" i="5"/>
  <c r="V16" i="5"/>
  <c r="H16" i="5"/>
  <c r="V15" i="5"/>
  <c r="H15" i="5"/>
  <c r="V14" i="5"/>
  <c r="H14" i="5"/>
  <c r="V13" i="5"/>
  <c r="H13" i="5"/>
  <c r="V12" i="5"/>
  <c r="H12" i="5"/>
  <c r="V11" i="5"/>
  <c r="H11" i="5"/>
  <c r="V10" i="5"/>
  <c r="H10" i="5"/>
  <c r="V9" i="5"/>
  <c r="H9" i="5"/>
  <c r="V8" i="5"/>
  <c r="H8" i="5"/>
  <c r="V7" i="5"/>
  <c r="H7" i="5"/>
  <c r="V6" i="5"/>
  <c r="H6" i="5"/>
  <c r="V5" i="5"/>
  <c r="H5" i="5"/>
  <c r="AH2" i="5"/>
  <c r="AG2" i="5"/>
  <c r="AF2" i="5"/>
  <c r="AE2" i="5"/>
  <c r="AD2" i="5"/>
  <c r="AB2" i="5"/>
  <c r="AK2" i="5" s="1"/>
  <c r="AA2" i="5"/>
  <c r="Z2" i="5"/>
  <c r="U21" i="1"/>
  <c r="U53" i="1"/>
  <c r="U45" i="1"/>
  <c r="U41" i="1"/>
  <c r="U38" i="1"/>
  <c r="U40" i="1"/>
  <c r="U31" i="1"/>
  <c r="U34" i="1"/>
  <c r="U18" i="1"/>
  <c r="U36" i="1"/>
  <c r="U71" i="1"/>
  <c r="U51" i="1"/>
  <c r="U57" i="1"/>
  <c r="U54" i="1"/>
  <c r="U46" i="1"/>
  <c r="U33" i="1"/>
  <c r="U29" i="1"/>
  <c r="O39" i="1"/>
  <c r="O14" i="1"/>
  <c r="O28" i="1"/>
  <c r="O47" i="1"/>
  <c r="O73" i="1"/>
  <c r="O16" i="1"/>
  <c r="O62" i="1"/>
  <c r="O64" i="1"/>
  <c r="O72" i="1"/>
  <c r="O69" i="1"/>
  <c r="O67" i="1"/>
  <c r="O70" i="1"/>
  <c r="O63" i="1"/>
  <c r="O59" i="1"/>
  <c r="O60" i="1"/>
  <c r="O48" i="1"/>
  <c r="O58" i="1"/>
  <c r="O49" i="1"/>
  <c r="O50" i="1"/>
  <c r="O42" i="1"/>
  <c r="O43" i="1"/>
  <c r="O44" i="1"/>
  <c r="O37" i="1"/>
  <c r="O32" i="1"/>
  <c r="O25" i="1"/>
  <c r="O22" i="1"/>
  <c r="O23" i="1"/>
  <c r="O15" i="1"/>
  <c r="O24" i="1"/>
  <c r="O20" i="1"/>
  <c r="O78" i="1"/>
  <c r="O76" i="1"/>
  <c r="O77" i="1"/>
  <c r="O56" i="1"/>
  <c r="O35" i="1"/>
  <c r="O19" i="1"/>
  <c r="O17" i="1"/>
  <c r="O30" i="1"/>
  <c r="O61" i="1"/>
  <c r="O68" i="1"/>
  <c r="O74" i="1"/>
  <c r="O75" i="1"/>
  <c r="O65" i="1"/>
  <c r="O66" i="1"/>
  <c r="O52" i="1"/>
  <c r="O55" i="1"/>
  <c r="O27" i="1"/>
  <c r="O21" i="1"/>
  <c r="O53" i="1"/>
  <c r="O45" i="1"/>
  <c r="O41" i="1"/>
  <c r="O38" i="1"/>
  <c r="O40" i="1"/>
  <c r="O31" i="1"/>
  <c r="O34" i="1"/>
  <c r="O18" i="1"/>
  <c r="O36" i="1"/>
  <c r="O71" i="1"/>
  <c r="O51" i="1"/>
  <c r="O57" i="1"/>
  <c r="O54" i="1"/>
  <c r="O46" i="1"/>
  <c r="O33" i="1"/>
  <c r="O29" i="1"/>
  <c r="M21" i="1"/>
  <c r="V21" i="1" s="1"/>
  <c r="W21" i="1" s="1"/>
  <c r="M53" i="1"/>
  <c r="V53" i="1" s="1"/>
  <c r="M45" i="1"/>
  <c r="V45" i="1" s="1"/>
  <c r="M41" i="1"/>
  <c r="V41" i="1" s="1"/>
  <c r="M38" i="1"/>
  <c r="V38" i="1" s="1"/>
  <c r="M40" i="1"/>
  <c r="V40" i="1" s="1"/>
  <c r="M31" i="1"/>
  <c r="V31" i="1" s="1"/>
  <c r="M34" i="1"/>
  <c r="V34" i="1" s="1"/>
  <c r="M18" i="1"/>
  <c r="V18" i="1" s="1"/>
  <c r="M36" i="1"/>
  <c r="V36" i="1" s="1"/>
  <c r="Y36" i="1" s="1"/>
  <c r="M71" i="1"/>
  <c r="V71" i="1" s="1"/>
  <c r="Y71" i="1" s="1"/>
  <c r="M51" i="1"/>
  <c r="V51" i="1" s="1"/>
  <c r="M57" i="1"/>
  <c r="V57" i="1" s="1"/>
  <c r="M54" i="1"/>
  <c r="V54" i="1" s="1"/>
  <c r="M46" i="1"/>
  <c r="V46" i="1" s="1"/>
  <c r="M33" i="1"/>
  <c r="V33" i="1" s="1"/>
  <c r="M29" i="1"/>
  <c r="V29" i="1" s="1"/>
  <c r="W57" i="1" l="1"/>
  <c r="W45" i="1"/>
  <c r="Y40" i="1"/>
  <c r="Y33" i="1"/>
  <c r="W54" i="1"/>
  <c r="W31" i="1"/>
  <c r="Y31" i="1"/>
  <c r="W53" i="1"/>
  <c r="Y53" i="1"/>
  <c r="W51" i="1"/>
  <c r="Y51" i="1"/>
  <c r="W34" i="1"/>
  <c r="Y34" i="1"/>
  <c r="W29" i="1"/>
  <c r="Y29" i="1"/>
  <c r="W41" i="1"/>
  <c r="W33" i="1"/>
  <c r="W71" i="1"/>
  <c r="W46" i="1"/>
  <c r="W36" i="1"/>
  <c r="W40" i="1"/>
  <c r="W18" i="1"/>
  <c r="Y57" i="1"/>
  <c r="W38" i="1"/>
  <c r="Y54" i="1"/>
  <c r="Y41" i="1"/>
  <c r="Y45" i="1"/>
  <c r="Y21" i="1"/>
  <c r="Y46" i="1"/>
  <c r="Y18" i="1"/>
  <c r="Y38" i="1"/>
  <c r="U39" i="1"/>
  <c r="U14" i="1"/>
  <c r="U28" i="1"/>
  <c r="U47" i="1"/>
  <c r="U73" i="1"/>
  <c r="U16" i="1"/>
  <c r="U62" i="1"/>
  <c r="U64" i="1"/>
  <c r="U72" i="1"/>
  <c r="U69" i="1"/>
  <c r="U67" i="1"/>
  <c r="U70" i="1"/>
  <c r="U63" i="1"/>
  <c r="U59" i="1"/>
  <c r="U60" i="1"/>
  <c r="U48" i="1"/>
  <c r="U58" i="1"/>
  <c r="U49" i="1"/>
  <c r="U50" i="1"/>
  <c r="U42" i="1"/>
  <c r="U43" i="1"/>
  <c r="U44" i="1"/>
  <c r="U37" i="1"/>
  <c r="U32" i="1"/>
  <c r="U25" i="1"/>
  <c r="U22" i="1"/>
  <c r="U23" i="1"/>
  <c r="U15" i="1"/>
  <c r="U24" i="1"/>
  <c r="U20" i="1"/>
  <c r="U78" i="1"/>
  <c r="U76" i="1"/>
  <c r="U77" i="1"/>
  <c r="U56" i="1"/>
  <c r="U35" i="1"/>
  <c r="U19" i="1"/>
  <c r="U17" i="1"/>
  <c r="U30" i="1"/>
  <c r="U61" i="1"/>
  <c r="U68" i="1"/>
  <c r="U74" i="1"/>
  <c r="U75" i="1"/>
  <c r="U65" i="1"/>
  <c r="U66" i="1"/>
  <c r="U52" i="1"/>
  <c r="U55" i="1"/>
  <c r="U27" i="1"/>
  <c r="M39" i="1"/>
  <c r="V39" i="1" s="1"/>
  <c r="M14" i="1"/>
  <c r="V14" i="1" s="1"/>
  <c r="M28" i="1"/>
  <c r="V28" i="1" s="1"/>
  <c r="M47" i="1"/>
  <c r="V47" i="1" s="1"/>
  <c r="M73" i="1"/>
  <c r="V73" i="1" s="1"/>
  <c r="M16" i="1"/>
  <c r="V16" i="1" s="1"/>
  <c r="M62" i="1"/>
  <c r="V62" i="1" s="1"/>
  <c r="M64" i="1"/>
  <c r="V64" i="1" s="1"/>
  <c r="M72" i="1"/>
  <c r="V72" i="1" s="1"/>
  <c r="M69" i="1"/>
  <c r="V69" i="1" s="1"/>
  <c r="M67" i="1"/>
  <c r="V67" i="1" s="1"/>
  <c r="M70" i="1"/>
  <c r="V70" i="1" s="1"/>
  <c r="M63" i="1"/>
  <c r="V63" i="1" s="1"/>
  <c r="M59" i="1"/>
  <c r="V59" i="1" s="1"/>
  <c r="M60" i="1"/>
  <c r="V60" i="1" s="1"/>
  <c r="M48" i="1"/>
  <c r="V48" i="1" s="1"/>
  <c r="M58" i="1"/>
  <c r="V58" i="1" s="1"/>
  <c r="M49" i="1"/>
  <c r="V49" i="1" s="1"/>
  <c r="M50" i="1"/>
  <c r="V50" i="1" s="1"/>
  <c r="M42" i="1"/>
  <c r="V42" i="1" s="1"/>
  <c r="M43" i="1"/>
  <c r="V43" i="1" s="1"/>
  <c r="M44" i="1"/>
  <c r="V44" i="1" s="1"/>
  <c r="M37" i="1"/>
  <c r="V37" i="1" s="1"/>
  <c r="M32" i="1"/>
  <c r="V32" i="1" s="1"/>
  <c r="M25" i="1"/>
  <c r="V25" i="1" s="1"/>
  <c r="M22" i="1"/>
  <c r="V22" i="1" s="1"/>
  <c r="M23" i="1"/>
  <c r="V23" i="1" s="1"/>
  <c r="M15" i="1"/>
  <c r="V15" i="1" s="1"/>
  <c r="M24" i="1"/>
  <c r="V24" i="1" s="1"/>
  <c r="M20" i="1"/>
  <c r="V20" i="1" s="1"/>
  <c r="M78" i="1"/>
  <c r="V78" i="1" s="1"/>
  <c r="M76" i="1"/>
  <c r="V76" i="1" s="1"/>
  <c r="M77" i="1"/>
  <c r="V77" i="1" s="1"/>
  <c r="M56" i="1"/>
  <c r="V56" i="1" s="1"/>
  <c r="M35" i="1"/>
  <c r="V35" i="1" s="1"/>
  <c r="M19" i="1"/>
  <c r="V19" i="1" s="1"/>
  <c r="M17" i="1"/>
  <c r="V17" i="1" s="1"/>
  <c r="W17" i="1" s="1"/>
  <c r="M30" i="1"/>
  <c r="V30" i="1" s="1"/>
  <c r="M61" i="1"/>
  <c r="V61" i="1" s="1"/>
  <c r="M68" i="1"/>
  <c r="V68" i="1" s="1"/>
  <c r="M74" i="1"/>
  <c r="V74" i="1" s="1"/>
  <c r="M75" i="1"/>
  <c r="V75" i="1" s="1"/>
  <c r="M65" i="1"/>
  <c r="V65" i="1" s="1"/>
  <c r="M66" i="1"/>
  <c r="V66" i="1" s="1"/>
  <c r="M52" i="1"/>
  <c r="V52" i="1" s="1"/>
  <c r="M55" i="1"/>
  <c r="V55" i="1" s="1"/>
  <c r="M27" i="1"/>
  <c r="V27" i="1" s="1"/>
  <c r="W28" i="1" l="1"/>
  <c r="W72" i="1"/>
  <c r="W24" i="1"/>
  <c r="W69" i="1"/>
  <c r="W20" i="1"/>
  <c r="W64" i="1"/>
  <c r="W47" i="1"/>
  <c r="W15" i="1"/>
  <c r="W78" i="1"/>
  <c r="W62" i="1"/>
  <c r="W22" i="1"/>
  <c r="W61" i="1"/>
  <c r="W25" i="1"/>
  <c r="W23" i="1"/>
  <c r="W50" i="1"/>
  <c r="W48" i="1"/>
  <c r="W30" i="1"/>
  <c r="W32" i="1"/>
  <c r="W67" i="1"/>
  <c r="W73" i="1"/>
  <c r="W35" i="1"/>
  <c r="W58" i="1"/>
  <c r="W76" i="1"/>
  <c r="W55" i="1"/>
  <c r="W43" i="1"/>
  <c r="W77" i="1"/>
  <c r="W65" i="1"/>
  <c r="W49" i="1"/>
  <c r="W27" i="1"/>
  <c r="W14" i="1"/>
  <c r="W60" i="1"/>
  <c r="W59" i="1"/>
  <c r="W63" i="1"/>
  <c r="W70" i="1"/>
  <c r="W16" i="1"/>
  <c r="W75" i="1"/>
  <c r="W74" i="1"/>
  <c r="W37" i="1"/>
  <c r="W52" i="1"/>
  <c r="W42" i="1"/>
  <c r="W66" i="1"/>
  <c r="W56" i="1"/>
  <c r="W68" i="1"/>
  <c r="W44" i="1"/>
  <c r="W39" i="1"/>
  <c r="W19" i="1"/>
  <c r="X845" i="1" l="1"/>
  <c r="Y845" i="1"/>
  <c r="X846" i="1"/>
  <c r="X847" i="1"/>
  <c r="Y847" i="1"/>
  <c r="X848" i="1"/>
  <c r="Y848" i="1"/>
  <c r="X849" i="1"/>
  <c r="X850" i="1"/>
  <c r="Y850" i="1"/>
  <c r="X851" i="1"/>
  <c r="X852" i="1"/>
  <c r="X853" i="1"/>
  <c r="Y853" i="1"/>
  <c r="Y854" i="1"/>
  <c r="X854" i="1"/>
  <c r="X855" i="1"/>
  <c r="Y855" i="1"/>
  <c r="X856" i="1"/>
  <c r="X857" i="1"/>
  <c r="Y857" i="1"/>
  <c r="X858" i="1"/>
  <c r="Y858" i="1"/>
  <c r="X859" i="1"/>
  <c r="X860" i="1"/>
  <c r="X861" i="1"/>
  <c r="X862" i="1"/>
  <c r="X863" i="1"/>
  <c r="Y863" i="1"/>
  <c r="X864" i="1"/>
  <c r="X865" i="1"/>
  <c r="Y865" i="1"/>
  <c r="Y866" i="1"/>
  <c r="X866" i="1"/>
  <c r="X867" i="1"/>
  <c r="Y867" i="1"/>
  <c r="X868" i="1"/>
  <c r="Y868" i="1"/>
  <c r="Y869" i="1"/>
  <c r="X869" i="1"/>
  <c r="X870" i="1"/>
  <c r="X871" i="1"/>
  <c r="X872" i="1"/>
  <c r="Y872" i="1"/>
  <c r="X873" i="1"/>
  <c r="Y873" i="1"/>
  <c r="Y874" i="1"/>
  <c r="X874" i="1"/>
  <c r="Y875" i="1"/>
  <c r="X875" i="1"/>
  <c r="X876" i="1"/>
  <c r="Y876" i="1"/>
  <c r="X877" i="1"/>
  <c r="Y877" i="1"/>
  <c r="X878" i="1"/>
  <c r="Y878" i="1"/>
  <c r="Y879" i="1"/>
  <c r="X879" i="1"/>
  <c r="X880" i="1"/>
  <c r="Y880" i="1"/>
  <c r="X881" i="1"/>
  <c r="Y881" i="1"/>
  <c r="X882" i="1"/>
  <c r="X883" i="1"/>
  <c r="Y883" i="1"/>
  <c r="Y884" i="1"/>
  <c r="X884" i="1"/>
  <c r="X885" i="1"/>
  <c r="X886" i="1"/>
  <c r="Y886" i="1"/>
  <c r="X887" i="1"/>
  <c r="Y887" i="1"/>
  <c r="X888" i="1"/>
  <c r="Y888" i="1"/>
  <c r="X889" i="1"/>
  <c r="X890" i="1"/>
  <c r="Y890" i="1"/>
  <c r="X891" i="1"/>
  <c r="Y891" i="1"/>
  <c r="X892" i="1"/>
  <c r="Y892" i="1"/>
  <c r="X893" i="1"/>
  <c r="Y893" i="1"/>
  <c r="Y894" i="1"/>
  <c r="X894" i="1"/>
  <c r="Y895" i="1"/>
  <c r="X895" i="1"/>
  <c r="X896" i="1"/>
  <c r="X897" i="1"/>
  <c r="Y897" i="1"/>
  <c r="X898" i="1"/>
  <c r="Y898" i="1"/>
  <c r="Y899" i="1"/>
  <c r="X899" i="1"/>
  <c r="Y900" i="1"/>
  <c r="X900" i="1"/>
  <c r="X901" i="1"/>
  <c r="Y901" i="1"/>
  <c r="X902" i="1"/>
  <c r="Y902" i="1"/>
  <c r="X903" i="1"/>
  <c r="Y903" i="1"/>
  <c r="Y904" i="1"/>
  <c r="X904" i="1"/>
  <c r="X905" i="1"/>
  <c r="Y906" i="1"/>
  <c r="X906" i="1"/>
  <c r="Y907" i="1"/>
  <c r="X907" i="1"/>
  <c r="X908" i="1"/>
  <c r="Y908" i="1"/>
  <c r="Y909" i="1"/>
  <c r="X909" i="1"/>
  <c r="X910" i="1"/>
  <c r="X911" i="1"/>
  <c r="Y911" i="1"/>
  <c r="Y912" i="1"/>
  <c r="X912" i="1"/>
  <c r="X913" i="1"/>
  <c r="Y913" i="1"/>
  <c r="X914" i="1"/>
  <c r="X915" i="1"/>
  <c r="Y915" i="1"/>
  <c r="X916" i="1"/>
  <c r="Y916" i="1"/>
  <c r="X917" i="1"/>
  <c r="X918" i="1"/>
  <c r="Y918" i="1"/>
  <c r="Y919" i="1"/>
  <c r="X919" i="1"/>
  <c r="X920" i="1"/>
  <c r="Y920" i="1"/>
  <c r="X921" i="1"/>
  <c r="X922" i="1"/>
  <c r="Y922" i="1"/>
  <c r="X923" i="1"/>
  <c r="Y923" i="1"/>
  <c r="X924" i="1"/>
  <c r="Y925" i="1"/>
  <c r="X925" i="1"/>
  <c r="Y926" i="1"/>
  <c r="X926" i="1"/>
  <c r="X927" i="1"/>
  <c r="Y927" i="1"/>
  <c r="X928" i="1"/>
  <c r="Y928" i="1"/>
  <c r="Y929" i="1"/>
  <c r="X929" i="1"/>
  <c r="X930" i="1"/>
  <c r="Y930" i="1"/>
  <c r="X931" i="1"/>
  <c r="Y931" i="1"/>
  <c r="X932" i="1"/>
  <c r="X933" i="1"/>
  <c r="Y933" i="1"/>
  <c r="Y934" i="1"/>
  <c r="X934" i="1"/>
  <c r="X935" i="1"/>
  <c r="X936" i="1"/>
  <c r="Y936" i="1"/>
  <c r="X937" i="1"/>
  <c r="Y937" i="1"/>
  <c r="X938" i="1"/>
  <c r="Y938" i="1"/>
  <c r="X939" i="1"/>
  <c r="Y940" i="1"/>
  <c r="X940" i="1"/>
  <c r="X941" i="1"/>
  <c r="Y942" i="1"/>
  <c r="X942" i="1"/>
  <c r="X943" i="1"/>
  <c r="Y943" i="1"/>
  <c r="Y944" i="1"/>
  <c r="X944" i="1"/>
  <c r="Y945" i="1"/>
  <c r="X945" i="1"/>
  <c r="X946" i="1"/>
  <c r="X947" i="1"/>
  <c r="X948" i="1"/>
  <c r="Y948" i="1"/>
  <c r="Y949" i="1"/>
  <c r="X949" i="1"/>
  <c r="X950" i="1"/>
  <c r="Y950" i="1"/>
  <c r="X951" i="1"/>
  <c r="X952" i="1"/>
  <c r="X953" i="1"/>
  <c r="Y953" i="1"/>
  <c r="Y954" i="1"/>
  <c r="X954" i="1"/>
  <c r="X955" i="1"/>
  <c r="Y955" i="1"/>
  <c r="Y956" i="1"/>
  <c r="X956" i="1"/>
  <c r="X957" i="1"/>
  <c r="X958" i="1"/>
  <c r="Y958" i="1"/>
  <c r="Y959" i="1"/>
  <c r="X959" i="1"/>
  <c r="X960" i="1"/>
  <c r="Y960" i="1"/>
  <c r="X961" i="1"/>
  <c r="Y961" i="1"/>
  <c r="Y962" i="1"/>
  <c r="X962" i="1"/>
  <c r="X963" i="1"/>
  <c r="Y963" i="1"/>
  <c r="X964" i="1"/>
  <c r="Y965" i="1"/>
  <c r="X965" i="1"/>
  <c r="X966" i="1"/>
  <c r="X967" i="1"/>
  <c r="Y967" i="1"/>
  <c r="X968" i="1"/>
  <c r="Y968" i="1"/>
  <c r="Y969" i="1"/>
  <c r="X969" i="1"/>
  <c r="X970" i="1"/>
  <c r="Y970" i="1"/>
  <c r="X971" i="1"/>
  <c r="X972" i="1"/>
  <c r="X973" i="1"/>
  <c r="Y973" i="1"/>
  <c r="Y974" i="1"/>
  <c r="X974" i="1"/>
  <c r="Y975" i="1"/>
  <c r="X975" i="1"/>
  <c r="Y976" i="1"/>
  <c r="X976" i="1"/>
  <c r="X977" i="1"/>
  <c r="X978" i="1"/>
  <c r="Y978" i="1"/>
  <c r="X979" i="1"/>
  <c r="X980" i="1"/>
  <c r="Y980" i="1"/>
  <c r="Y981" i="1"/>
  <c r="X981" i="1"/>
  <c r="X982" i="1"/>
  <c r="Y982" i="1"/>
  <c r="X983" i="1"/>
  <c r="Y983" i="1"/>
  <c r="Y984" i="1"/>
  <c r="X984" i="1"/>
  <c r="X985" i="1"/>
  <c r="X986" i="1"/>
  <c r="Y987" i="1"/>
  <c r="X987" i="1"/>
  <c r="X988" i="1"/>
  <c r="Y988" i="1"/>
  <c r="X989" i="1"/>
  <c r="Y990" i="1"/>
  <c r="X990" i="1"/>
  <c r="X991" i="1"/>
  <c r="X992" i="1"/>
  <c r="Y992" i="1"/>
  <c r="X993" i="1"/>
  <c r="Y993" i="1"/>
  <c r="Y994" i="1"/>
  <c r="X994" i="1"/>
  <c r="Y995" i="1"/>
  <c r="X995" i="1"/>
  <c r="X996" i="1"/>
  <c r="X997" i="1"/>
  <c r="Y997" i="1"/>
  <c r="X998" i="1"/>
  <c r="Y998" i="1"/>
  <c r="X999" i="1"/>
  <c r="X1000" i="1"/>
  <c r="X1001" i="1"/>
  <c r="X1002" i="1"/>
  <c r="Y1002" i="1"/>
  <c r="X1003" i="1"/>
  <c r="Y1003" i="1"/>
  <c r="Y1004" i="1"/>
  <c r="X1004" i="1"/>
  <c r="X1005" i="1"/>
  <c r="Y1005" i="1"/>
  <c r="X1006" i="1"/>
  <c r="Y1007" i="1"/>
  <c r="X1007" i="1"/>
  <c r="X1008" i="1"/>
  <c r="Y1008" i="1"/>
  <c r="Y1009" i="1"/>
  <c r="X1009" i="1"/>
  <c r="X1010" i="1"/>
  <c r="X1011" i="1"/>
  <c r="Y1012" i="1"/>
  <c r="X1012" i="1"/>
  <c r="X1013" i="1"/>
  <c r="Y1013" i="1"/>
  <c r="X1014" i="1"/>
  <c r="X1015" i="1"/>
  <c r="Y1015" i="1"/>
  <c r="X1016" i="1"/>
  <c r="X1017" i="1"/>
  <c r="Y1017" i="1"/>
  <c r="X1018" i="1"/>
  <c r="Y1018" i="1"/>
  <c r="X1019" i="1"/>
  <c r="Y1020" i="1"/>
  <c r="X1020" i="1"/>
  <c r="X1021" i="1"/>
  <c r="X1022" i="1"/>
  <c r="X1023" i="1"/>
  <c r="Y1023" i="1"/>
  <c r="X1024" i="1"/>
  <c r="Y1025" i="1"/>
  <c r="X1025" i="1"/>
  <c r="X1026" i="1"/>
  <c r="Y1026" i="1"/>
  <c r="X1027" i="1"/>
  <c r="X1028" i="1"/>
  <c r="Y1028" i="1"/>
  <c r="Y1029" i="1"/>
  <c r="X1029" i="1"/>
  <c r="X1030" i="1"/>
  <c r="Y1031" i="1"/>
  <c r="X1031" i="1"/>
  <c r="X1032" i="1"/>
  <c r="X1033" i="1"/>
  <c r="Y1033" i="1"/>
  <c r="X1034" i="1"/>
  <c r="X1035" i="1"/>
  <c r="Y1035" i="1"/>
  <c r="X1036" i="1"/>
  <c r="X1037" i="1"/>
  <c r="Y1037" i="1"/>
  <c r="X1038" i="1"/>
  <c r="Y1038" i="1"/>
  <c r="X1039" i="1"/>
  <c r="X1040" i="1"/>
  <c r="Y1040" i="1"/>
  <c r="X1041" i="1"/>
  <c r="Y1041" i="1"/>
  <c r="X1042" i="1"/>
  <c r="Y1042" i="1"/>
  <c r="X1043" i="1"/>
  <c r="Y1043" i="1"/>
  <c r="X1044" i="1"/>
  <c r="Y1045" i="1"/>
  <c r="X1045" i="1"/>
  <c r="X1046" i="1"/>
  <c r="X1047" i="1"/>
  <c r="X1048" i="1"/>
  <c r="Y1048" i="1"/>
  <c r="X1049" i="1"/>
  <c r="X1050" i="1"/>
  <c r="X1051" i="1"/>
  <c r="Y1052" i="1"/>
  <c r="X1052" i="1"/>
  <c r="X1053" i="1"/>
  <c r="Y1053" i="1"/>
  <c r="X1054" i="1"/>
  <c r="X1055" i="1"/>
  <c r="Y1055" i="1"/>
  <c r="X1056" i="1"/>
  <c r="X1057" i="1"/>
  <c r="Y1057" i="1"/>
  <c r="X1058" i="1"/>
  <c r="Y1058" i="1"/>
  <c r="Y1059" i="1"/>
  <c r="X1059" i="1"/>
  <c r="X1060" i="1"/>
  <c r="Y1060" i="1"/>
  <c r="X1061" i="1"/>
  <c r="Y1061" i="1"/>
  <c r="X1062" i="1"/>
  <c r="Y1062" i="1"/>
  <c r="X1063" i="1"/>
  <c r="Y1063" i="1"/>
  <c r="X1064" i="1"/>
  <c r="X1065" i="1"/>
  <c r="X1066" i="1"/>
  <c r="Y1066" i="1"/>
  <c r="X1067" i="1"/>
  <c r="Y1067" i="1"/>
  <c r="X1068" i="1"/>
  <c r="Y1068" i="1"/>
  <c r="Y1069" i="1"/>
  <c r="X1069" i="1"/>
  <c r="X1070" i="1"/>
  <c r="Y1070" i="1"/>
  <c r="X1071" i="1"/>
  <c r="X1072" i="1"/>
  <c r="Y1072" i="1"/>
  <c r="X1073" i="1"/>
  <c r="Y1073" i="1"/>
  <c r="X1074" i="1"/>
  <c r="Y1075" i="1"/>
  <c r="X1075" i="1"/>
  <c r="X1076" i="1"/>
  <c r="X1077" i="1"/>
  <c r="Y1077" i="1"/>
  <c r="X1078" i="1"/>
  <c r="Y1078" i="1"/>
  <c r="Y1079" i="1"/>
  <c r="X1079" i="1"/>
  <c r="X1080" i="1"/>
  <c r="X1081" i="1"/>
  <c r="X1082" i="1"/>
  <c r="Y1082" i="1"/>
  <c r="X1083" i="1"/>
  <c r="Y1083" i="1"/>
  <c r="X1084" i="1"/>
  <c r="X1085" i="1"/>
  <c r="Y1085" i="1"/>
  <c r="X1086" i="1"/>
  <c r="Y1087" i="1"/>
  <c r="X1087" i="1"/>
  <c r="X1088" i="1"/>
  <c r="Y1088" i="1"/>
  <c r="X1089" i="1"/>
  <c r="X1090" i="1"/>
  <c r="Y1090" i="1"/>
  <c r="X1091" i="1"/>
  <c r="X1092" i="1"/>
  <c r="Y1092" i="1"/>
  <c r="X1093" i="1"/>
  <c r="Y1093" i="1"/>
  <c r="X1094" i="1"/>
  <c r="X1095" i="1"/>
  <c r="Y1095" i="1"/>
  <c r="X1096" i="1"/>
  <c r="X1097" i="1"/>
  <c r="X1098" i="1"/>
  <c r="Y1098" i="1"/>
  <c r="Y1099" i="1"/>
  <c r="X1099" i="1"/>
  <c r="X1100" i="1"/>
  <c r="X1101" i="1"/>
  <c r="X1102" i="1"/>
  <c r="X1103" i="1"/>
  <c r="Y1103" i="1"/>
  <c r="X1104" i="1"/>
  <c r="X1105" i="1"/>
  <c r="X1106" i="1"/>
  <c r="X1107" i="1"/>
  <c r="Y1107" i="1"/>
  <c r="X1108" i="1"/>
  <c r="Y1108" i="1"/>
  <c r="Y1109" i="1"/>
  <c r="X1109" i="1"/>
  <c r="X1110" i="1"/>
  <c r="Y1110" i="1"/>
  <c r="X1111" i="1"/>
  <c r="Y1111" i="1"/>
  <c r="X1112" i="1"/>
  <c r="Y1112" i="1"/>
  <c r="X1113" i="1"/>
  <c r="Y1113" i="1"/>
  <c r="X1114" i="1"/>
  <c r="Y1115" i="1"/>
  <c r="X1115" i="1"/>
  <c r="X1116" i="1"/>
  <c r="Y1116" i="1"/>
  <c r="X1117" i="1"/>
  <c r="X1118" i="1"/>
  <c r="Y1118" i="1"/>
  <c r="Y1119" i="1"/>
  <c r="X1119" i="1"/>
  <c r="Y1120" i="1"/>
  <c r="X1120" i="1"/>
  <c r="X1121" i="1"/>
  <c r="X1122" i="1"/>
  <c r="Y1122" i="1"/>
  <c r="X1123" i="1"/>
  <c r="Y1123" i="1"/>
  <c r="X1124" i="1"/>
  <c r="X1125" i="1"/>
  <c r="Y1125" i="1"/>
  <c r="X1126" i="1"/>
  <c r="X1127" i="1"/>
  <c r="Y1127" i="1"/>
  <c r="X1128" i="1"/>
  <c r="Y1128" i="1"/>
  <c r="Y1129" i="1"/>
  <c r="X1129" i="1"/>
  <c r="X1130" i="1"/>
  <c r="X1131" i="1"/>
  <c r="X1132" i="1"/>
  <c r="Y1132" i="1"/>
  <c r="X1133" i="1"/>
  <c r="Y1133" i="1"/>
  <c r="Y1134" i="1"/>
  <c r="X1134" i="1"/>
  <c r="X1135" i="1"/>
  <c r="X1136" i="1"/>
  <c r="Y1136" i="1"/>
  <c r="X1137" i="1"/>
  <c r="X1138" i="1"/>
  <c r="Y1138" i="1"/>
  <c r="X1139" i="1"/>
  <c r="X1140" i="1"/>
  <c r="Y1140" i="1"/>
  <c r="X1141" i="1"/>
  <c r="Y1141" i="1"/>
  <c r="X1142" i="1"/>
  <c r="X1143" i="1"/>
  <c r="Y1143" i="1"/>
  <c r="X1144" i="1"/>
  <c r="X1145" i="1"/>
  <c r="Y1145" i="1"/>
  <c r="X1146" i="1"/>
  <c r="X1147" i="1"/>
  <c r="Y1147" i="1"/>
  <c r="X1148" i="1"/>
  <c r="Y1148" i="1"/>
  <c r="Y1149" i="1"/>
  <c r="X1149" i="1"/>
  <c r="X1150" i="1"/>
  <c r="X1151" i="1"/>
  <c r="Y1151" i="1"/>
  <c r="X1152" i="1"/>
  <c r="Y1152" i="1"/>
  <c r="X1153" i="1"/>
  <c r="Y1153" i="1"/>
  <c r="X1154" i="1"/>
  <c r="Y1154" i="1"/>
  <c r="X1155" i="1"/>
  <c r="X1156" i="1"/>
  <c r="Y1156" i="1"/>
  <c r="X1157" i="1"/>
  <c r="Y1157" i="1"/>
  <c r="X1158" i="1"/>
  <c r="Y1158" i="1"/>
  <c r="X1159" i="1"/>
  <c r="Y1159" i="1"/>
  <c r="X1160" i="1"/>
  <c r="Y1160" i="1"/>
  <c r="X1161" i="1"/>
  <c r="Y1161" i="1"/>
  <c r="X1162" i="1"/>
  <c r="Y1162" i="1"/>
  <c r="Y1163" i="1"/>
  <c r="X1163" i="1"/>
  <c r="X1164" i="1"/>
  <c r="Y1165" i="1"/>
  <c r="X1165" i="1"/>
  <c r="X1166" i="1"/>
  <c r="Y1166" i="1"/>
  <c r="X1167" i="1"/>
  <c r="Y1167" i="1"/>
  <c r="X1168" i="1"/>
  <c r="Y1168" i="1"/>
  <c r="X1169" i="1"/>
  <c r="Y1169" i="1"/>
  <c r="X1170" i="1"/>
  <c r="Y1170" i="1"/>
  <c r="X1171" i="1"/>
  <c r="Y1171" i="1"/>
  <c r="X1172" i="1"/>
  <c r="Y1173" i="1"/>
  <c r="X1173" i="1"/>
  <c r="Y1174" i="1"/>
  <c r="X1174" i="1"/>
  <c r="X1175" i="1"/>
  <c r="Y1175" i="1"/>
  <c r="X1176" i="1"/>
  <c r="X1177" i="1"/>
  <c r="Y1177" i="1"/>
  <c r="X1178" i="1"/>
  <c r="Y1178" i="1"/>
  <c r="X1179" i="1"/>
  <c r="X1180" i="1"/>
  <c r="X1181" i="1"/>
  <c r="X1182" i="1"/>
  <c r="Y1182" i="1"/>
  <c r="Y1183" i="1"/>
  <c r="X1183" i="1"/>
  <c r="X1184" i="1"/>
  <c r="X1185" i="1"/>
  <c r="Y1185" i="1"/>
  <c r="Y1186" i="1"/>
  <c r="X1186" i="1"/>
  <c r="X1187" i="1"/>
  <c r="Y1187" i="1"/>
  <c r="X1188" i="1"/>
  <c r="X1189" i="1"/>
  <c r="X1190" i="1"/>
  <c r="Y1190" i="1"/>
  <c r="X1191" i="1"/>
  <c r="Y1191" i="1"/>
  <c r="X1192" i="1"/>
  <c r="Y1193" i="1"/>
  <c r="X1193" i="1"/>
  <c r="Y1194" i="1"/>
  <c r="X1194" i="1"/>
  <c r="X1195" i="1"/>
  <c r="Y1195" i="1"/>
  <c r="X1196" i="1"/>
  <c r="Y1196" i="1"/>
  <c r="X1197" i="1"/>
  <c r="Y1197" i="1"/>
  <c r="Y1198" i="1"/>
  <c r="X1198" i="1"/>
  <c r="X1199" i="1"/>
  <c r="Y1199" i="1"/>
  <c r="X1200" i="1"/>
  <c r="Y1200" i="1"/>
  <c r="X1201" i="1"/>
  <c r="X1202" i="1"/>
  <c r="Y1202" i="1"/>
  <c r="Y1203" i="1"/>
  <c r="X1203" i="1"/>
  <c r="X1204" i="1"/>
  <c r="Y1204" i="1"/>
  <c r="X1205" i="1"/>
  <c r="Y1206" i="1"/>
  <c r="X1206" i="1"/>
  <c r="X1207" i="1"/>
  <c r="Y1207" i="1"/>
  <c r="X1208" i="1"/>
  <c r="X1209" i="1"/>
  <c r="Y1209" i="1"/>
  <c r="X1210" i="1"/>
  <c r="Y1210" i="1"/>
  <c r="X1211" i="1"/>
  <c r="Y1211" i="1"/>
  <c r="Y1212" i="1"/>
  <c r="X1212" i="1"/>
  <c r="X1213" i="1"/>
  <c r="X1214" i="1"/>
  <c r="X1215" i="1"/>
  <c r="X1216" i="1"/>
  <c r="Y1216" i="1"/>
  <c r="X1217" i="1"/>
  <c r="Y1217" i="1"/>
  <c r="X1218" i="1"/>
  <c r="Y1218" i="1"/>
  <c r="X1219" i="1"/>
  <c r="Y1219" i="1"/>
  <c r="X1220" i="1"/>
  <c r="Y1221" i="1"/>
  <c r="X1221" i="1"/>
  <c r="X1222" i="1"/>
  <c r="Y1222" i="1"/>
  <c r="Y1223" i="1"/>
  <c r="X1223" i="1"/>
  <c r="X1224" i="1"/>
  <c r="X1225" i="1"/>
  <c r="Y1225" i="1"/>
  <c r="X1226" i="1"/>
  <c r="Y1226" i="1"/>
  <c r="X1227" i="1"/>
  <c r="Y1227" i="1"/>
  <c r="X1228" i="1"/>
  <c r="Y1228" i="1"/>
  <c r="Y1229" i="1"/>
  <c r="X1229" i="1"/>
  <c r="X1230" i="1"/>
  <c r="Y1230" i="1"/>
  <c r="X1231" i="1"/>
  <c r="Y1231" i="1"/>
  <c r="Y1232" i="1"/>
  <c r="X1232" i="1"/>
  <c r="Y1233" i="1"/>
  <c r="X1233" i="1"/>
  <c r="X1234" i="1"/>
  <c r="X1235" i="1"/>
  <c r="Y1235" i="1"/>
  <c r="Y1236" i="1"/>
  <c r="X1236" i="1"/>
  <c r="X1237" i="1"/>
  <c r="Y1237" i="1"/>
  <c r="X1238" i="1"/>
  <c r="Y1238" i="1"/>
  <c r="X1239" i="1"/>
  <c r="X1240" i="1"/>
  <c r="Y1240" i="1"/>
  <c r="X1241" i="1"/>
  <c r="X1242" i="1"/>
  <c r="Y1243" i="1"/>
  <c r="X1243" i="1"/>
  <c r="X1244" i="1"/>
  <c r="Y1244" i="1"/>
  <c r="X1245" i="1"/>
  <c r="Y1245" i="1"/>
  <c r="Y1246" i="1"/>
  <c r="X1246" i="1"/>
  <c r="X1247" i="1"/>
  <c r="Y1247" i="1"/>
  <c r="X1248" i="1"/>
  <c r="X1249" i="1"/>
  <c r="Y1249" i="1"/>
  <c r="X1250" i="1"/>
  <c r="Y1250" i="1"/>
  <c r="X1251" i="1"/>
  <c r="X1252" i="1"/>
  <c r="Y1252" i="1"/>
  <c r="X1253" i="1"/>
  <c r="X1254" i="1"/>
  <c r="Y1254" i="1"/>
  <c r="X1255" i="1"/>
  <c r="X1256" i="1"/>
  <c r="Y1256" i="1"/>
  <c r="X1257" i="1"/>
  <c r="Y1257" i="1"/>
  <c r="X1258" i="1"/>
  <c r="Y1258" i="1"/>
  <c r="X1259" i="1"/>
  <c r="Y1259" i="1"/>
  <c r="Y1260" i="1"/>
  <c r="X1260" i="1"/>
  <c r="Y1261" i="1"/>
  <c r="X1261" i="1"/>
  <c r="X1262" i="1"/>
  <c r="X1263" i="1"/>
  <c r="X1264" i="1"/>
  <c r="X1265" i="1"/>
  <c r="Y1265" i="1"/>
  <c r="X1266" i="1"/>
  <c r="Y1266" i="1"/>
  <c r="X1267" i="1"/>
  <c r="Y1267" i="1"/>
  <c r="Y1268" i="1"/>
  <c r="X1268" i="1"/>
  <c r="X1269" i="1"/>
  <c r="X1270" i="1"/>
  <c r="X1271" i="1"/>
  <c r="X1272" i="1"/>
  <c r="Y1272" i="1"/>
  <c r="Y1273" i="1"/>
  <c r="X1273" i="1"/>
  <c r="X1274" i="1"/>
  <c r="X1275" i="1"/>
  <c r="X1276" i="1"/>
  <c r="X1277" i="1"/>
  <c r="Y1277" i="1"/>
  <c r="X1278" i="1"/>
  <c r="Y1278" i="1"/>
  <c r="Y1279" i="1"/>
  <c r="X1279" i="1"/>
  <c r="X1280" i="1"/>
  <c r="Y1281" i="1"/>
  <c r="X1281" i="1"/>
  <c r="X1282" i="1"/>
  <c r="X1283" i="1"/>
  <c r="X1284" i="1"/>
  <c r="Y1284" i="1"/>
  <c r="X1285" i="1"/>
  <c r="Y1285" i="1"/>
  <c r="X1286" i="1"/>
  <c r="X1287" i="1"/>
  <c r="Y1287" i="1"/>
  <c r="X1288" i="1"/>
  <c r="X1289" i="1"/>
  <c r="Y1289" i="1"/>
  <c r="X1290" i="1"/>
  <c r="Y1290" i="1"/>
  <c r="X1291" i="1"/>
  <c r="X1292" i="1"/>
  <c r="X1293" i="1"/>
  <c r="X1294" i="1"/>
  <c r="Y1294" i="1"/>
  <c r="X1295" i="1"/>
  <c r="X1296" i="1"/>
  <c r="X1297" i="1"/>
  <c r="Y1297" i="1"/>
  <c r="X1298" i="1"/>
  <c r="X1299" i="1"/>
  <c r="X1300" i="1"/>
  <c r="X1301" i="1"/>
  <c r="Y1301" i="1"/>
  <c r="X1302" i="1"/>
  <c r="Y1302" i="1"/>
  <c r="X1303" i="1"/>
  <c r="X1304" i="1"/>
  <c r="Y1304" i="1"/>
  <c r="Y1305" i="1"/>
  <c r="X1305" i="1"/>
  <c r="X1306" i="1"/>
  <c r="Y1306" i="1"/>
  <c r="X1307" i="1"/>
  <c r="Y1307" i="1"/>
  <c r="Y1308" i="1"/>
  <c r="X1308" i="1"/>
  <c r="X1309" i="1"/>
  <c r="Y1309" i="1"/>
  <c r="X1310" i="1"/>
  <c r="Y1310" i="1"/>
  <c r="X1311" i="1"/>
  <c r="X1312" i="1"/>
  <c r="Y1313" i="1"/>
  <c r="X1313" i="1"/>
  <c r="X1314" i="1"/>
  <c r="X1315" i="1"/>
  <c r="X1316" i="1"/>
  <c r="Y1316" i="1"/>
  <c r="X1317" i="1"/>
  <c r="Y1317" i="1"/>
  <c r="X1318" i="1"/>
  <c r="X1319" i="1"/>
  <c r="X1320" i="1"/>
  <c r="Y1320" i="1"/>
  <c r="X1321" i="1"/>
  <c r="Y1321" i="1"/>
  <c r="X1322" i="1"/>
  <c r="Y1322" i="1"/>
  <c r="X1323" i="1"/>
  <c r="X1324" i="1"/>
  <c r="X1325" i="1"/>
  <c r="Y1325" i="1"/>
  <c r="X1326" i="1"/>
  <c r="Y1326" i="1"/>
  <c r="X1327" i="1"/>
  <c r="Y1327" i="1"/>
  <c r="X1328" i="1"/>
  <c r="Y1328" i="1"/>
  <c r="X1329" i="1"/>
  <c r="X1330" i="1"/>
  <c r="Y1330" i="1"/>
  <c r="X1331" i="1"/>
  <c r="Y1332" i="1"/>
  <c r="X1332" i="1"/>
  <c r="X1333" i="1"/>
  <c r="Y1333" i="1"/>
  <c r="Y1334" i="1"/>
  <c r="X1334" i="1"/>
  <c r="X1335" i="1"/>
  <c r="Y1335" i="1"/>
  <c r="Y1336" i="1"/>
  <c r="X1336" i="1"/>
  <c r="Y1337" i="1"/>
  <c r="X1337" i="1"/>
  <c r="X1338" i="1"/>
  <c r="Y1338" i="1"/>
  <c r="X1339" i="1"/>
  <c r="Y1340" i="1"/>
  <c r="X1340" i="1"/>
  <c r="X1341" i="1"/>
  <c r="X1342" i="1"/>
  <c r="X1343" i="1"/>
  <c r="Y1343" i="1"/>
  <c r="Y1344" i="1"/>
  <c r="X1344" i="1"/>
  <c r="X1345" i="1"/>
  <c r="Y1345" i="1"/>
  <c r="X1346" i="1"/>
  <c r="X1347" i="1"/>
  <c r="X1348" i="1"/>
  <c r="Y1348" i="1"/>
  <c r="X1349" i="1"/>
  <c r="Y1312" i="1" l="1"/>
  <c r="Y1270" i="1"/>
  <c r="Y1124" i="1"/>
  <c r="Y1329" i="1"/>
  <c r="Y1288" i="1"/>
  <c r="Y1248" i="1"/>
  <c r="Y1164" i="1"/>
  <c r="Y1303" i="1"/>
  <c r="Y1298" i="1"/>
  <c r="Y1239" i="1"/>
  <c r="Y1342" i="1"/>
  <c r="Y1311" i="1"/>
  <c r="Y1274" i="1"/>
  <c r="Y1269" i="1"/>
  <c r="Y1146" i="1"/>
  <c r="Y1142" i="1"/>
  <c r="Y1150" i="1"/>
  <c r="Y1346" i="1"/>
  <c r="Y1181" i="1"/>
  <c r="Y1341" i="1"/>
  <c r="Y1283" i="1"/>
  <c r="Y1208" i="1"/>
  <c r="Y1176" i="1"/>
  <c r="Y1324" i="1"/>
  <c r="Y1315" i="1"/>
  <c r="Y1319" i="1"/>
  <c r="Y1251" i="1"/>
  <c r="Y1180" i="1"/>
  <c r="Y1314" i="1"/>
  <c r="Y1291" i="1"/>
  <c r="Y1282" i="1"/>
  <c r="Y1071" i="1"/>
  <c r="Y1323" i="1"/>
  <c r="Y1255" i="1"/>
  <c r="Y1286" i="1"/>
  <c r="Y1242" i="1"/>
  <c r="Y1220" i="1"/>
  <c r="Y1224" i="1"/>
  <c r="Y1295" i="1"/>
  <c r="Y1215" i="1"/>
  <c r="Y1184" i="1"/>
  <c r="Y1349" i="1"/>
  <c r="Y1188" i="1"/>
  <c r="Y1300" i="1"/>
  <c r="Y1262" i="1"/>
  <c r="Y1130" i="1"/>
  <c r="Y1084" i="1"/>
  <c r="Y1280" i="1"/>
  <c r="Y1299" i="1"/>
  <c r="Y1201" i="1"/>
  <c r="Y1192" i="1"/>
  <c r="Y1275" i="1"/>
  <c r="Y1347" i="1"/>
  <c r="Y1263" i="1"/>
  <c r="Y1144" i="1"/>
  <c r="Y1050" i="1"/>
  <c r="Y1032" i="1"/>
  <c r="Y1339" i="1"/>
  <c r="Y1131" i="1"/>
  <c r="Y1271" i="1"/>
  <c r="Y1135" i="1"/>
  <c r="Y1126" i="1"/>
  <c r="Y1104" i="1"/>
  <c r="Y1094" i="1"/>
  <c r="Y1049" i="1"/>
  <c r="Y1080" i="1"/>
  <c r="Y1076" i="1"/>
  <c r="Y1318" i="1"/>
  <c r="Y1155" i="1"/>
  <c r="Y1234" i="1"/>
  <c r="Y1179" i="1"/>
  <c r="Y1253" i="1"/>
  <c r="Y1034" i="1"/>
  <c r="Y1047" i="1"/>
  <c r="Y1293" i="1"/>
  <c r="Y1137" i="1"/>
  <c r="Y1241" i="1"/>
  <c r="Y1096" i="1"/>
  <c r="Y986" i="1"/>
  <c r="Y957" i="1"/>
  <c r="Y1296" i="1"/>
  <c r="Y1292" i="1"/>
  <c r="Y1264" i="1"/>
  <c r="Y1189" i="1"/>
  <c r="Y1065" i="1"/>
  <c r="Y1000" i="1"/>
  <c r="Y1056" i="1"/>
  <c r="Y1051" i="1"/>
  <c r="Y1046" i="1"/>
  <c r="Y1276" i="1"/>
  <c r="Y1213" i="1"/>
  <c r="Y1331" i="1"/>
  <c r="Y1205" i="1"/>
  <c r="Y1117" i="1"/>
  <c r="Y1100" i="1"/>
  <c r="Y1091" i="1"/>
  <c r="Y1089" i="1"/>
  <c r="Y1081" i="1"/>
  <c r="Y979" i="1"/>
  <c r="Y1030" i="1"/>
  <c r="Y1021" i="1"/>
  <c r="Y935" i="1"/>
  <c r="Y1016" i="1"/>
  <c r="Y871" i="1"/>
  <c r="Y1172" i="1"/>
  <c r="Y1006" i="1"/>
  <c r="Y1024" i="1"/>
  <c r="Y1011" i="1"/>
  <c r="Y972" i="1"/>
  <c r="Y1001" i="1"/>
  <c r="Y924" i="1"/>
  <c r="Y905" i="1"/>
  <c r="Y1019" i="1"/>
  <c r="Y1010" i="1"/>
  <c r="Y991" i="1"/>
  <c r="Y1086" i="1"/>
  <c r="Y1054" i="1"/>
  <c r="Y1027" i="1"/>
  <c r="Y859" i="1"/>
  <c r="Y1102" i="1"/>
  <c r="Y1074" i="1"/>
  <c r="Y1106" i="1"/>
  <c r="Y999" i="1"/>
  <c r="Y1214" i="1"/>
  <c r="Y1105" i="1"/>
  <c r="Y1101" i="1"/>
  <c r="Y1097" i="1"/>
  <c r="Y1044" i="1"/>
  <c r="Y1036" i="1"/>
  <c r="Y946" i="1"/>
  <c r="Y964" i="1"/>
  <c r="Y870" i="1"/>
  <c r="Y862" i="1"/>
  <c r="Y846" i="1"/>
  <c r="Y1022" i="1"/>
  <c r="Y985" i="1"/>
  <c r="Y971" i="1"/>
  <c r="Y952" i="1"/>
  <c r="Y941" i="1"/>
  <c r="Y889" i="1"/>
  <c r="Y1114" i="1"/>
  <c r="Y989" i="1"/>
  <c r="Y885" i="1"/>
  <c r="Y1121" i="1"/>
  <c r="Y996" i="1"/>
  <c r="Y977" i="1"/>
  <c r="Y896" i="1"/>
  <c r="Y861" i="1"/>
  <c r="Y966" i="1"/>
  <c r="Y849" i="1"/>
  <c r="Y1139" i="1"/>
  <c r="Y1014" i="1"/>
  <c r="Y951" i="1"/>
  <c r="Y947" i="1"/>
  <c r="Y852" i="1"/>
  <c r="Y932" i="1"/>
  <c r="Y914" i="1"/>
  <c r="Y1039" i="1"/>
  <c r="Y917" i="1"/>
  <c r="Y910" i="1"/>
  <c r="Y856" i="1"/>
  <c r="Y864" i="1"/>
  <c r="Y860" i="1"/>
  <c r="Y921" i="1"/>
  <c r="Y1064" i="1"/>
  <c r="Y939" i="1"/>
  <c r="Y882" i="1"/>
  <c r="Y851" i="1"/>
  <c r="R10" i="1"/>
  <c r="L10" i="1"/>
  <c r="AA62" i="1"/>
  <c r="AA59" i="1"/>
  <c r="AA67" i="1"/>
  <c r="AA69" i="1"/>
  <c r="AA70" i="1"/>
  <c r="AA72" i="1"/>
  <c r="AA63" i="1"/>
  <c r="AA50" i="1"/>
  <c r="AA42" i="1"/>
  <c r="AA48" i="1"/>
  <c r="AA60" i="1"/>
  <c r="AA44" i="1"/>
  <c r="AA43" i="1"/>
  <c r="AA37" i="1"/>
  <c r="AA58" i="1"/>
  <c r="AA49" i="1"/>
  <c r="AA32" i="1"/>
  <c r="AA25" i="1"/>
  <c r="AA22" i="1"/>
  <c r="F9" i="3"/>
  <c r="D5" i="2" l="1"/>
  <c r="D4" i="2"/>
  <c r="Y28" i="1"/>
  <c r="Y23" i="1"/>
  <c r="Y63" i="1"/>
  <c r="Y73" i="1"/>
  <c r="Y52" i="1"/>
  <c r="Y35" i="1"/>
  <c r="Y42" i="1"/>
  <c r="Y66" i="1"/>
  <c r="Y56" i="1"/>
  <c r="Y50" i="1"/>
  <c r="Y69" i="1"/>
  <c r="Y19" i="1"/>
  <c r="Y44" i="1"/>
  <c r="Y62" i="1"/>
  <c r="Y67" i="1"/>
  <c r="Y65" i="1"/>
  <c r="Y77" i="1"/>
  <c r="Y49" i="1"/>
  <c r="Y72" i="1"/>
  <c r="Y75" i="1"/>
  <c r="Y76" i="1"/>
  <c r="Y20" i="1"/>
  <c r="Y58" i="1"/>
  <c r="Y47" i="1"/>
  <c r="Y39" i="1"/>
  <c r="Y74" i="1"/>
  <c r="Y61" i="1"/>
  <c r="Y78" i="1"/>
  <c r="Y24" i="1"/>
  <c r="Y22" i="1"/>
  <c r="Y48" i="1"/>
  <c r="Y68" i="1"/>
  <c r="Y30" i="1"/>
  <c r="Y25" i="1"/>
  <c r="Y15" i="1"/>
  <c r="Y32" i="1"/>
  <c r="Y60" i="1"/>
  <c r="Y14" i="1"/>
  <c r="Y16" i="1"/>
  <c r="Y27" i="1"/>
  <c r="Y17" i="1"/>
  <c r="Y37" i="1"/>
  <c r="Y59" i="1"/>
  <c r="Y64" i="1"/>
  <c r="Y55" i="1"/>
  <c r="Y43" i="1"/>
  <c r="Y70" i="1"/>
  <c r="F17" i="3" l="1"/>
  <c r="F22" i="3"/>
  <c r="F21" i="3"/>
  <c r="F20" i="3"/>
  <c r="F19" i="3"/>
  <c r="F18" i="3"/>
  <c r="D22" i="3"/>
  <c r="D21" i="3"/>
  <c r="D20" i="3"/>
  <c r="D19" i="3"/>
  <c r="D18" i="3"/>
  <c r="F7" i="3" l="1"/>
  <c r="F8" i="3" l="1"/>
  <c r="AA64" i="1" l="1"/>
  <c r="C64" i="1"/>
  <c r="D64" i="1" s="1"/>
  <c r="D30" i="2" l="1"/>
  <c r="C30" i="2"/>
  <c r="D35" i="3" l="1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C36" i="3" l="1"/>
  <c r="E30" i="3" s="1"/>
  <c r="D36" i="3"/>
  <c r="E28" i="3" l="1"/>
  <c r="E33" i="3"/>
  <c r="E32" i="3"/>
  <c r="E27" i="3"/>
  <c r="E31" i="3"/>
  <c r="E35" i="3"/>
  <c r="E29" i="3"/>
  <c r="E34" i="3"/>
  <c r="C38" i="3" l="1"/>
  <c r="E36" i="3"/>
  <c r="D52" i="2" l="1"/>
  <c r="C52" i="2"/>
  <c r="D51" i="2"/>
  <c r="C51" i="2"/>
  <c r="D50" i="2"/>
  <c r="C50" i="2"/>
  <c r="D49" i="2"/>
  <c r="C49" i="2"/>
  <c r="D48" i="2"/>
  <c r="C48" i="2"/>
  <c r="B36" i="2"/>
  <c r="B37" i="2" s="1"/>
  <c r="D35" i="2"/>
  <c r="C35" i="2"/>
  <c r="D29" i="2"/>
  <c r="C29" i="2"/>
  <c r="D28" i="2"/>
  <c r="C28" i="2"/>
  <c r="D27" i="2"/>
  <c r="C27" i="2"/>
  <c r="D26" i="2"/>
  <c r="C26" i="2"/>
  <c r="D25" i="2"/>
  <c r="C25" i="2"/>
  <c r="D24" i="2"/>
  <c r="C24" i="2"/>
  <c r="D19" i="2"/>
  <c r="C19" i="2"/>
  <c r="D18" i="2"/>
  <c r="D20" i="2" s="1"/>
  <c r="C18" i="2"/>
  <c r="C20" i="2" s="1"/>
  <c r="C5" i="2"/>
  <c r="C4" i="2"/>
  <c r="AF5" i="1"/>
  <c r="AE6" i="1" s="1"/>
  <c r="AF4" i="1"/>
  <c r="AE5" i="1" s="1"/>
  <c r="AF3" i="1"/>
  <c r="AF2" i="1"/>
  <c r="R11" i="1"/>
  <c r="Q11" i="1"/>
  <c r="P11" i="1"/>
  <c r="O11" i="1"/>
  <c r="N11" i="1"/>
  <c r="B11" i="1"/>
  <c r="Z853" i="1" l="1"/>
  <c r="Z878" i="1"/>
  <c r="Z901" i="1"/>
  <c r="Z943" i="1"/>
  <c r="Z1320" i="1"/>
  <c r="Z1273" i="1"/>
  <c r="Z887" i="1"/>
  <c r="Z894" i="1"/>
  <c r="Z918" i="1"/>
  <c r="Z953" i="1"/>
  <c r="Z980" i="1"/>
  <c r="Z997" i="1"/>
  <c r="Z845" i="1"/>
  <c r="Z863" i="1"/>
  <c r="Z970" i="1"/>
  <c r="Z854" i="1"/>
  <c r="Z879" i="1"/>
  <c r="Z902" i="1"/>
  <c r="Z911" i="1"/>
  <c r="Z944" i="1"/>
  <c r="Z846" i="1"/>
  <c r="Z864" i="1"/>
  <c r="Z888" i="1"/>
  <c r="Z896" i="1"/>
  <c r="Z919" i="1"/>
  <c r="Z847" i="1"/>
  <c r="Z873" i="1"/>
  <c r="Z889" i="1"/>
  <c r="Z928" i="1"/>
  <c r="Z963" i="1"/>
  <c r="Z1017" i="1"/>
  <c r="Z855" i="1"/>
  <c r="Z897" i="1"/>
  <c r="Z903" i="1"/>
  <c r="Z912" i="1"/>
  <c r="Z937" i="1"/>
  <c r="Z865" i="1"/>
  <c r="Z920" i="1"/>
  <c r="Z964" i="1"/>
  <c r="Z1026" i="1"/>
  <c r="Z1036" i="1"/>
  <c r="Z1043" i="1"/>
  <c r="Z1070" i="1"/>
  <c r="Z1088" i="1"/>
  <c r="Z1157" i="1"/>
  <c r="Z1165" i="1"/>
  <c r="Z1286" i="1"/>
  <c r="Z1305" i="1"/>
  <c r="Z956" i="1"/>
  <c r="Z973" i="1"/>
  <c r="Z982" i="1"/>
  <c r="Z991" i="1"/>
  <c r="Z1114" i="1"/>
  <c r="Z1122" i="1"/>
  <c r="Z1140" i="1"/>
  <c r="Z1149" i="1"/>
  <c r="Z1158" i="1"/>
  <c r="Z1200" i="1"/>
  <c r="Z1208" i="1"/>
  <c r="Z1217" i="1"/>
  <c r="Z1225" i="1"/>
  <c r="Z1240" i="1"/>
  <c r="Z1257" i="1"/>
  <c r="Z1266" i="1"/>
  <c r="Z1306" i="1"/>
  <c r="Z1332" i="1"/>
  <c r="Z890" i="1"/>
  <c r="Z913" i="1"/>
  <c r="Z938" i="1"/>
  <c r="Z1009" i="1"/>
  <c r="Z1027" i="1"/>
  <c r="Z1044" i="1"/>
  <c r="Z1063" i="1"/>
  <c r="Z1079" i="1"/>
  <c r="Z1098" i="1"/>
  <c r="Z1107" i="1"/>
  <c r="Z1132" i="1"/>
  <c r="Z1232" i="1"/>
  <c r="Z1249" i="1"/>
  <c r="Z1277" i="1"/>
  <c r="Z1297" i="1"/>
  <c r="Z965" i="1"/>
  <c r="Z1037" i="1"/>
  <c r="Z1166" i="1"/>
  <c r="Z1175" i="1"/>
  <c r="Z1202" i="1"/>
  <c r="Z1325" i="1"/>
  <c r="Z1340" i="1"/>
  <c r="Z983" i="1"/>
  <c r="Z1064" i="1"/>
  <c r="Z1090" i="1"/>
  <c r="Z1115" i="1"/>
  <c r="Z1123" i="1"/>
  <c r="Z1209" i="1"/>
  <c r="Z1218" i="1"/>
  <c r="Z1226" i="1"/>
  <c r="Z1258" i="1"/>
  <c r="Z1267" i="1"/>
  <c r="Z1287" i="1"/>
  <c r="Z1298" i="1"/>
  <c r="Z1316" i="1"/>
  <c r="Z1333" i="1"/>
  <c r="Z1011" i="1"/>
  <c r="Z1028" i="1"/>
  <c r="Z1045" i="1"/>
  <c r="Z1065" i="1"/>
  <c r="Z1099" i="1"/>
  <c r="Z1108" i="1"/>
  <c r="Z1151" i="1"/>
  <c r="Z1194" i="1"/>
  <c r="Z1278" i="1"/>
  <c r="Z1038" i="1"/>
  <c r="Z1092" i="1"/>
  <c r="Z1159" i="1"/>
  <c r="Z1234" i="1"/>
  <c r="Z1251" i="1"/>
  <c r="Z1289" i="1"/>
  <c r="Z1003" i="1"/>
  <c r="Z1020" i="1"/>
  <c r="Z1116" i="1"/>
  <c r="Z1143" i="1"/>
  <c r="Z856" i="1"/>
  <c r="Z874" i="1"/>
  <c r="Z881" i="1"/>
  <c r="Z921" i="1"/>
  <c r="Z929" i="1"/>
  <c r="Z993" i="1"/>
  <c r="Z1073" i="1"/>
  <c r="Z1167" i="1"/>
  <c r="Z1243" i="1"/>
  <c r="Z1307" i="1"/>
  <c r="Z1326" i="1"/>
  <c r="Z848" i="1"/>
  <c r="Z867" i="1"/>
  <c r="Z891" i="1"/>
  <c r="Z914" i="1"/>
  <c r="Z939" i="1"/>
  <c r="Z948" i="1"/>
  <c r="Z1018" i="1"/>
  <c r="Z1056" i="1"/>
  <c r="Z875" i="1"/>
  <c r="Z898" i="1"/>
  <c r="Z1185" i="1"/>
  <c r="Z985" i="1"/>
  <c r="Z1046" i="1"/>
  <c r="Z1074" i="1"/>
  <c r="Z849" i="1"/>
  <c r="Z883" i="1"/>
  <c r="Z958" i="1"/>
  <c r="Z1133" i="1"/>
  <c r="Z858" i="1"/>
  <c r="Z892" i="1"/>
  <c r="Z931" i="1"/>
  <c r="Z949" i="1"/>
  <c r="Z876" i="1"/>
  <c r="Z899" i="1"/>
  <c r="Z915" i="1"/>
  <c r="Z923" i="1"/>
  <c r="Z850" i="1"/>
  <c r="Z868" i="1"/>
  <c r="Z884" i="1"/>
  <c r="Z908" i="1"/>
  <c r="Z950" i="1"/>
  <c r="Z968" i="1"/>
  <c r="Z861" i="1"/>
  <c r="Z877" i="1"/>
  <c r="Z900" i="1"/>
  <c r="Z917" i="1"/>
  <c r="Z933" i="1"/>
  <c r="Z942" i="1"/>
  <c r="Z1004" i="1"/>
  <c r="Z1013" i="1"/>
  <c r="Z1022" i="1"/>
  <c r="Z1067" i="1"/>
  <c r="Z1127" i="1"/>
  <c r="Z1153" i="1"/>
  <c r="Z1196" i="1"/>
  <c r="Z1228" i="1"/>
  <c r="Z1319" i="1"/>
  <c r="Z862" i="1"/>
  <c r="Z869" i="1"/>
  <c r="Z893" i="1"/>
  <c r="Z1031" i="1"/>
  <c r="Z1040" i="1"/>
  <c r="Z1048" i="1"/>
  <c r="Z1075" i="1"/>
  <c r="Z1085" i="1"/>
  <c r="Z1093" i="1"/>
  <c r="Z1118" i="1"/>
  <c r="Z1136" i="1"/>
  <c r="Z1145" i="1"/>
  <c r="Z1161" i="1"/>
  <c r="Z1169" i="1"/>
  <c r="Z1187" i="1"/>
  <c r="Z1204" i="1"/>
  <c r="Z1221" i="1"/>
  <c r="Z1281" i="1"/>
  <c r="Z1290" i="1"/>
  <c r="Z909" i="1"/>
  <c r="Z969" i="1"/>
  <c r="Z978" i="1"/>
  <c r="Z987" i="1"/>
  <c r="Z996" i="1"/>
  <c r="Z1014" i="1"/>
  <c r="Z1059" i="1"/>
  <c r="Z1076" i="1"/>
  <c r="Z1094" i="1"/>
  <c r="Z1178" i="1"/>
  <c r="Z1222" i="1"/>
  <c r="Z1245" i="1"/>
  <c r="Z1261" i="1"/>
  <c r="Z1302" i="1"/>
  <c r="Z1309" i="1"/>
  <c r="Z1328" i="1"/>
  <c r="Z927" i="1"/>
  <c r="Z934" i="1"/>
  <c r="Z961" i="1"/>
  <c r="Z1005" i="1"/>
  <c r="Z1023" i="1"/>
  <c r="Z1103" i="1"/>
  <c r="Z1111" i="1"/>
  <c r="Z1137" i="1"/>
  <c r="Z1154" i="1"/>
  <c r="Z1197" i="1"/>
  <c r="Z1205" i="1"/>
  <c r="Z1229" i="1"/>
  <c r="Z1254" i="1"/>
  <c r="Z1336" i="1"/>
  <c r="Z1345" i="1"/>
  <c r="Z1024" i="1"/>
  <c r="Z1041" i="1"/>
  <c r="Z1162" i="1"/>
  <c r="Z1179" i="1"/>
  <c r="Z1214" i="1"/>
  <c r="Z1237" i="1"/>
  <c r="Z1255" i="1"/>
  <c r="Z1303" i="1"/>
  <c r="Z988" i="1"/>
  <c r="Z1015" i="1"/>
  <c r="Z1033" i="1"/>
  <c r="Z1042" i="1"/>
  <c r="Z1068" i="1"/>
  <c r="Z1104" i="1"/>
  <c r="Z1128" i="1"/>
  <c r="Z1147" i="1"/>
  <c r="Z1246" i="1"/>
  <c r="Z1077" i="1"/>
  <c r="Z1206" i="1"/>
  <c r="Z971" i="1"/>
  <c r="Z1016" i="1"/>
  <c r="Z1053" i="1"/>
  <c r="Z1097" i="1"/>
  <c r="Z1139" i="1"/>
  <c r="Z1211" i="1"/>
  <c r="Z1308" i="1"/>
  <c r="Z1330" i="1"/>
  <c r="Z1338" i="1"/>
  <c r="Z1171" i="1"/>
  <c r="Z1182" i="1"/>
  <c r="Z1231" i="1"/>
  <c r="Z1285" i="1"/>
  <c r="Z1335" i="1"/>
  <c r="Z994" i="1"/>
  <c r="Z1172" i="1"/>
  <c r="Z1252" i="1"/>
  <c r="Z1274" i="1"/>
  <c r="Z1331" i="1"/>
  <c r="Z1321" i="1"/>
  <c r="Z1313" i="1"/>
  <c r="Z1087" i="1"/>
  <c r="Z1110" i="1"/>
  <c r="Z1203" i="1"/>
  <c r="Z1223" i="1"/>
  <c r="Z1343" i="1"/>
  <c r="Z1058" i="1"/>
  <c r="Z1235" i="1"/>
  <c r="Z1334" i="1"/>
  <c r="Z1301" i="1"/>
  <c r="Z1256" i="1"/>
  <c r="Z1112" i="1"/>
  <c r="Z1066" i="1"/>
  <c r="Z1120" i="1"/>
  <c r="Z1244" i="1"/>
  <c r="Z1265" i="1"/>
  <c r="Z1216" i="1"/>
  <c r="Z1062" i="1"/>
  <c r="Z1284" i="1"/>
  <c r="Z1008" i="1"/>
  <c r="Z1078" i="1"/>
  <c r="Z1101" i="1"/>
  <c r="Z1102" i="1"/>
  <c r="Z1121" i="1"/>
  <c r="Z1186" i="1"/>
  <c r="Z976" i="1"/>
  <c r="Z998" i="1"/>
  <c r="Z1156" i="1"/>
  <c r="Z1227" i="1"/>
  <c r="Z1304" i="1"/>
  <c r="Z989" i="1"/>
  <c r="Z1207" i="1"/>
  <c r="Z1220" i="1"/>
  <c r="Z1105" i="1"/>
  <c r="Z1113" i="1"/>
  <c r="Z1177" i="1"/>
  <c r="Z1198" i="1"/>
  <c r="Z1247" i="1"/>
  <c r="Z1268" i="1"/>
  <c r="Z1317" i="1"/>
  <c r="Z1348" i="1"/>
  <c r="Z1327" i="1"/>
  <c r="Z1294" i="1"/>
  <c r="Z1083" i="1"/>
  <c r="Z1106" i="1"/>
  <c r="Z1148" i="1"/>
  <c r="Z1190" i="1"/>
  <c r="Z1238" i="1"/>
  <c r="Z1259" i="1"/>
  <c r="Z1039" i="1"/>
  <c r="Z1095" i="1"/>
  <c r="Z1126" i="1"/>
  <c r="Z1191" i="1"/>
  <c r="Z1337" i="1"/>
  <c r="Z960" i="1"/>
  <c r="Z1138" i="1"/>
  <c r="Z1230" i="1"/>
  <c r="Z1176" i="1"/>
  <c r="Z1262" i="1"/>
  <c r="Z1080" i="1"/>
  <c r="Z1276" i="1"/>
  <c r="Z1212" i="1"/>
  <c r="Z935" i="1"/>
  <c r="Z924" i="1"/>
  <c r="Z936" i="1"/>
  <c r="Z1193" i="1"/>
  <c r="Z984" i="1"/>
  <c r="Z866" i="1"/>
  <c r="Z1271" i="1"/>
  <c r="Z1239" i="1"/>
  <c r="Z860" i="1"/>
  <c r="Z1030" i="1"/>
  <c r="Z1312" i="1"/>
  <c r="Z1072" i="1"/>
  <c r="Z1047" i="1"/>
  <c r="Z999" i="1"/>
  <c r="Z966" i="1"/>
  <c r="Z872" i="1"/>
  <c r="Z975" i="1"/>
  <c r="Z1269" i="1"/>
  <c r="Z1242" i="1"/>
  <c r="Z1144" i="1"/>
  <c r="Z1264" i="1"/>
  <c r="Z1168" i="1"/>
  <c r="Z1025" i="1"/>
  <c r="Z905" i="1"/>
  <c r="Z1344" i="1"/>
  <c r="Z941" i="1"/>
  <c r="Z1152" i="1"/>
  <c r="Z1279" i="1"/>
  <c r="Z946" i="1"/>
  <c r="Z981" i="1"/>
  <c r="Z954" i="1"/>
  <c r="Z886" i="1"/>
  <c r="Z1019" i="1"/>
  <c r="Z945" i="1"/>
  <c r="Z995" i="1"/>
  <c r="Z916" i="1"/>
  <c r="Z951" i="1"/>
  <c r="Z1322" i="1"/>
  <c r="Z1141" i="1"/>
  <c r="Z940" i="1"/>
  <c r="Z1130" i="1"/>
  <c r="Z852" i="1"/>
  <c r="Z1250" i="1"/>
  <c r="Z904" i="1"/>
  <c r="Z1192" i="1"/>
  <c r="Z1188" i="1"/>
  <c r="Z957" i="1"/>
  <c r="Z906" i="1"/>
  <c r="Z1324" i="1"/>
  <c r="Z1117" i="1"/>
  <c r="Z1293" i="1"/>
  <c r="Z1236" i="1"/>
  <c r="Z959" i="1"/>
  <c r="Z1134" i="1"/>
  <c r="Z1119" i="1"/>
  <c r="Z1131" i="1"/>
  <c r="Z992" i="1"/>
  <c r="Z952" i="1"/>
  <c r="Z1081" i="1"/>
  <c r="Z1300" i="1"/>
  <c r="Z1007" i="1"/>
  <c r="Z1001" i="1"/>
  <c r="Z1124" i="1"/>
  <c r="Z1146" i="1"/>
  <c r="Z1315" i="1"/>
  <c r="Z1084" i="1"/>
  <c r="Z1050" i="1"/>
  <c r="Z1318" i="1"/>
  <c r="Z1006" i="1"/>
  <c r="Z1034" i="1"/>
  <c r="Z880" i="1"/>
  <c r="Z1142" i="1"/>
  <c r="Z1310" i="1"/>
  <c r="Z1052" i="1"/>
  <c r="Z1100" i="1"/>
  <c r="Z871" i="1"/>
  <c r="Z932" i="1"/>
  <c r="Z1241" i="1"/>
  <c r="Z1051" i="1"/>
  <c r="Z895" i="1"/>
  <c r="Z1054" i="1"/>
  <c r="Z1035" i="1"/>
  <c r="Z859" i="1"/>
  <c r="Z1329" i="1"/>
  <c r="Z1224" i="1"/>
  <c r="Z1280" i="1"/>
  <c r="Z1219" i="1"/>
  <c r="Z1296" i="1"/>
  <c r="Z1002" i="1"/>
  <c r="Z1086" i="1"/>
  <c r="Z1174" i="1"/>
  <c r="Z882" i="1"/>
  <c r="Z926" i="1"/>
  <c r="Z1270" i="1"/>
  <c r="Z1000" i="1"/>
  <c r="Z1091" i="1"/>
  <c r="Z1183" i="1"/>
  <c r="Z1163" i="1"/>
  <c r="Z870" i="1"/>
  <c r="Z962" i="1"/>
  <c r="Z907" i="1"/>
  <c r="Z910" i="1"/>
  <c r="Z1339" i="1"/>
  <c r="Z986" i="1"/>
  <c r="Z1210" i="1"/>
  <c r="Z972" i="1"/>
  <c r="Z1029" i="1"/>
  <c r="Z1055" i="1"/>
  <c r="Z922" i="1"/>
  <c r="Z1283" i="1"/>
  <c r="Z1213" i="1"/>
  <c r="Z857" i="1"/>
  <c r="Z1288" i="1"/>
  <c r="Z1199" i="1"/>
  <c r="Z1314" i="1"/>
  <c r="Z1215" i="1"/>
  <c r="Z1032" i="1"/>
  <c r="Z1292" i="1"/>
  <c r="Z1010" i="1"/>
  <c r="Z851" i="1"/>
  <c r="Z930" i="1"/>
  <c r="Z1189" i="1"/>
  <c r="Z1349" i="1"/>
  <c r="Z977" i="1"/>
  <c r="Z1164" i="1"/>
  <c r="Z1155" i="1"/>
  <c r="Z1260" i="1"/>
  <c r="Z1160" i="1"/>
  <c r="Z967" i="1"/>
  <c r="Z1061" i="1"/>
  <c r="Z1150" i="1"/>
  <c r="Z1295" i="1"/>
  <c r="Z1125" i="1"/>
  <c r="Z1060" i="1"/>
  <c r="Z1109" i="1"/>
  <c r="Z1170" i="1"/>
  <c r="Z1253" i="1"/>
  <c r="Z1342" i="1"/>
  <c r="Z1248" i="1"/>
  <c r="Z1180" i="1"/>
  <c r="Z1129" i="1"/>
  <c r="Z1346" i="1"/>
  <c r="Z1184" i="1"/>
  <c r="Z1299" i="1"/>
  <c r="Z1082" i="1"/>
  <c r="Z885" i="1"/>
  <c r="Z1291" i="1"/>
  <c r="Z1201" i="1"/>
  <c r="Z955" i="1"/>
  <c r="Z1089" i="1"/>
  <c r="Z1069" i="1"/>
  <c r="Z1181" i="1"/>
  <c r="Z1135" i="1"/>
  <c r="Z1195" i="1"/>
  <c r="Z1096" i="1"/>
  <c r="Z979" i="1"/>
  <c r="Z1275" i="1"/>
  <c r="Z1012" i="1"/>
  <c r="Z1341" i="1"/>
  <c r="Z1282" i="1"/>
  <c r="Z1263" i="1"/>
  <c r="Z925" i="1"/>
  <c r="Z1071" i="1"/>
  <c r="Z1233" i="1"/>
  <c r="Z1311" i="1"/>
  <c r="Z1323" i="1"/>
  <c r="Z1347" i="1"/>
  <c r="Z1049" i="1"/>
  <c r="Z1173" i="1"/>
  <c r="Z1272" i="1"/>
  <c r="Z1021" i="1"/>
  <c r="Z1057" i="1"/>
  <c r="Z974" i="1"/>
  <c r="Z947" i="1"/>
  <c r="Z990" i="1"/>
  <c r="M11" i="1"/>
  <c r="U11" i="1"/>
  <c r="L11" i="1"/>
  <c r="K11" i="1"/>
  <c r="C31" i="2"/>
  <c r="E30" i="2" s="1"/>
  <c r="D31" i="2"/>
  <c r="C36" i="2"/>
  <c r="D36" i="2"/>
  <c r="AE3" i="1"/>
  <c r="Z26" i="1" s="1"/>
  <c r="E18" i="2"/>
  <c r="E20" i="2" s="1"/>
  <c r="E19" i="2"/>
  <c r="D6" i="2"/>
  <c r="D53" i="2"/>
  <c r="D109" i="2" s="1"/>
  <c r="D110" i="2" s="1"/>
  <c r="C6" i="2"/>
  <c r="E5" i="2" s="1"/>
  <c r="AE4" i="1"/>
  <c r="D37" i="2"/>
  <c r="B38" i="2"/>
  <c r="C37" i="2"/>
  <c r="C53" i="2"/>
  <c r="Z46" i="1" l="1"/>
  <c r="Z51" i="1"/>
  <c r="Z53" i="1"/>
  <c r="Z21" i="1"/>
  <c r="Z38" i="1"/>
  <c r="Z45" i="1"/>
  <c r="Z18" i="1"/>
  <c r="Z33" i="1"/>
  <c r="Z41" i="1"/>
  <c r="Z40" i="1"/>
  <c r="Z57" i="1"/>
  <c r="Z72" i="1"/>
  <c r="Z31" i="1"/>
  <c r="Z54" i="1"/>
  <c r="Z71" i="1"/>
  <c r="Z29" i="1"/>
  <c r="Z34" i="1"/>
  <c r="Z36" i="1"/>
  <c r="C94" i="2"/>
  <c r="C95" i="2" s="1"/>
  <c r="C109" i="2"/>
  <c r="Z67" i="1"/>
  <c r="Z48" i="1"/>
  <c r="Z63" i="1"/>
  <c r="Z60" i="1"/>
  <c r="Z64" i="1"/>
  <c r="Z74" i="1"/>
  <c r="Z37" i="1"/>
  <c r="Z23" i="1"/>
  <c r="Z56" i="1"/>
  <c r="Z32" i="1"/>
  <c r="Z17" i="1"/>
  <c r="Z44" i="1"/>
  <c r="Z70" i="1"/>
  <c r="Z27" i="1"/>
  <c r="Z65" i="1"/>
  <c r="Z47" i="1"/>
  <c r="Z75" i="1"/>
  <c r="Z55" i="1"/>
  <c r="Z39" i="1"/>
  <c r="Z22" i="1"/>
  <c r="Z19" i="1"/>
  <c r="Z20" i="1"/>
  <c r="Z61" i="1"/>
  <c r="Z76" i="1"/>
  <c r="Z50" i="1"/>
  <c r="Z14" i="1"/>
  <c r="Z59" i="1"/>
  <c r="Z68" i="1"/>
  <c r="Z66" i="1"/>
  <c r="Z43" i="1"/>
  <c r="Z42" i="1"/>
  <c r="Z62" i="1"/>
  <c r="Z28" i="1"/>
  <c r="Z24" i="1"/>
  <c r="Z16" i="1"/>
  <c r="Z58" i="1"/>
  <c r="Z49" i="1"/>
  <c r="Z69" i="1"/>
  <c r="Z15" i="1"/>
  <c r="Z30" i="1"/>
  <c r="Z25" i="1"/>
  <c r="Z78" i="1"/>
  <c r="Z52" i="1"/>
  <c r="Z35" i="1"/>
  <c r="Z73" i="1"/>
  <c r="Z77" i="1"/>
  <c r="E51" i="2"/>
  <c r="C79" i="2"/>
  <c r="D79" i="2"/>
  <c r="D80" i="2" s="1"/>
  <c r="D94" i="2"/>
  <c r="D95" i="2" s="1"/>
  <c r="E27" i="2"/>
  <c r="E24" i="2"/>
  <c r="E4" i="2"/>
  <c r="E6" i="2" s="1"/>
  <c r="E50" i="2"/>
  <c r="E52" i="2"/>
  <c r="E49" i="2"/>
  <c r="E28" i="2"/>
  <c r="E25" i="2"/>
  <c r="E29" i="2"/>
  <c r="E48" i="2"/>
  <c r="E26" i="2"/>
  <c r="C38" i="2"/>
  <c r="B39" i="2"/>
  <c r="D38" i="2"/>
  <c r="E86" i="2" l="1"/>
  <c r="E108" i="2"/>
  <c r="E107" i="2"/>
  <c r="E106" i="2"/>
  <c r="E105" i="2"/>
  <c r="E104" i="2"/>
  <c r="E103" i="2"/>
  <c r="E102" i="2"/>
  <c r="E101" i="2"/>
  <c r="E100" i="2"/>
  <c r="E99" i="2"/>
  <c r="C110" i="2"/>
  <c r="E109" i="2"/>
  <c r="E5" i="3" a="1"/>
  <c r="E5" i="3" s="1"/>
  <c r="I5" i="3" s="1"/>
  <c r="E6" i="3" a="1"/>
  <c r="E6" i="3" s="1"/>
  <c r="E7" i="3" a="1"/>
  <c r="E7" i="3" s="1"/>
  <c r="E8" i="3" a="1"/>
  <c r="E8" i="3" s="1"/>
  <c r="E9" i="3" a="1"/>
  <c r="E9" i="3" s="1"/>
  <c r="C5" i="3"/>
  <c r="C6" i="3"/>
  <c r="C7" i="3"/>
  <c r="C8" i="3"/>
  <c r="C9" i="3"/>
  <c r="C80" i="2"/>
  <c r="E79" i="2" s="1"/>
  <c r="E87" i="2"/>
  <c r="E94" i="2"/>
  <c r="E90" i="2"/>
  <c r="E88" i="2"/>
  <c r="E91" i="2"/>
  <c r="E85" i="2"/>
  <c r="E92" i="2"/>
  <c r="E89" i="2"/>
  <c r="E93" i="2"/>
  <c r="E84" i="2"/>
  <c r="E53" i="2"/>
  <c r="E31" i="2"/>
  <c r="C39" i="2"/>
  <c r="B40" i="2"/>
  <c r="D39" i="2"/>
  <c r="E110" i="2" l="1"/>
  <c r="F10" i="3"/>
  <c r="E69" i="2"/>
  <c r="E70" i="2"/>
  <c r="E71" i="2"/>
  <c r="E72" i="2"/>
  <c r="E73" i="2"/>
  <c r="E74" i="2"/>
  <c r="E75" i="2"/>
  <c r="E76" i="2"/>
  <c r="E77" i="2"/>
  <c r="E78" i="2"/>
  <c r="E95" i="2"/>
  <c r="I6" i="3"/>
  <c r="J5" i="3"/>
  <c r="I9" i="3"/>
  <c r="J9" i="3" s="1"/>
  <c r="I8" i="3"/>
  <c r="J8" i="3" s="1"/>
  <c r="I7" i="3"/>
  <c r="C10" i="3"/>
  <c r="E10" i="3" s="1"/>
  <c r="D13" i="3" s="1"/>
  <c r="D40" i="2"/>
  <c r="B41" i="2"/>
  <c r="C40" i="2"/>
  <c r="D12" i="3" l="1"/>
  <c r="T21" i="1"/>
  <c r="T45" i="1"/>
  <c r="T34" i="1"/>
  <c r="T57" i="1"/>
  <c r="T40" i="1"/>
  <c r="T36" i="1"/>
  <c r="T71" i="1"/>
  <c r="T33" i="1"/>
  <c r="T41" i="1"/>
  <c r="T54" i="1"/>
  <c r="T53" i="1"/>
  <c r="T31" i="1"/>
  <c r="T51" i="1"/>
  <c r="T29" i="1"/>
  <c r="T38" i="1"/>
  <c r="T18" i="1"/>
  <c r="T46" i="1"/>
  <c r="I10" i="3"/>
  <c r="T42" i="1"/>
  <c r="T77" i="1"/>
  <c r="T65" i="1"/>
  <c r="T43" i="1"/>
  <c r="T56" i="1"/>
  <c r="T66" i="1"/>
  <c r="T62" i="1"/>
  <c r="T32" i="1"/>
  <c r="T35" i="1"/>
  <c r="T64" i="1"/>
  <c r="T25" i="1"/>
  <c r="T27" i="1"/>
  <c r="T22" i="1"/>
  <c r="T19" i="1"/>
  <c r="T23" i="1"/>
  <c r="T30" i="1"/>
  <c r="T72" i="1"/>
  <c r="T61" i="1"/>
  <c r="T69" i="1"/>
  <c r="T15" i="1"/>
  <c r="T67" i="1"/>
  <c r="T70" i="1"/>
  <c r="T24" i="1"/>
  <c r="T63" i="1"/>
  <c r="T20" i="1"/>
  <c r="T59" i="1"/>
  <c r="T58" i="1"/>
  <c r="T49" i="1"/>
  <c r="T74" i="1"/>
  <c r="T50" i="1"/>
  <c r="T75" i="1"/>
  <c r="T44" i="1"/>
  <c r="T78" i="1"/>
  <c r="T52" i="1"/>
  <c r="T39" i="1"/>
  <c r="T60" i="1"/>
  <c r="T47" i="1"/>
  <c r="T76" i="1"/>
  <c r="T48" i="1"/>
  <c r="T17" i="1"/>
  <c r="T37" i="1"/>
  <c r="T16" i="1"/>
  <c r="T73" i="1"/>
  <c r="T68" i="1"/>
  <c r="T55" i="1"/>
  <c r="T28" i="1"/>
  <c r="E13" i="3"/>
  <c r="E80" i="2"/>
  <c r="D5" i="3"/>
  <c r="D9" i="3"/>
  <c r="J6" i="3"/>
  <c r="D23" i="3"/>
  <c r="D7" i="3"/>
  <c r="D6" i="3"/>
  <c r="D8" i="3"/>
  <c r="C41" i="2"/>
  <c r="B42" i="2"/>
  <c r="D41" i="2"/>
  <c r="T11" i="1" l="1"/>
  <c r="D10" i="3"/>
  <c r="D42" i="2"/>
  <c r="D43" i="2" s="1"/>
  <c r="D44" i="2" s="1"/>
  <c r="C42" i="2"/>
  <c r="J7" i="3" l="1"/>
  <c r="J10" i="3" s="1"/>
  <c r="E20" i="3" l="1"/>
  <c r="E18" i="3"/>
  <c r="E21" i="3"/>
  <c r="E19" i="3"/>
  <c r="G19" i="3" s="1"/>
  <c r="E22" i="3"/>
  <c r="G5" i="3" a="1"/>
  <c r="G5" i="3" s="1"/>
  <c r="G7" i="3" a="1"/>
  <c r="G7" i="3" s="1"/>
  <c r="G8" i="3" a="1"/>
  <c r="G8" i="3" s="1"/>
  <c r="G9" i="3" a="1"/>
  <c r="G9" i="3" s="1"/>
  <c r="G6" i="3" a="1"/>
  <c r="G6" i="3" s="1"/>
  <c r="G10" i="3" l="1"/>
  <c r="H8" i="3" a="1"/>
  <c r="H8" i="3" s="1"/>
  <c r="H7" i="3" a="1"/>
  <c r="H7" i="3" s="1"/>
  <c r="H5" i="3" a="1"/>
  <c r="H5" i="3" s="1"/>
  <c r="H6" i="3" a="1"/>
  <c r="H6" i="3" s="1"/>
  <c r="H9" i="3" a="1"/>
  <c r="H9" i="3" s="1"/>
  <c r="V11" i="1"/>
  <c r="D11" i="2"/>
  <c r="D17" i="3"/>
  <c r="E17" i="3" s="1"/>
  <c r="W11" i="1"/>
  <c r="E23" i="3" l="1"/>
  <c r="G18" i="3"/>
  <c r="D12" i="2"/>
  <c r="D10" i="2"/>
  <c r="F23" i="3"/>
  <c r="C12" i="2"/>
  <c r="C13" i="2"/>
  <c r="C11" i="2"/>
  <c r="H10" i="3"/>
  <c r="C10" i="2"/>
  <c r="D13" i="2"/>
  <c r="D14" i="2" l="1"/>
  <c r="C14" i="2"/>
  <c r="E10" i="2" s="1"/>
  <c r="E13" i="2" l="1"/>
  <c r="E11" i="2"/>
  <c r="C43" i="2"/>
  <c r="E12" i="2"/>
  <c r="E14" i="2" l="1"/>
  <c r="C44" i="2"/>
  <c r="E41" i="2" l="1"/>
  <c r="E42" i="2"/>
  <c r="E36" i="2"/>
  <c r="E37" i="2"/>
  <c r="E38" i="2"/>
  <c r="E40" i="2"/>
  <c r="E35" i="2"/>
  <c r="E39" i="2"/>
  <c r="E43" i="2"/>
  <c r="E4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<sst xmlns="http://schemas.openxmlformats.org/spreadsheetml/2006/main" count="6076" uniqueCount="2278">
  <si>
    <t>ACT/365</t>
  </si>
  <si>
    <t>30/360</t>
  </si>
  <si>
    <t>GP#</t>
  </si>
  <si>
    <t>Borrower Name</t>
  </si>
  <si>
    <t>City</t>
  </si>
  <si>
    <t>State</t>
  </si>
  <si>
    <t>SIC /
NAICS</t>
  </si>
  <si>
    <t>ADJ</t>
  </si>
  <si>
    <t>Accrual</t>
  </si>
  <si>
    <t>Note
 Date</t>
  </si>
  <si>
    <t>Note 
Maturity</t>
  </si>
  <si>
    <t>Int. Paid to Date</t>
  </si>
  <si>
    <t>Loan Spread</t>
  </si>
  <si>
    <t>Loan Rate</t>
  </si>
  <si>
    <t>Strip 
Rate</t>
  </si>
  <si>
    <t>Original Balance</t>
  </si>
  <si>
    <t>Current Balance</t>
  </si>
  <si>
    <t>Term</t>
  </si>
  <si>
    <t>Age</t>
  </si>
  <si>
    <t>Rmos</t>
  </si>
  <si>
    <t>Industry</t>
  </si>
  <si>
    <t xml:space="preserve">Prepayment Penalty </t>
  </si>
  <si>
    <t xml:space="preserve">Term Bucket </t>
  </si>
  <si>
    <t xml:space="preserve">Industry Bucket </t>
  </si>
  <si>
    <t xml:space="preserve">Lender </t>
  </si>
  <si>
    <t>OH</t>
  </si>
  <si>
    <t>Q</t>
  </si>
  <si>
    <t>Other Personal and Household Goods Repair and Maintenance</t>
  </si>
  <si>
    <t>Veterinary Services</t>
  </si>
  <si>
    <t>NY</t>
  </si>
  <si>
    <t>Corporate, Subsidiary, and Regional Managing Offices</t>
  </si>
  <si>
    <t>PA</t>
  </si>
  <si>
    <t>Offices of Certified Public Accountants</t>
  </si>
  <si>
    <t>Jewelry Stores</t>
  </si>
  <si>
    <t>Limited-Service Restaurants</t>
  </si>
  <si>
    <t>MI</t>
  </si>
  <si>
    <t>Funeral Homes and Funeral Services</t>
  </si>
  <si>
    <t>NV</t>
  </si>
  <si>
    <t>Pharmacies and Drug Stores</t>
  </si>
  <si>
    <t>Commercial and Institutional Building Construction</t>
  </si>
  <si>
    <t>GA</t>
  </si>
  <si>
    <t>Other Miscellaneous Durable Goods Merchant Wholesalers</t>
  </si>
  <si>
    <t>TX</t>
  </si>
  <si>
    <t>RV (Recreational Vehicle) Parks and Campgrounds</t>
  </si>
  <si>
    <t xml:space="preserve">Term </t>
  </si>
  <si>
    <t>Sum of Current Balance</t>
  </si>
  <si>
    <t xml:space="preserve">% of Pool </t>
  </si>
  <si>
    <t>OK</t>
  </si>
  <si>
    <t>Gasoline Stations with Convenience Stores</t>
  </si>
  <si>
    <t>FL</t>
  </si>
  <si>
    <t>Other Airport Operations</t>
  </si>
  <si>
    <t>Hotels (except Casino Hotels) and Motels</t>
  </si>
  <si>
    <t>CA</t>
  </si>
  <si>
    <t>Fluid Milk Manufacturing</t>
  </si>
  <si>
    <t>AZ</t>
  </si>
  <si>
    <t>Services for the Elderly and Persons with Disabilities</t>
  </si>
  <si>
    <t>Grand Total</t>
  </si>
  <si>
    <t>Administrative Management and General Management Consulting Services</t>
  </si>
  <si>
    <t>Offices of Dentists</t>
  </si>
  <si>
    <t>Security Systems Services (except Locksmiths)</t>
  </si>
  <si>
    <t>VA</t>
  </si>
  <si>
    <t>Direct Life Insurance Carriers</t>
  </si>
  <si>
    <t>Plumbing, Heating, and Air-Conditioning Contractors</t>
  </si>
  <si>
    <t>Plumbing and Heating Equipment and Supplies (Hydronics) Merchant Wholesalers</t>
  </si>
  <si>
    <t>KY</t>
  </si>
  <si>
    <t>Car Washes</t>
  </si>
  <si>
    <t>All Other Automotive Repair and Maintenance</t>
  </si>
  <si>
    <t>Child Day Care Services</t>
  </si>
  <si>
    <t>Abrasive Product Manufacturing</t>
  </si>
  <si>
    <t>NM</t>
  </si>
  <si>
    <t>Residential Electric Lighting Fixture Manufacturing</t>
  </si>
  <si>
    <t>Sports and Recreation Instruction</t>
  </si>
  <si>
    <t>Tobacco and Tobacco Product Merchant Wholesalers</t>
  </si>
  <si>
    <t>Private Mail Centers</t>
  </si>
  <si>
    <t>NJ</t>
  </si>
  <si>
    <t>All Other Amusement and Recreation Industries</t>
  </si>
  <si>
    <t>IL</t>
  </si>
  <si>
    <t>Beer, Wine, and Liquor Stores</t>
  </si>
  <si>
    <t>MS</t>
  </si>
  <si>
    <t>CT</t>
  </si>
  <si>
    <t>Insurance Agencies and Brokerages</t>
  </si>
  <si>
    <t>Pet and Pet Supplies Stores</t>
  </si>
  <si>
    <t>NC</t>
  </si>
  <si>
    <t>Other Building Material Dealers</t>
  </si>
  <si>
    <t>MO</t>
  </si>
  <si>
    <t>Residential Property Managers</t>
  </si>
  <si>
    <t>Full-Service Restaurants</t>
  </si>
  <si>
    <t>SC</t>
  </si>
  <si>
    <t>Recyclable Material Merchant Wholesalers</t>
  </si>
  <si>
    <t>LA</t>
  </si>
  <si>
    <t>Other Personal Care Services</t>
  </si>
  <si>
    <t>Floor Covering Stores</t>
  </si>
  <si>
    <t>Engineering Services</t>
  </si>
  <si>
    <t>CO</t>
  </si>
  <si>
    <t>Support Activities for Forestry</t>
  </si>
  <si>
    <t>Masonry Contractors</t>
  </si>
  <si>
    <t>Other Services to Buildings and Dwellings</t>
  </si>
  <si>
    <t>Fitness and Recreational Sports Centers</t>
  </si>
  <si>
    <t>Offices of Physicians (except Mental Health Specialists)</t>
  </si>
  <si>
    <t>Commercial Printing (except Screen and Books)</t>
  </si>
  <si>
    <t>General Automotive Repair</t>
  </si>
  <si>
    <t>Drinking Places (Alcoholic Beverages)</t>
  </si>
  <si>
    <t>Coin-Operated Laundries and Drycleaners</t>
  </si>
  <si>
    <t>MN</t>
  </si>
  <si>
    <t>Lessors of Nonresidential Buildings (except Miniwarehouses)</t>
  </si>
  <si>
    <t>OR</t>
  </si>
  <si>
    <t>Office Equipment Merchant Wholesalers</t>
  </si>
  <si>
    <t>ME</t>
  </si>
  <si>
    <t>Pet Care (except Veterinary) Services</t>
  </si>
  <si>
    <t>WI</t>
  </si>
  <si>
    <t>AK</t>
  </si>
  <si>
    <t>Unknown</t>
  </si>
  <si>
    <t>TN</t>
  </si>
  <si>
    <t>Snack and Nonalcoholic Beverage Bars</t>
  </si>
  <si>
    <t>Lessors of Miniwarehouses and Self-Storage Units</t>
  </si>
  <si>
    <t>Other Business Service Centers (including Copy Shops)</t>
  </si>
  <si>
    <t>MA</t>
  </si>
  <si>
    <t>Landscaping Services</t>
  </si>
  <si>
    <t>Offices of Mental Health Practitioners (except Physicians)</t>
  </si>
  <si>
    <t>Residential Remodelers</t>
  </si>
  <si>
    <t>WA</t>
  </si>
  <si>
    <t>All Other Miscellaneous Schools and Instruction</t>
  </si>
  <si>
    <t>Assisted Living Facilities for the Elderly</t>
  </si>
  <si>
    <t>Beauty Salons</t>
  </si>
  <si>
    <t>Breweries</t>
  </si>
  <si>
    <t>All Other Specialty Trade Contractors</t>
  </si>
  <si>
    <t>Other Clothing Stores</t>
  </si>
  <si>
    <t>Baked Goods Stores</t>
  </si>
  <si>
    <t>Residential Mental Health and Substance Abuse Facilities</t>
  </si>
  <si>
    <t>Offices of Lawyers</t>
  </si>
  <si>
    <t>Motor Vehicle Towing</t>
  </si>
  <si>
    <t>IN</t>
  </si>
  <si>
    <t>Gift, Novelty, and Souvenir Stores</t>
  </si>
  <si>
    <t>Passenger Car Rental</t>
  </si>
  <si>
    <t>NH</t>
  </si>
  <si>
    <t>Environmental Consulting Services</t>
  </si>
  <si>
    <t>Photography Studios, Portrait</t>
  </si>
  <si>
    <t>Caterers</t>
  </si>
  <si>
    <t>Used Merchandise Stores</t>
  </si>
  <si>
    <t>All Other Specialty Food Stores</t>
  </si>
  <si>
    <t>Food (Health) Supplement Stores</t>
  </si>
  <si>
    <t>Other Building Finishing Contractors</t>
  </si>
  <si>
    <t>Optical Goods Stores</t>
  </si>
  <si>
    <t>Other Direct Selling Establishments</t>
  </si>
  <si>
    <t>All Other Miscellaneous Store Retailers (except Tobacco Stores)</t>
  </si>
  <si>
    <t>All Other Consumer Goods Rental</t>
  </si>
  <si>
    <t>Fluid Power Pump and Motor Manufacturing</t>
  </si>
  <si>
    <t>Wood Kitchen Cabinet and Countertop Manufacturing</t>
  </si>
  <si>
    <t>Recreational Vehicle Dealers</t>
  </si>
  <si>
    <t>All Other Traveler Accommodation</t>
  </si>
  <si>
    <t>Lessors of Other Real Estate Property</t>
  </si>
  <si>
    <t>UT</t>
  </si>
  <si>
    <t>Offices of All Other Miscellaneous Health Practitioners</t>
  </si>
  <si>
    <t>Precision Turned Product Manufacturing</t>
  </si>
  <si>
    <t>AR</t>
  </si>
  <si>
    <t>O</t>
  </si>
  <si>
    <t>Home Health Care Services</t>
  </si>
  <si>
    <t>Automotive Body, Paint, and Interior Repair and Maintenance</t>
  </si>
  <si>
    <t>AL</t>
  </si>
  <si>
    <t>Used Car Dealers</t>
  </si>
  <si>
    <t>Supermarkets and Other Grocery (except Convenience) Stores</t>
  </si>
  <si>
    <t>Electronics Stores</t>
  </si>
  <si>
    <t>Offices of Chiropractors</t>
  </si>
  <si>
    <t>Farm and Garden Machinery and Equipment Merchant Wholesalers</t>
  </si>
  <si>
    <t>All Other Personal Services</t>
  </si>
  <si>
    <t>Office Administrative Services</t>
  </si>
  <si>
    <t>Women's, Children's, and Infants' Clothing and Accessories Merchant Wholesalers</t>
  </si>
  <si>
    <t>Household Appliance Stores</t>
  </si>
  <si>
    <t>All Other Basic Organic Chemical Manufacturing</t>
  </si>
  <si>
    <t>Outpatient Mental Health and Substance Abuse Centers</t>
  </si>
  <si>
    <t>Local Messengers and Local Delivery</t>
  </si>
  <si>
    <t>Shoe Stores</t>
  </si>
  <si>
    <t>ID</t>
  </si>
  <si>
    <t>All Other Miscellaneous Waste Management Services</t>
  </si>
  <si>
    <t>Tire Dealers</t>
  </si>
  <si>
    <t>Residential Intellectual and Developmental Disability Facilities</t>
  </si>
  <si>
    <t>Automotive Oil Change and Lubrication Shops</t>
  </si>
  <si>
    <t>Couriers and Express Delivery Services</t>
  </si>
  <si>
    <t>Carpet and Upholstery Cleaning Services</t>
  </si>
  <si>
    <t>Automobile Driving Schools</t>
  </si>
  <si>
    <t>Other Computer Related Services</t>
  </si>
  <si>
    <t>Drugs and Druggists' Sundries Merchant Wholesalers</t>
  </si>
  <si>
    <t>Remediation Services</t>
  </si>
  <si>
    <t>WV</t>
  </si>
  <si>
    <t>Amusement and Theme Parks</t>
  </si>
  <si>
    <t>Marketing Consulting Services</t>
  </si>
  <si>
    <t>Offices of Real Estate Agents and Brokers</t>
  </si>
  <si>
    <t>Other Warehousing and Storage</t>
  </si>
  <si>
    <t>Diagnostic Imaging Centers</t>
  </si>
  <si>
    <t>MD</t>
  </si>
  <si>
    <t>RI</t>
  </si>
  <si>
    <t>Vending Machine Operators</t>
  </si>
  <si>
    <t>Other Waste Collection</t>
  </si>
  <si>
    <t>Exterminating and Pest Control Services</t>
  </si>
  <si>
    <t>Janitorial Services</t>
  </si>
  <si>
    <t>Other Management Consulting Services</t>
  </si>
  <si>
    <t>Elementary and Secondary Schools</t>
  </si>
  <si>
    <t>Employment Placement Agencies</t>
  </si>
  <si>
    <t>Cosmetics, Beauty Supplies, and Perfume Stores</t>
  </si>
  <si>
    <t>Window Treatment Stores</t>
  </si>
  <si>
    <t>Advertising Material Distribution Services</t>
  </si>
  <si>
    <t>Advertising Agencies</t>
  </si>
  <si>
    <t>Surveying and Mapping (except Geophysical) Services</t>
  </si>
  <si>
    <t>Electronic Shopping and Mail-Order Houses</t>
  </si>
  <si>
    <t>All Other Professional, Scientific, and Technical Services</t>
  </si>
  <si>
    <t>Radio Networks</t>
  </si>
  <si>
    <t>All Other Home Furnishings Stores</t>
  </si>
  <si>
    <t>Facilities Support Services</t>
  </si>
  <si>
    <t>DE</t>
  </si>
  <si>
    <t>Cafeterias, Grill Buffets, and Buffets</t>
  </si>
  <si>
    <t>Offices of Physicians, Mental Health Specialists</t>
  </si>
  <si>
    <t>Other Individual and Family Services</t>
  </si>
  <si>
    <t>Convenience Stores</t>
  </si>
  <si>
    <t>Pharmaceutical Preparation Manufacturing</t>
  </si>
  <si>
    <t>Other Miscellaneous Nondurable Goods Merchant Wholesalers</t>
  </si>
  <si>
    <t>Sporting and Recreational Goods and Supplies Merchant Wholesalers</t>
  </si>
  <si>
    <t>Wood Container and Pallet Manufacturing</t>
  </si>
  <si>
    <t>Industrial Machinery and Equipment Merchant Wholesalers</t>
  </si>
  <si>
    <t>Child and Youth Services</t>
  </si>
  <si>
    <t>Stationery and Office Supplies Merchant Wholesalers</t>
  </si>
  <si>
    <t>Computer Systems Design Services</t>
  </si>
  <si>
    <t>Other Electronic Parts and Equipment Merchant Wholesalers</t>
  </si>
  <si>
    <t>Other Accounting Services</t>
  </si>
  <si>
    <t>Court Reporting and Stenotype Services</t>
  </si>
  <si>
    <t>Nonresidential Property Managers</t>
  </si>
  <si>
    <t>Women's Clothing Stores</t>
  </si>
  <si>
    <t>Exam Preparation and Tutoring</t>
  </si>
  <si>
    <t>Building Inspection Services</t>
  </si>
  <si>
    <t>Rooming and Boarding Houses, Dormitories, and Workers' Camps</t>
  </si>
  <si>
    <t>Other Building Equipment Contractors</t>
  </si>
  <si>
    <t>Toy and Hobby Goods and Supplies Merchant Wholesalers</t>
  </si>
  <si>
    <t>Tax Preparation Services</t>
  </si>
  <si>
    <t>Other Technical and Trade Schools</t>
  </si>
  <si>
    <t>General Line Grocery Merchant Wholesalers</t>
  </si>
  <si>
    <t>Dental Laboratories</t>
  </si>
  <si>
    <t>Service Establishment Equipment and Supplies Merchant Wholesalers</t>
  </si>
  <si>
    <t>General Freight Trucking, Long-Distance, Truckload</t>
  </si>
  <si>
    <t>Meat Markets</t>
  </si>
  <si>
    <t>Hardware Stores</t>
  </si>
  <si>
    <t>Fine Arts Schools</t>
  </si>
  <si>
    <t>Other Performing Arts Companies</t>
  </si>
  <si>
    <t>Commercial and Industrial Machinery and Equipment (except Automotive and Electronic) Repair and Maintenance</t>
  </si>
  <si>
    <t>Investment Advice</t>
  </si>
  <si>
    <t>Automotive Transmission Repair</t>
  </si>
  <si>
    <t>Other Concrete Product Manufacturing</t>
  </si>
  <si>
    <t>Sporting Goods Stores</t>
  </si>
  <si>
    <t>Other Support Activities for Air Transportation</t>
  </si>
  <si>
    <t>IA</t>
  </si>
  <si>
    <t>Jewelry, Watch, Precious Stone, and Precious Metal Merchant Wholesalers</t>
  </si>
  <si>
    <t>Automotive Parts and Accessories Stores</t>
  </si>
  <si>
    <t>Drycleaning and Laundry Services (except Coin-Operated)</t>
  </si>
  <si>
    <t>Truck, Utility Trailer, and RV (Recreational Vehicle) Rental and Leasing</t>
  </si>
  <si>
    <t>Bed-and-Breakfast Inns</t>
  </si>
  <si>
    <t>Nursery, Garden Center, and Farm Supply Stores</t>
  </si>
  <si>
    <t>Finish Carpentry Contractors</t>
  </si>
  <si>
    <t>Other Chemical and Allied Products Merchant Wholesalers</t>
  </si>
  <si>
    <t>Other Industrial Machinery Manufacturing</t>
  </si>
  <si>
    <t>Wholesale Trade Agents and Brokers</t>
  </si>
  <si>
    <t>Barber Shops</t>
  </si>
  <si>
    <t>Sign Manufacturing</t>
  </si>
  <si>
    <t>Outdoor Power Equipment Stores</t>
  </si>
  <si>
    <t>Specialized Freight (except Used Goods) Trucking, Local</t>
  </si>
  <si>
    <t>Industrial Mold Manufacturing</t>
  </si>
  <si>
    <t>All Other Telecommunications</t>
  </si>
  <si>
    <t>Hobby, Toy, and Game Stores</t>
  </si>
  <si>
    <t>Nail Salons</t>
  </si>
  <si>
    <t>Packaged Frozen Food Merchant Wholesalers</t>
  </si>
  <si>
    <t>Office Supplies and Stationery Stores</t>
  </si>
  <si>
    <t>Oil and Gas Field Machinery and Equipment Manufacturing</t>
  </si>
  <si>
    <t>Metal Service Centers and Other Metal Merchant Wholesalers</t>
  </si>
  <si>
    <t>Machine Shops</t>
  </si>
  <si>
    <t>Telecommunications Resellers</t>
  </si>
  <si>
    <t>All Other Miscellaneous Ambulatory Health Care Services</t>
  </si>
  <si>
    <t>Other Commercial and Industrial Machinery and Equipment Rental and Leasing</t>
  </si>
  <si>
    <t>Interior Design Services</t>
  </si>
  <si>
    <t>Electrical Contractors and Other Wiring Installation Contractors</t>
  </si>
  <si>
    <t>HI</t>
  </si>
  <si>
    <t>Automotive Glass Replacement Shops</t>
  </si>
  <si>
    <t>Scenic and Sightseeing Transportation, Water</t>
  </si>
  <si>
    <t>Research and Development in Biotechnology (except Nanobiotechnology)</t>
  </si>
  <si>
    <t>Confectionery Merchant Wholesalers</t>
  </si>
  <si>
    <t>Mortgage and Nonmortgage Loan Brokers</t>
  </si>
  <si>
    <t>Freight Transportation Arrangement</t>
  </si>
  <si>
    <t>Office Furniture (except Wood) Manufacturing</t>
  </si>
  <si>
    <t>Burial Casket Manufacturing</t>
  </si>
  <si>
    <t>Upholstered Household Furniture Manufacturing</t>
  </si>
  <si>
    <t>Other Services Related to Advertising</t>
  </si>
  <si>
    <t>Hardware Merchant Wholesalers</t>
  </si>
  <si>
    <t>Boat Dealers</t>
  </si>
  <si>
    <t>General Freight Trucking, Local</t>
  </si>
  <si>
    <t>Offices of Other Holding Companies</t>
  </si>
  <si>
    <t>Fresh Fruit and Vegetable Merchant Wholesalers</t>
  </si>
  <si>
    <t>All Other Support Services</t>
  </si>
  <si>
    <t>Recreational and Vacation Camps (except Campgrounds)</t>
  </si>
  <si>
    <t>Fish and Seafood Markets</t>
  </si>
  <si>
    <t>Open-End Investment Funds</t>
  </si>
  <si>
    <t>Other Support Activities for Road Transportation</t>
  </si>
  <si>
    <t xml:space="preserve">Loan Original Maturity </t>
  </si>
  <si>
    <t>Number of Loans</t>
  </si>
  <si>
    <t>% of Pool by Current Balance</t>
  </si>
  <si>
    <t>Less than 15 Yrs</t>
  </si>
  <si>
    <t>Over 15 Yrs</t>
  </si>
  <si>
    <t>Prepayment Penalty</t>
  </si>
  <si>
    <t>No Prepayment Penalty</t>
  </si>
  <si>
    <t>1% Prepayment Penalty</t>
  </si>
  <si>
    <t xml:space="preserve">3% Prepayment Penalty </t>
  </si>
  <si>
    <t xml:space="preserve">5% Prepayment Penalty </t>
  </si>
  <si>
    <t>Interest Accrual</t>
  </si>
  <si>
    <t>F</t>
  </si>
  <si>
    <t>3Y</t>
  </si>
  <si>
    <t>5Y</t>
  </si>
  <si>
    <t>Gross Margin</t>
  </si>
  <si>
    <t>Row Labels</t>
  </si>
  <si>
    <t>Sum of GtdBal</t>
  </si>
  <si>
    <t>Count of GtdBal2</t>
  </si>
  <si>
    <t>Sum of GtdBal2</t>
  </si>
  <si>
    <t>0-1</t>
  </si>
  <si>
    <t>Other</t>
  </si>
  <si>
    <t>1-2</t>
  </si>
  <si>
    <t>2-3</t>
  </si>
  <si>
    <t>3-4</t>
  </si>
  <si>
    <t>Strip Rate</t>
  </si>
  <si>
    <t>0.00% - 1.00%</t>
  </si>
  <si>
    <t>1.00% - 2.00%</t>
  </si>
  <si>
    <t>2.00% - 3.00%</t>
  </si>
  <si>
    <t>3.00% - 4.00%</t>
  </si>
  <si>
    <t>&gt;4.00%</t>
  </si>
  <si>
    <t>&lt; $500,000</t>
  </si>
  <si>
    <t>$500,000 - $1,000,000</t>
  </si>
  <si>
    <t>$1,000,000 - $1,500,000</t>
  </si>
  <si>
    <t>$1,500,000 - $2,000,000</t>
  </si>
  <si>
    <t>$2,000,000 - $2,500,000</t>
  </si>
  <si>
    <t>$2,500,000 - $3,000,000</t>
  </si>
  <si>
    <t>$3,000,000 - $3,500,000</t>
  </si>
  <si>
    <t>Count of Current Balance2</t>
  </si>
  <si>
    <t>$3,500,000 - $4,000,000</t>
  </si>
  <si>
    <t>$4,000,000 - $5,000,000</t>
  </si>
  <si>
    <t>Total</t>
  </si>
  <si>
    <t>Other States</t>
  </si>
  <si>
    <t>NE</t>
  </si>
  <si>
    <t>ND</t>
  </si>
  <si>
    <t>WY</t>
  </si>
  <si>
    <t>(blank)</t>
  </si>
  <si>
    <t xml:space="preserve">CA </t>
  </si>
  <si>
    <t>UH</t>
  </si>
  <si>
    <t xml:space="preserve">MA </t>
  </si>
  <si>
    <t>VT</t>
  </si>
  <si>
    <t>Loan</t>
  </si>
  <si>
    <t>% Loan</t>
  </si>
  <si>
    <t>IO Strip</t>
  </si>
  <si>
    <t>Maturity (yrs)</t>
  </si>
  <si>
    <t>Balance</t>
  </si>
  <si>
    <t>Coupon</t>
  </si>
  <si>
    <t xml:space="preserve">Age </t>
  </si>
  <si>
    <t>RemM</t>
  </si>
  <si>
    <t>0 - 8</t>
  </si>
  <si>
    <t>8 - 11</t>
  </si>
  <si>
    <t>11 - 16</t>
  </si>
  <si>
    <t>16 - 21</t>
  </si>
  <si>
    <t>21 - 25</t>
  </si>
  <si>
    <t>Total / Avg</t>
  </si>
  <si>
    <t>2017 NAICS U.S. Matched to 2012 NAICS U.S. (Full Concordance)</t>
  </si>
  <si>
    <t>(Note:  2017 NAICS codes in bold indicate pieces of the 2017 industry came from more than one 2012 NAICS industry; 2012 NAICS codes in italics indicate the 2012 industry split to two or more 2017 NAICS industries.)</t>
  </si>
  <si>
    <t>2017 NAICS Code</t>
  </si>
  <si>
    <t>2017 NAICS Title</t>
  </si>
  <si>
    <t>2012 NAICS Code</t>
  </si>
  <si>
    <r>
      <t>2012 NAICS Title
(</t>
    </r>
    <r>
      <rPr>
        <b/>
        <i/>
        <sz val="10"/>
        <rFont val="Arial"/>
        <family val="2"/>
      </rPr>
      <t xml:space="preserve">and specific piece of the 2012 industry that is contained in the 2017 industry) </t>
    </r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</si>
  <si>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</si>
  <si>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</si>
  <si>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</si>
  <si>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</si>
  <si>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</si>
  <si>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</si>
  <si>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</si>
  <si>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</si>
  <si>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</si>
  <si>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</si>
  <si>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</si>
  <si>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</si>
  <si>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</si>
  <si>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</si>
  <si>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</si>
  <si>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</si>
  <si>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</si>
  <si>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</si>
  <si>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</si>
  <si>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</si>
  <si>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</si>
  <si>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</si>
  <si>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</si>
  <si>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</si>
  <si>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 xml:space="preserve"> 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</si>
  <si>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</si>
  <si>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</si>
  <si>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</si>
  <si>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</si>
  <si>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</si>
  <si>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</si>
  <si>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</si>
  <si>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</si>
  <si>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</si>
  <si>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</si>
  <si>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</si>
  <si>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</si>
  <si>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</si>
  <si>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</si>
  <si>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</si>
  <si>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</si>
  <si>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</si>
  <si>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</si>
  <si>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</si>
  <si>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</si>
  <si>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</si>
  <si>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</si>
  <si>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</si>
  <si>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</si>
  <si>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</si>
  <si>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</si>
  <si>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</si>
  <si>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</si>
  <si>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</si>
  <si>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</si>
  <si>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</si>
  <si>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</si>
  <si>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</si>
  <si>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</si>
  <si>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</si>
  <si>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</si>
  <si>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</si>
  <si>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</si>
  <si>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</si>
  <si>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Crude Petroleum Extraction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</si>
  <si>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</si>
  <si>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t>Natural Gas Extraction</t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</si>
  <si>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</si>
  <si>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</si>
  <si>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</si>
  <si>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</si>
  <si>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</si>
  <si>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</si>
  <si>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</si>
  <si>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</si>
  <si>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Copper, Nickel, Lead, and Zinc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</si>
  <si>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</si>
  <si>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</si>
  <si>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</si>
  <si>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</si>
  <si>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</si>
  <si>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</si>
  <si>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</si>
  <si>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</si>
  <si>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</si>
  <si>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</si>
  <si>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</si>
  <si>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</si>
  <si>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</si>
  <si>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</si>
  <si>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</si>
  <si>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</si>
  <si>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</si>
  <si>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</si>
  <si>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</si>
  <si>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</si>
  <si>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</si>
  <si>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</si>
  <si>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</si>
  <si>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</si>
  <si>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</si>
  <si>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</si>
  <si>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</si>
  <si>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</si>
  <si>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</si>
  <si>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</si>
  <si>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</si>
  <si>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</si>
  <si>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</si>
  <si>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</si>
  <si>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</si>
  <si>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</si>
  <si>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</si>
  <si>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</si>
  <si>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Industrial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</si>
  <si>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</si>
  <si>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</si>
  <si>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</si>
  <si>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</si>
  <si>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</si>
  <si>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</si>
  <si>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</si>
  <si>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</si>
  <si>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</si>
  <si>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Glass and Glazing Contractors</t>
  </si>
  <si>
    <t>Roofing Contractors</t>
  </si>
  <si>
    <t>Siding Contractors</t>
  </si>
  <si>
    <t>Other Foundation, Structure, and Building Exterior Contractors</t>
  </si>
  <si>
    <t>Drywall and Insulation Contractors</t>
  </si>
  <si>
    <t>Painting and Wall Covering Contractors</t>
  </si>
  <si>
    <t>Flooring Contractors</t>
  </si>
  <si>
    <t>Tile and Terrazzo Contractors</t>
  </si>
  <si>
    <t>Site Preparation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</si>
  <si>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</si>
  <si>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</si>
  <si>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</si>
  <si>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</si>
  <si>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</si>
  <si>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</si>
  <si>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</si>
  <si>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</si>
  <si>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</si>
  <si>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</si>
  <si>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</si>
  <si>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</si>
  <si>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</si>
  <si>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</si>
  <si>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</si>
  <si>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</si>
  <si>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</si>
  <si>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</si>
  <si>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</si>
  <si>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</si>
  <si>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</si>
  <si>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</si>
  <si>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</si>
  <si>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</si>
  <si>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</si>
  <si>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</si>
  <si>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</si>
  <si>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</si>
  <si>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</si>
  <si>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</si>
  <si>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</si>
  <si>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</si>
  <si>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</si>
  <si>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</si>
  <si>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</si>
  <si>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</si>
  <si>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</si>
  <si>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</si>
  <si>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</si>
  <si>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</si>
  <si>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</si>
  <si>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</si>
  <si>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</si>
  <si>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</si>
  <si>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</si>
  <si>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</si>
  <si>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</si>
  <si>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</si>
  <si>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</si>
  <si>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</si>
  <si>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</si>
  <si>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</si>
  <si>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</si>
  <si>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</si>
  <si>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</si>
  <si>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</si>
  <si>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</si>
  <si>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</si>
  <si>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</si>
  <si>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</si>
  <si>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</si>
  <si>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</si>
  <si>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</si>
  <si>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</si>
  <si>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</si>
  <si>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</si>
  <si>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</si>
  <si>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</si>
  <si>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</si>
  <si>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</si>
  <si>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</si>
  <si>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</si>
  <si>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</si>
  <si>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</si>
  <si>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</si>
  <si>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</si>
  <si>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</si>
  <si>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</si>
  <si>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</si>
  <si>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</si>
  <si>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</si>
  <si>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</si>
  <si>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</si>
  <si>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</si>
  <si>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</si>
  <si>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</si>
  <si>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</si>
  <si>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</si>
  <si>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</si>
  <si>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</si>
  <si>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</si>
  <si>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</si>
  <si>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</si>
  <si>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</si>
  <si>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</si>
  <si>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</si>
  <si>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</si>
  <si>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</si>
  <si>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</si>
  <si>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</si>
  <si>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</si>
  <si>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</si>
  <si>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</si>
  <si>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</si>
  <si>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</si>
  <si>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</si>
  <si>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</si>
  <si>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</si>
  <si>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</si>
  <si>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</si>
  <si>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</si>
  <si>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</si>
  <si>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</si>
  <si>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</si>
  <si>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</si>
  <si>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</si>
  <si>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</si>
  <si>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</si>
  <si>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</si>
  <si>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</si>
  <si>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</si>
  <si>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</si>
  <si>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</si>
  <si>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</si>
  <si>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</si>
  <si>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</si>
  <si>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</si>
  <si>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</si>
  <si>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</si>
  <si>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</si>
  <si>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</si>
  <si>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</si>
  <si>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</si>
  <si>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</si>
  <si>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</si>
  <si>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</si>
  <si>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</si>
  <si>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</si>
  <si>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</si>
  <si>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</si>
  <si>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</si>
  <si>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</si>
  <si>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</si>
  <si>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</si>
  <si>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</si>
  <si>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</si>
  <si>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</si>
  <si>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</si>
  <si>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</si>
  <si>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</si>
  <si>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</si>
  <si>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</si>
  <si>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</si>
  <si>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</si>
  <si>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</si>
  <si>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</si>
  <si>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Lime Manufacturing</t>
  </si>
  <si>
    <t>Gypsum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</si>
  <si>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</si>
  <si>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</si>
  <si>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</si>
  <si>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</si>
  <si>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</si>
  <si>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</si>
  <si>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</si>
  <si>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</si>
  <si>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</si>
  <si>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</si>
  <si>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</si>
  <si>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</si>
  <si>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</si>
  <si>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</si>
  <si>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</si>
  <si>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</si>
  <si>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</si>
  <si>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</si>
  <si>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</si>
  <si>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</si>
  <si>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</si>
  <si>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</si>
  <si>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</si>
  <si>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</si>
  <si>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</si>
  <si>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</si>
  <si>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</si>
  <si>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</si>
  <si>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</si>
  <si>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</si>
  <si>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</si>
  <si>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</si>
  <si>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</si>
  <si>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</si>
  <si>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</si>
  <si>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</si>
  <si>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</si>
  <si>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</si>
  <si>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</si>
  <si>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</si>
  <si>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</si>
  <si>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</si>
  <si>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</si>
  <si>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</si>
  <si>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</si>
  <si>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</si>
  <si>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</si>
  <si>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</si>
  <si>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</si>
  <si>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</si>
  <si>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</si>
  <si>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</si>
  <si>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</si>
  <si>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</si>
  <si>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</si>
  <si>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</si>
  <si>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</si>
  <si>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</si>
  <si>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</si>
  <si>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</si>
  <si>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</si>
  <si>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</si>
  <si>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</si>
  <si>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</si>
  <si>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</si>
  <si>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</si>
  <si>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</si>
  <si>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</si>
  <si>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</si>
  <si>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</si>
  <si>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</si>
  <si>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</si>
  <si>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</si>
  <si>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</si>
  <si>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</si>
  <si>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</si>
  <si>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</si>
  <si>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</si>
  <si>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</si>
  <si>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</si>
  <si>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Pump and Pumping Equipment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</si>
  <si>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</si>
  <si>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</si>
  <si>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</si>
  <si>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</si>
  <si>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</si>
  <si>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</si>
  <si>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</si>
  <si>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</si>
  <si>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</si>
  <si>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</si>
  <si>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</si>
  <si>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</si>
  <si>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</si>
  <si>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</si>
  <si>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</si>
  <si>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</si>
  <si>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</si>
  <si>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</si>
  <si>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</si>
  <si>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</si>
  <si>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</si>
  <si>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</si>
  <si>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</si>
  <si>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</si>
  <si>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</si>
  <si>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</si>
  <si>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</si>
  <si>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</si>
  <si>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</si>
  <si>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</si>
  <si>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</si>
  <si>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</si>
  <si>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</si>
  <si>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</si>
  <si>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</si>
  <si>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</si>
  <si>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</si>
  <si>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</si>
  <si>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</si>
  <si>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</si>
  <si>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</si>
  <si>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</si>
  <si>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</si>
  <si>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</si>
  <si>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</si>
  <si>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</si>
  <si>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</si>
  <si>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</si>
  <si>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</si>
  <si>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</si>
  <si>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</si>
  <si>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</si>
  <si>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</si>
  <si>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</si>
  <si>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</si>
  <si>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</si>
  <si>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</si>
  <si>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</si>
  <si>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</si>
  <si>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</si>
  <si>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</si>
  <si>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</si>
  <si>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</si>
  <si>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</si>
  <si>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</si>
  <si>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</si>
  <si>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</si>
  <si>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</si>
  <si>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</si>
  <si>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</si>
  <si>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</si>
  <si>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</si>
  <si>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</si>
  <si>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</si>
  <si>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</si>
  <si>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</si>
  <si>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</si>
  <si>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</si>
  <si>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</si>
  <si>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</si>
  <si>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</si>
  <si>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</si>
  <si>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</si>
  <si>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</si>
  <si>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</si>
  <si>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</si>
  <si>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</si>
  <si>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</si>
  <si>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</si>
  <si>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</si>
  <si>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</si>
  <si>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</si>
  <si>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</si>
  <si>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</si>
  <si>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</si>
  <si>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</si>
  <si>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</si>
  <si>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</si>
  <si>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</si>
  <si>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</si>
  <si>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</si>
  <si>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</si>
  <si>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</si>
  <si>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</si>
  <si>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</si>
  <si>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</si>
  <si>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</si>
  <si>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</si>
  <si>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</si>
  <si>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</si>
  <si>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</si>
  <si>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</si>
  <si>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</si>
  <si>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</si>
  <si>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</si>
  <si>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</si>
  <si>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</si>
  <si>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</si>
  <si>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</si>
  <si>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</si>
  <si>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</si>
  <si>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</si>
  <si>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</si>
  <si>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</si>
  <si>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</si>
  <si>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</si>
  <si>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</si>
  <si>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</si>
  <si>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Industrial Supplies Merchant Wholesalers</t>
  </si>
  <si>
    <t>Transportation Equipment and Supplies (except Motor Vehicle) Merchant Wholesalers</t>
  </si>
  <si>
    <t>Printing and Writing Paper Merchant Wholesalers</t>
  </si>
  <si>
    <t>Industrial and Personal Service Paper Merchant Wholesalers</t>
  </si>
  <si>
    <t>Piece Goods, Notions, and Other Dry Goods Merchant Wholesalers</t>
  </si>
  <si>
    <t>Men's and Boys' Clothing and Furnishings Merchant Wholesalers</t>
  </si>
  <si>
    <t>Footwear Merchant Wholesalers</t>
  </si>
  <si>
    <t>Dairy Product (except Dried or Canned) Merchant Wholesalers</t>
  </si>
  <si>
    <t>Poultry and Poultry Product Merchant Wholesalers</t>
  </si>
  <si>
    <t>Fish and Seafood Merchant Wholesalers</t>
  </si>
  <si>
    <t>Meat and Meat Product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</si>
  <si>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</si>
  <si>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</si>
  <si>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</si>
  <si>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</si>
  <si>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</si>
  <si>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</si>
  <si>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</si>
  <si>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</si>
  <si>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</si>
  <si>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</si>
  <si>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</si>
  <si>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</si>
  <si>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Paint, Varnish, and Supplies Merchant Wholesalers</t>
  </si>
  <si>
    <t>Business to Business Electronic Markets</t>
  </si>
  <si>
    <t>New Car Dealers</t>
  </si>
  <si>
    <t>Motorcycle, ATV, and All Other Motor Vehicle Dealers</t>
  </si>
  <si>
    <t>Furniture Stores</t>
  </si>
  <si>
    <t>Home Centers</t>
  </si>
  <si>
    <t>Paint and Wallpaper Stores</t>
  </si>
  <si>
    <t>Fruit and Vegetable Markets</t>
  </si>
  <si>
    <t>Confectionery and Nut Stores</t>
  </si>
  <si>
    <t>All Other Health and Personal Care Stores</t>
  </si>
  <si>
    <t>Other Gasoline Stations</t>
  </si>
  <si>
    <t>Men's Clothing Stores</t>
  </si>
  <si>
    <t>Children's and Infants' Clothing Stores</t>
  </si>
  <si>
    <t>Family Clothing Stores</t>
  </si>
  <si>
    <t>Clothing Accessories Stores</t>
  </si>
  <si>
    <t>Luggage and Leather Goods Stores</t>
  </si>
  <si>
    <t>Sewing, Needlework, and Piece Goods Stores</t>
  </si>
  <si>
    <t>Musical Instrument and Supplies Stores</t>
  </si>
  <si>
    <t>Book Stores</t>
  </si>
  <si>
    <t>News Dealers and Newsstands</t>
  </si>
  <si>
    <t>Department Stores</t>
  </si>
  <si>
    <t>Department Stores (except Discount Department Stores)</t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</si>
  <si>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</si>
  <si>
    <t>Warehouse Clubs and Supercenters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</si>
  <si>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</si>
  <si>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All Other General Merchandise Stores</t>
  </si>
  <si>
    <t>Florists</t>
  </si>
  <si>
    <t xml:space="preserve">  </t>
  </si>
  <si>
    <t>Art Dealers</t>
  </si>
  <si>
    <t>Manufactured (Mobile) Home Dealers</t>
  </si>
  <si>
    <t>Tobacco Stores</t>
  </si>
  <si>
    <t>Electronic Shopping</t>
  </si>
  <si>
    <t>Electronic Auctions</t>
  </si>
  <si>
    <t>Mail-Order Houses</t>
  </si>
  <si>
    <t>Fuel Dealers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</si>
  <si>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</si>
  <si>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</si>
  <si>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</si>
  <si>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</si>
  <si>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</si>
  <si>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</si>
  <si>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</si>
  <si>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</si>
  <si>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</si>
  <si>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</si>
  <si>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</si>
  <si>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</si>
  <si>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</si>
  <si>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Long-Distance, Less Than Truckload</t>
  </si>
  <si>
    <t>Used Household and Office Goods Moving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</si>
  <si>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</si>
  <si>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</si>
  <si>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</si>
  <si>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</si>
  <si>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</si>
  <si>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</si>
  <si>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</si>
  <si>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</si>
  <si>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</si>
  <si>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</si>
  <si>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</si>
  <si>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</si>
  <si>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</si>
  <si>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</si>
  <si>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</si>
  <si>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</si>
  <si>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</si>
  <si>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Other</t>
  </si>
  <si>
    <t>Air Traffic Control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</si>
  <si>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</si>
  <si>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</si>
  <si>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</si>
  <si>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</si>
  <si>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</si>
  <si>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Packing and Crating</t>
  </si>
  <si>
    <t>All Other Support Activities for Transportation</t>
  </si>
  <si>
    <t>Postal Service</t>
  </si>
  <si>
    <t>General Warehousing and Storage</t>
  </si>
  <si>
    <t>Refrigerated Warehousing and Storage</t>
  </si>
  <si>
    <t>Farm Product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</si>
  <si>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</si>
  <si>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</si>
  <si>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</si>
  <si>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</si>
  <si>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</si>
  <si>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</si>
  <si>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</si>
  <si>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</si>
  <si>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</si>
  <si>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</si>
  <si>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</si>
  <si>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</si>
  <si>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</si>
  <si>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</si>
  <si>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</si>
  <si>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</si>
  <si>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Record Production</t>
  </si>
  <si>
    <t>Integrated Record Production/Distribution</t>
  </si>
  <si>
    <t>Other Sound Recording Industries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</si>
  <si>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</si>
  <si>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</si>
  <si>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</si>
  <si>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</si>
  <si>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</si>
  <si>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</si>
  <si>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</si>
  <si>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</si>
  <si>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</si>
  <si>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</si>
  <si>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</si>
  <si>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</si>
  <si>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</si>
  <si>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</si>
  <si>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</si>
  <si>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</si>
  <si>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</si>
  <si>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</si>
  <si>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</si>
  <si>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</si>
  <si>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</si>
  <si>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</si>
  <si>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</si>
  <si>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</si>
  <si>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</si>
  <si>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</si>
  <si>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</si>
  <si>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</si>
  <si>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</si>
  <si>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</si>
  <si>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</si>
  <si>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</si>
  <si>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Trust, Fiduciary, and Custody Activities</t>
  </si>
  <si>
    <t>Miscellaneous Financial Investment Activities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</si>
  <si>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</si>
  <si>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</si>
  <si>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</si>
  <si>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</si>
  <si>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</si>
  <si>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</si>
  <si>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</si>
  <si>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</si>
  <si>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</si>
  <si>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</si>
  <si>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</si>
  <si>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Trusts, Estates, and Agency Accounts</t>
  </si>
  <si>
    <t>Other Financial Vehicles</t>
  </si>
  <si>
    <t>Lessors of Residential Buildings and Dwellings</t>
  </si>
  <si>
    <t>Offices of Real Estate Appraisers</t>
  </si>
  <si>
    <t>Other Activities Related to Real Estate</t>
  </si>
  <si>
    <t>Passenger Car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</si>
  <si>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</si>
  <si>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</si>
  <si>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</si>
  <si>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</si>
  <si>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</si>
  <si>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</si>
  <si>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</si>
  <si>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</si>
  <si>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</si>
  <si>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Lessors of Nonfinancial Intangible Assets (except Copyrighted Works)</t>
  </si>
  <si>
    <t>Offices of Notaries</t>
  </si>
  <si>
    <t>Title Abstract and Settlement Offices</t>
  </si>
  <si>
    <t>All Other Legal Services</t>
  </si>
  <si>
    <t>Payroll Services</t>
  </si>
  <si>
    <t>Architectural Services</t>
  </si>
  <si>
    <t>Landscape Architectural Services</t>
  </si>
  <si>
    <t>Drafting Services</t>
  </si>
  <si>
    <t>Geophysical Surveying and Mapping Services</t>
  </si>
  <si>
    <t>Testing Laboratories</t>
  </si>
  <si>
    <t>Industrial Design Services</t>
  </si>
  <si>
    <t>Graphic Design Services</t>
  </si>
  <si>
    <t>Other Specialized Design Services</t>
  </si>
  <si>
    <t>Custom Computer Programming Services</t>
  </si>
  <si>
    <t>Computer Facilities Management Services</t>
  </si>
  <si>
    <t>Human Resources Consulting Services</t>
  </si>
  <si>
    <t>Process, Physical Distribution, and Logistics Consulting Services</t>
  </si>
  <si>
    <t>Other Scientific and Technical Consulting Services</t>
  </si>
  <si>
    <t>Research and Development in Nanotechnology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</si>
  <si>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</si>
  <si>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</si>
  <si>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r>
      <t xml:space="preserve">Research and Development in Biotechnology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nanobiotechnologies research and experimental development laboratories</t>
    </r>
  </si>
  <si>
    <t>Research and Development in the Physical, Engineering, and Life Sciences (except Nanotechnology and Biotechnology)</t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</si>
  <si>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nanotechnology research and experimental development laboratories</t>
    </r>
  </si>
  <si>
    <t>Research and Development in the Social Sciences and Humanities</t>
  </si>
  <si>
    <t>Public Relations Agencies</t>
  </si>
  <si>
    <t>Media Buying Agencies</t>
  </si>
  <si>
    <t>Media Representatives</t>
  </si>
  <si>
    <t>Outdoor Advertising</t>
  </si>
  <si>
    <t>Direct Mail Advertising</t>
  </si>
  <si>
    <t>Marketing Research and Public Opinion Polling</t>
  </si>
  <si>
    <t>Commercial Photography</t>
  </si>
  <si>
    <t>Translation and Interpretation Services</t>
  </si>
  <si>
    <t>Offices of Bank Holding Companies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</si>
  <si>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</si>
  <si>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</si>
  <si>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</si>
  <si>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</si>
  <si>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</si>
  <si>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</si>
  <si>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Collection Agencies</t>
  </si>
  <si>
    <t>Credit Bureaus</t>
  </si>
  <si>
    <t>Repossession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</si>
  <si>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</si>
  <si>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</si>
  <si>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</si>
  <si>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</si>
  <si>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</si>
  <si>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</si>
  <si>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</si>
  <si>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</si>
  <si>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Locksmiths</t>
  </si>
  <si>
    <t>Packaging and Labeling Services</t>
  </si>
  <si>
    <t>Convention and Trade Show Organizers</t>
  </si>
  <si>
    <t>Solid Waste Collection</t>
  </si>
  <si>
    <t>Hazardous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</si>
  <si>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</si>
  <si>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</si>
  <si>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</si>
  <si>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</si>
  <si>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Materials Recovery Facilities</t>
  </si>
  <si>
    <t>Septic Tank and Related Services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</si>
  <si>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</si>
  <si>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</si>
  <si>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</si>
  <si>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</si>
  <si>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</si>
  <si>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</si>
  <si>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</si>
  <si>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</si>
  <si>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Language Schools</t>
  </si>
  <si>
    <t>Educational Support Services</t>
  </si>
  <si>
    <t>Offices of Optometrists</t>
  </si>
  <si>
    <t>Offices of Physical, Occupational and Speech Therapists, and Audiologists</t>
  </si>
  <si>
    <t>Offices of Podiatrists</t>
  </si>
  <si>
    <t>Family Planning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</si>
  <si>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</si>
  <si>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</si>
  <si>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</si>
  <si>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</si>
  <si>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</si>
  <si>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Ambulance Services</t>
  </si>
  <si>
    <t>Blood and Organ Banks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</si>
  <si>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</si>
  <si>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</si>
  <si>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</si>
  <si>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</si>
  <si>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Continuing Care Retirement Communities</t>
  </si>
  <si>
    <t>Other Residential Care Facilities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</si>
  <si>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</si>
  <si>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</si>
  <si>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</si>
  <si>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</si>
  <si>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</si>
  <si>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Theater Companies and Dinner Theaters</t>
  </si>
  <si>
    <t>Dance Companies</t>
  </si>
  <si>
    <t>Musical Groups and Artists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</si>
  <si>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</si>
  <si>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</si>
  <si>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</si>
  <si>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</si>
  <si>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</si>
  <si>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</si>
  <si>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</si>
  <si>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</si>
  <si>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</si>
  <si>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</si>
  <si>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</si>
  <si>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</si>
  <si>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</si>
  <si>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</si>
  <si>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</si>
  <si>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</si>
  <si>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</si>
  <si>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Bowling Centers</t>
  </si>
  <si>
    <t>Casino Hotels</t>
  </si>
  <si>
    <t>Rooming and Boarding Houses</t>
  </si>
  <si>
    <t>Food Service Contractors</t>
  </si>
  <si>
    <t>Mobile Food Services</t>
  </si>
  <si>
    <t>Automotive Exhaust System Repair</t>
  </si>
  <si>
    <t>Other Automotive Mechanical and Electrical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</si>
  <si>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</si>
  <si>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</si>
  <si>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</si>
  <si>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</si>
  <si>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</si>
  <si>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</si>
  <si>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</si>
  <si>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</si>
  <si>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Diet and Weight Reducing Centers</t>
  </si>
  <si>
    <t>Cemeteries and Crematories</t>
  </si>
  <si>
    <t>Linen Supply</t>
  </si>
  <si>
    <t>Industrial Launderers</t>
  </si>
  <si>
    <t>Photofinishing Laboratories (except One-Hour)</t>
  </si>
  <si>
    <t>One-Hour Photofinishing</t>
  </si>
  <si>
    <t>Parking Lots and Garages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</si>
  <si>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</si>
  <si>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</si>
  <si>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</si>
  <si>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</si>
  <si>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</si>
  <si>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</si>
  <si>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</si>
  <si>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</si>
  <si>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</si>
  <si>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</si>
  <si>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</si>
  <si>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</si>
  <si>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</si>
  <si>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</si>
  <si>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</si>
  <si>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</si>
  <si>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</si>
  <si>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</si>
  <si>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</si>
  <si>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</si>
  <si>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</si>
  <si>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</si>
  <si>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</si>
  <si>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</si>
  <si>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</si>
  <si>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</si>
  <si>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</si>
  <si>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</si>
  <si>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</si>
  <si>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</si>
  <si>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</si>
  <si>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</si>
  <si>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</si>
  <si>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</si>
  <si>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</si>
  <si>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</si>
  <si>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</si>
  <si>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</si>
  <si>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</si>
  <si>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</si>
  <si>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</si>
  <si>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</si>
  <si>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</si>
  <si>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>(All)</t>
  </si>
  <si>
    <t xml:space="preserve">Proceeds </t>
  </si>
  <si>
    <t>Multiple for IO</t>
  </si>
  <si>
    <t>Bucket</t>
  </si>
  <si>
    <t xml:space="preserve">Purchase Proceeds </t>
  </si>
  <si>
    <t xml:space="preserve">Age Composition </t>
  </si>
  <si>
    <t xml:space="preserve">Total </t>
  </si>
  <si>
    <t xml:space="preserve">Lower Bound </t>
  </si>
  <si>
    <t>Upper Bound</t>
  </si>
  <si>
    <t>Total Balance</t>
  </si>
  <si>
    <t xml:space="preserve">% of Total </t>
  </si>
  <si>
    <t>% Above 2.5mm</t>
  </si>
  <si>
    <t>Prime</t>
  </si>
  <si>
    <t>Est. 50 Days</t>
  </si>
  <si>
    <t xml:space="preserve">All-in </t>
  </si>
  <si>
    <t xml:space="preserve">Accrued </t>
  </si>
  <si>
    <t xml:space="preserve">Bid Analysis Offered </t>
  </si>
  <si>
    <t xml:space="preserve">Days </t>
  </si>
  <si>
    <t xml:space="preserve">Category </t>
  </si>
  <si>
    <t>Multiple</t>
  </si>
  <si>
    <t>M</t>
  </si>
  <si>
    <t>Pck / Deal</t>
  </si>
  <si>
    <t>Prepayment Notice</t>
  </si>
  <si>
    <t/>
  </si>
  <si>
    <t>BANK OF GEORGE</t>
  </si>
  <si>
    <t>MERCHANTS BANK OF INDIANA</t>
  </si>
  <si>
    <t>SUMMIT STATE BANK</t>
  </si>
  <si>
    <t>CBB BANK</t>
  </si>
  <si>
    <t>READYCAP LENDING LLC</t>
  </si>
  <si>
    <t>HARVEST SMALL BUSINESS FINANCE. LLC</t>
  </si>
  <si>
    <t>BLUE RIDGE BANK NA</t>
  </si>
  <si>
    <t>AMERICAN MOMENTUM BANK</t>
  </si>
  <si>
    <t>CITIZENS BANK</t>
  </si>
  <si>
    <t>UMPQUA BANK</t>
  </si>
  <si>
    <t>FIRST INTERCONTINENTAL BANK</t>
  </si>
  <si>
    <t>LIVE OAK BANKING COMPANY</t>
  </si>
  <si>
    <t>HUNTINGTON NATIONAL BANK</t>
  </si>
  <si>
    <t>REPUBLIC BANK</t>
  </si>
  <si>
    <t>HERITAGE SOUTHEAST BANK</t>
  </si>
  <si>
    <t>NEWTEK SMALL BUSINESS FINANCE LLC</t>
  </si>
  <si>
    <t>MIDWEST REGIONAL BANK</t>
  </si>
  <si>
    <t>PLUMAS BANK</t>
  </si>
  <si>
    <t>OAKSTAR BANK</t>
  </si>
  <si>
    <t>FIRST COMMONWEALTH BANK</t>
  </si>
  <si>
    <t>VELOCITYSBA, LLC</t>
  </si>
  <si>
    <t>PINNACLE BANK</t>
  </si>
  <si>
    <t>FIRST BANK</t>
  </si>
  <si>
    <t>FREMONT BANK</t>
  </si>
  <si>
    <t>PROMISEONE BANK</t>
  </si>
  <si>
    <t>VININGS BANK</t>
  </si>
  <si>
    <t>GRASSHOPPER BANK</t>
  </si>
  <si>
    <t>WILMINGTON SAVINGS FUND SOCIETY, FS</t>
  </si>
  <si>
    <t>METRO CITY BANK</t>
  </si>
  <si>
    <t>BANK FIVE NINE</t>
  </si>
  <si>
    <t>MISSION VALLEY BANK</t>
  </si>
  <si>
    <t>UNITED BUSINESS BANK, FSB</t>
  </si>
  <si>
    <t>BANK OF HOPE</t>
  </si>
  <si>
    <t>CENTERSTATE BANK, N.A.</t>
  </si>
  <si>
    <t>BUSEY BANK</t>
  </si>
  <si>
    <t>KEYBANK N.A.</t>
  </si>
  <si>
    <t>FIRST INTERNET BANK OF INDIANA</t>
  </si>
  <si>
    <t>NEW MILLENIUM BANK</t>
  </si>
  <si>
    <t>CADENCE BANK, N.A.</t>
  </si>
  <si>
    <t>FINWISE BANK</t>
  </si>
  <si>
    <t>NORTHWEST BANK</t>
  </si>
  <si>
    <t>DOGWOOD STATE BANK</t>
  </si>
  <si>
    <t>OPEN BANK</t>
  </si>
  <si>
    <t>NEWBANK</t>
  </si>
  <si>
    <t>BERKSHIRE BANK</t>
  </si>
  <si>
    <t>AMERICAN CONTINENTAL BANK</t>
  </si>
  <si>
    <t>HANMI BANK</t>
  </si>
  <si>
    <t>PARADISE BANK</t>
  </si>
  <si>
    <t>DC</t>
  </si>
  <si>
    <t>UNITED MIDWEST SAVINGS BANK</t>
  </si>
  <si>
    <t>THE PROVIDENT BANK</t>
  </si>
  <si>
    <t>FIRST UTAH BANK</t>
  </si>
  <si>
    <t>UNITED COMMUNITY BANK INC</t>
  </si>
  <si>
    <t>BELGRADE STATE BANK</t>
  </si>
  <si>
    <t>SOUTHPOINT BANK</t>
  </si>
  <si>
    <t>GULF COAST BANK AND TRUST COMPANY</t>
  </si>
  <si>
    <t>B1BANK</t>
  </si>
  <si>
    <t>FIRST SAVINGS BANK FSB</t>
  </si>
  <si>
    <t>CAPITAL COMMUNITY BANK</t>
  </si>
  <si>
    <t>WESTERN STATE BANK</t>
  </si>
  <si>
    <t>USAMERIBANK</t>
  </si>
  <si>
    <t>PARAGON BANK</t>
  </si>
  <si>
    <t>AMERICAN BANK AND TRUST COMPANY</t>
  </si>
  <si>
    <t>PEAPACK-GLADSTONE BANK</t>
  </si>
  <si>
    <t>THE PIEDMONT BANK</t>
  </si>
  <si>
    <t>Other 82 Industries</t>
  </si>
  <si>
    <t>Originator</t>
  </si>
  <si>
    <t>Other 54 Originators</t>
  </si>
  <si>
    <t>FHN</t>
  </si>
  <si>
    <t>Rainflow Investments, Inc.</t>
  </si>
  <si>
    <t>BBC Investments/Incendiary Brewing Company</t>
  </si>
  <si>
    <t xml:space="preserve">Hanning &amp; Sacchetto Properties, LLC </t>
  </si>
  <si>
    <t>121 Healthcare Services LLC</t>
  </si>
  <si>
    <t>Bronson Heritage Chiropractic LLC</t>
  </si>
  <si>
    <t>Katharine Bryan, Carl Bryan &amp; Silver Valley Storage LLC</t>
  </si>
  <si>
    <t>IDS Properties Inc. dba Speed E Mart 76</t>
  </si>
  <si>
    <t>Akhil Hospitality LLC</t>
  </si>
  <si>
    <t>Kathleen Manning Revocable Living Trust dba Prints Old &amp; Rare</t>
  </si>
  <si>
    <t>Bella Mia Salon and Spa LLC</t>
  </si>
  <si>
    <t>The Patch Motel and Izzy's Lounge and Grill</t>
  </si>
  <si>
    <t>Nijjar Hospitality LLC dba Super 8 Fernley</t>
  </si>
  <si>
    <t>AAAH Hospitality LLC</t>
  </si>
  <si>
    <t>Paradise Assisted Care Corp.</t>
  </si>
  <si>
    <t>Red Rock CPA RE Holdings LLC</t>
  </si>
  <si>
    <t>Joy Learning Garden Inc.</t>
  </si>
  <si>
    <t>Harsh &amp; Janki Inc. dba Englewood Food Store</t>
  </si>
  <si>
    <t>Brandon Laundry LLC</t>
  </si>
  <si>
    <t>Mike's Cafeteria LLC dba Mike's Cafeteria</t>
  </si>
  <si>
    <t>Odie's House 1, LLC</t>
  </si>
  <si>
    <t>Relatively Easy Holdings Inc. dba Kingfisher Bar &amp; Grill</t>
  </si>
  <si>
    <t>Shreeji Hari, LLC</t>
  </si>
  <si>
    <t>NCBC&amp;R Properties LLC &amp; R&amp;D Printing Inc.</t>
  </si>
  <si>
    <t>Chrui Hospitality Reedsport LLC</t>
  </si>
  <si>
    <t>Infinite Accents LLC</t>
  </si>
  <si>
    <t>Shree Hari Krishna Maharaj Inc.</t>
  </si>
  <si>
    <t>Hopfenspirger Investments LLC &amp; Teocali Cocina Tequileria LLC</t>
  </si>
  <si>
    <t>Montelongo Group LLC</t>
  </si>
  <si>
    <t>Bright Futures Enrichment Center, LLC</t>
  </si>
  <si>
    <t>Milestone Recovery LLC</t>
  </si>
  <si>
    <t>Veggie Wholesale</t>
  </si>
  <si>
    <t>Moore Properties of Columbia LLC &amp; Moore Lovin Childcare Center LLC</t>
  </si>
  <si>
    <t>Hpaula LLC</t>
  </si>
  <si>
    <t>MAZ Logistics LLC</t>
  </si>
  <si>
    <t>Mayo Commercial Inc.</t>
  </si>
  <si>
    <t>Grumpy Gators Bar &amp; Grill, Inc.</t>
  </si>
  <si>
    <t>Whole Rat Enterprises LLC</t>
  </si>
  <si>
    <t>The Natural Hair Doc, LLC</t>
  </si>
  <si>
    <t>RMJN Holdings, LLC dba Rainbow Inn</t>
  </si>
  <si>
    <t>Kirk Russell Melenyzer Jr</t>
  </si>
  <si>
    <t>Khanna Realty 3 LLC &amp; Veds 3 LLC</t>
  </si>
  <si>
    <t>Scuttlebugs Boulder LLC</t>
  </si>
  <si>
    <t>Y2 LLC</t>
  </si>
  <si>
    <t>William Bonini and Elizabeth Bonini dba The Continental Inn</t>
  </si>
  <si>
    <t>Gopinathjii LLC</t>
  </si>
  <si>
    <t>Full Send Realty LLC and Let's Go Automotive Services, LLC</t>
  </si>
  <si>
    <t>Bjelland Properties LLC / Gresham Heights Learning</t>
  </si>
  <si>
    <t>Peterson Property Holdings</t>
  </si>
  <si>
    <t>KMC Hospitality LLC</t>
  </si>
  <si>
    <t>Good Car Wash Corporation</t>
  </si>
  <si>
    <t>Shri Hanuman Krupa Inc</t>
  </si>
  <si>
    <t>Encantada Properties LLC</t>
  </si>
  <si>
    <t xml:space="preserve">My Sign Station, Inc. </t>
  </si>
  <si>
    <t>Faith Memorial Chapel, LLC</t>
  </si>
  <si>
    <t>ADHD Network LLC &amp; Mias Kitchen &amp; Pizzeria LLC</t>
  </si>
  <si>
    <t>Amlo Hospitality LLC</t>
  </si>
  <si>
    <t>Derheim Inc.</t>
  </si>
  <si>
    <t>The Bleu Group LLC and Bleu Island Bar &amp; Exquisite Cuisine, LLC</t>
  </si>
  <si>
    <t>Ambah Inc.dba West Coast Tire Outlet</t>
  </si>
  <si>
    <t>New Generation Preschool in Montgomery LLC</t>
  </si>
  <si>
    <t>Lex Mar Service Inc.</t>
  </si>
  <si>
    <t>Mamba Realty, LLC</t>
  </si>
  <si>
    <t>Lock N Roll Storage Solutions LLC</t>
  </si>
  <si>
    <t>Khangura Investments LLC / West Sacramento Liquor 2 LLC</t>
  </si>
  <si>
    <t>Rockin AZ Bar, LLC dba Pardner's Night Club</t>
  </si>
  <si>
    <t>Guten Co.LLC</t>
  </si>
  <si>
    <t>The Patio at 5th &amp; Ash LLC</t>
  </si>
  <si>
    <t xml:space="preserve">Tinki LLC &amp; Wilson Line LLC </t>
  </si>
  <si>
    <t>Reeder Properties LLC and Reeder Tire  LLC dba Claybrook Tire</t>
  </si>
  <si>
    <t>US Trading Enterprises LLC</t>
  </si>
  <si>
    <t>Phil Investment Inc dba Motel 6 Holbrook</t>
  </si>
  <si>
    <t>United Square Holdings LLC &amp; United Square Investments LLC dba All Sta</t>
  </si>
  <si>
    <t>Terrace Hospitality LLC dba Terrace Park Inn</t>
  </si>
  <si>
    <t>KSP Acquisitions LLC</t>
  </si>
  <si>
    <t>A&amp;A Hotel LLC</t>
  </si>
  <si>
    <t>Tyle Services LLC</t>
  </si>
  <si>
    <t>Senior Garden Home</t>
  </si>
  <si>
    <t>Lokay Lanes LLC / Justin Lokay &amp; John M Lokay Jr. &amp; Saello Properties</t>
  </si>
  <si>
    <t>Leap4ward LLC</t>
  </si>
  <si>
    <t>Ammys 2000 LLC and Luckys Drive Through Ashley LLC / Gurtej Singh</t>
  </si>
  <si>
    <t xml:space="preserve">Five Star Holdings Inc </t>
  </si>
  <si>
    <t>Five Star LLC</t>
  </si>
  <si>
    <t>Randazzo Estates LLC</t>
  </si>
  <si>
    <t>Jonah's Movers, LLC</t>
  </si>
  <si>
    <t>Bracken Leigh LLC</t>
  </si>
  <si>
    <t>Rali Automotive LLC</t>
  </si>
  <si>
    <t>HH&amp;S Hospitality, LLC DBA Candlewood Suites</t>
  </si>
  <si>
    <t>SCLR CARE, LLC</t>
  </si>
  <si>
    <t>Champion Volleyball Club of Houston LLC</t>
  </si>
  <si>
    <t>JSG Holdings LLC dba The James Workshop</t>
  </si>
  <si>
    <t>C and C Prince Holding LLC &amp; Chen Chen and Associates PLLC</t>
  </si>
  <si>
    <t>The Block NE, LLC</t>
  </si>
  <si>
    <t>LAU KH, LLC</t>
  </si>
  <si>
    <t>Jensen Real Estate LLC.</t>
  </si>
  <si>
    <t>7409 13th Ave Realty LLC</t>
  </si>
  <si>
    <t>SSH of NC LLC dba Sleep Inn</t>
  </si>
  <si>
    <t>Bay Lodging Inc.</t>
  </si>
  <si>
    <t>Kbinakay LLC Famous Food Store</t>
  </si>
  <si>
    <t>Coastal Counting &amp; Industrial Scale Company, Inc.</t>
  </si>
  <si>
    <t>Ikigai Properties LLC</t>
  </si>
  <si>
    <t>Best Western Oswego Hotel</t>
  </si>
  <si>
    <t>Confidence Containers LLC</t>
  </si>
  <si>
    <t>ITB Industries LLC</t>
  </si>
  <si>
    <t>Kende LLC and Augusta Academy LLC</t>
  </si>
  <si>
    <t>Thanh Quoc Tran dba Pho Daily</t>
  </si>
  <si>
    <t>Plaza Residential Assisted Living, LLC</t>
  </si>
  <si>
    <t>RH2 Capital LLC</t>
  </si>
  <si>
    <t>Shree Saraswati LLC dba Days Inn</t>
  </si>
  <si>
    <t>COG Properties LLC</t>
  </si>
  <si>
    <t>Avendale Assisted Living DFW LLC</t>
  </si>
  <si>
    <t>White River Outpost, LLC</t>
  </si>
  <si>
    <t>Jennifer Shinhae Paek</t>
  </si>
  <si>
    <t xml:space="preserve">PSM Montgomery LLC </t>
  </si>
  <si>
    <t>AAMP, LLC and Spectrum Social and Recreational Services, LLC</t>
  </si>
  <si>
    <t>Elizabeth Wang Acupuncture P.C.</t>
  </si>
  <si>
    <t>Campbell Station Lodging LLC</t>
  </si>
  <si>
    <t>Zeal Hospitality, LLC</t>
  </si>
  <si>
    <t>Next Step, Inc.</t>
  </si>
  <si>
    <t xml:space="preserve">Y2 LLC              </t>
  </si>
  <si>
    <t xml:space="preserve">230 Adams Avenue LLC </t>
  </si>
  <si>
    <t>Nano Living Trust and Ben Congregate Living Inc.</t>
  </si>
  <si>
    <t>Alys Medical LLC</t>
  </si>
  <si>
    <t>Lays Medical LLC</t>
  </si>
  <si>
    <t>CWH Holdings LLC</t>
  </si>
  <si>
    <t>Diamond Peak Gymnastics LLC</t>
  </si>
  <si>
    <t>H &amp; S Ventures, LLC</t>
  </si>
  <si>
    <t>2021 ART Real Estate LLC &amp; 2021 ART Operations LLC dba Max Mart</t>
  </si>
  <si>
    <t>Bryce Law LLC</t>
  </si>
  <si>
    <t>iCare Child Development Center, LLC</t>
  </si>
  <si>
    <t>Elizabeth Asfaw</t>
  </si>
  <si>
    <t>Mahaloha Care LLC</t>
  </si>
  <si>
    <t>Lanahan Patel Lumber Company</t>
  </si>
  <si>
    <t>Studio City Child Care, Inc.</t>
  </si>
  <si>
    <t xml:space="preserve">8469 Southern Boulevard LLC </t>
  </si>
  <si>
    <t>Amaya Asad LLC dba Belvedere Express</t>
  </si>
  <si>
    <t>Next Legacy BB Hospitality LLC dba Super 8</t>
  </si>
  <si>
    <t>Orange Beach Developers LLC &amp; Beach Convenience LLC</t>
  </si>
  <si>
    <t>Bluwater Boat Holdings LLC</t>
  </si>
  <si>
    <t>A -1 Heart Monitoring, LLC dba TLC Diagnostics</t>
  </si>
  <si>
    <t>Serdar Ventures LLC</t>
  </si>
  <si>
    <t>Madison Avenue Car Wash</t>
  </si>
  <si>
    <t>110 AS Investment LLC</t>
  </si>
  <si>
    <t>Vivaan Real Estate LLC &amp; Aadhya Inc</t>
  </si>
  <si>
    <t>Slate A Rustic Tavern LLC</t>
  </si>
  <si>
    <t>Zion Sheridan LLC</t>
  </si>
  <si>
    <t>Shree Shirdi Sai Inc.DBA Camilla Inn</t>
  </si>
  <si>
    <t>KTM Roofing Co., Inc.</t>
  </si>
  <si>
    <t>GymX Fitness Center LLC</t>
  </si>
  <si>
    <t>Sam's Market</t>
  </si>
  <si>
    <t>GSM Enterprises LLC (EPC)
 Atlantic Air Enterprises Inc (OC)</t>
  </si>
  <si>
    <t>Zimmerman B&amp;B LLC</t>
  </si>
  <si>
    <t>Coastal Bay Nutrition LLC</t>
  </si>
  <si>
    <t>Flinz Holdings LLC</t>
  </si>
  <si>
    <t>Newsher Properties, LLC / Balanced Life Counseling PLLC</t>
  </si>
  <si>
    <t>DNH Investments LLC dba The Canton Party Store</t>
  </si>
  <si>
    <t>351 Morton LLC</t>
  </si>
  <si>
    <t>Art and Soul Solutions, Inc.</t>
  </si>
  <si>
    <t>4200 Pompano Beach ALF LLC</t>
  </si>
  <si>
    <t>Get N Go Raza Inc.</t>
  </si>
  <si>
    <t>Piscataway Auto Spa, LLC</t>
  </si>
  <si>
    <t>R &amp; A Enterprises LLC dba Splash &amp; Dash Car Wash Yreka</t>
  </si>
  <si>
    <t>BZ Carmel LLC dba Quality Inn</t>
  </si>
  <si>
    <t>W.F. Gormley &amp; Sons</t>
  </si>
  <si>
    <t>Pharmacy on Main LLC</t>
  </si>
  <si>
    <t>Falls Lumber Company Inc.</t>
  </si>
  <si>
    <t>AAA Rubbish Incorporated</t>
  </si>
  <si>
    <t>Kansas Gun Drilling Inc. dba KGD Aerospace Manufacturing</t>
  </si>
  <si>
    <t>Sai Ji Properties LLC</t>
  </si>
  <si>
    <t>Eager Beaver Professional Tree Care LLC</t>
  </si>
  <si>
    <t>The Wire Doctors Inc.</t>
  </si>
  <si>
    <t>Leonard's Ace Inc.</t>
  </si>
  <si>
    <t>NADIJ LLC</t>
  </si>
  <si>
    <t>Duh Sang Farm LLC</t>
  </si>
  <si>
    <t>KSDC Solutions Inc. / Montco Fence Real Estate LLC</t>
  </si>
  <si>
    <t>RLD Beverage, LLC.</t>
  </si>
  <si>
    <t>Meyour LLC (OC) Walnutport Holding LLC (EPC)</t>
  </si>
  <si>
    <t>Mitchem Veterinary Management, LLC</t>
  </si>
  <si>
    <t>Dr Wallace Used Oil Services LLC</t>
  </si>
  <si>
    <t>Jupiter Environmental Labs, Inc</t>
  </si>
  <si>
    <t>EHB Properties LLC</t>
  </si>
  <si>
    <t>Rising Tide Car Wash Coral Springs LLC</t>
  </si>
  <si>
    <t>Callm Restaurants LLC</t>
  </si>
  <si>
    <t>UV Country, Inc.</t>
  </si>
  <si>
    <t>Blue Roo Express Car Wash</t>
  </si>
  <si>
    <t>Little Genius Planet Hillsborough LLC</t>
  </si>
  <si>
    <t>Beyond Camping LLC</t>
  </si>
  <si>
    <t>Maxine Moncrieffe, D.D.S., P.A.</t>
  </si>
  <si>
    <t xml:space="preserve">Certified Autobrokers Inc. </t>
  </si>
  <si>
    <t>ALBQI Hotels LLC</t>
  </si>
  <si>
    <t>300 Cary LLC</t>
  </si>
  <si>
    <t>Jay Sagar LLC</t>
  </si>
  <si>
    <t>Hamid Hojati</t>
  </si>
  <si>
    <t>746 Colfax Limited Liability Company Foley Waite, LLC</t>
  </si>
  <si>
    <t>HK Property Development LLC</t>
  </si>
  <si>
    <t>Safe Journey 2 School Inc.</t>
  </si>
  <si>
    <t>Darbelle Enterprises LLC</t>
  </si>
  <si>
    <t>R K Hall &amp; Company Inc.</t>
  </si>
  <si>
    <t>The Raio Living Trust Dated November 16, 2009</t>
  </si>
  <si>
    <t>Shrijee International USA Inc dba Buy Rite Wine &amp; Liquor</t>
  </si>
  <si>
    <t>Park Capital ACQ LLC</t>
  </si>
  <si>
    <t>Shree Hari LLC dba EconoLodge</t>
  </si>
  <si>
    <t>Faithful Endeavors LLC</t>
  </si>
  <si>
    <t>Shiv-Sai SRJ LLC</t>
  </si>
  <si>
    <t>Pineda Hotels - NASA LLC</t>
  </si>
  <si>
    <t>DW Marine LLC dba Dustin Woy and Michelle Woy</t>
  </si>
  <si>
    <t>SLPM Properties LLC</t>
  </si>
  <si>
    <t>Solos International Group LLC</t>
  </si>
  <si>
    <t>30 Mann Street Attleboro LLC, Pacific Enterprise Inc.</t>
  </si>
  <si>
    <t xml:space="preserve">Marta Baltimore LLC dba Marta </t>
  </si>
  <si>
    <t>F2 Investment LLC dba Dominos Pizza</t>
  </si>
  <si>
    <t>Pine Grove Hospitality Inc.dba Days Inn Port Huron</t>
  </si>
  <si>
    <t>Gray Group Investments, LLC</t>
  </si>
  <si>
    <t>Jollip, LLC</t>
  </si>
  <si>
    <t>Biak Ling Farm, LLC</t>
  </si>
  <si>
    <t>Alharbi LLC / Homeland Market LLC</t>
  </si>
  <si>
    <t>J2KE Inc.</t>
  </si>
  <si>
    <t>Bills Sharpening LLC / Division 5252 LLC</t>
  </si>
  <si>
    <t>Printed on a Lark LLC</t>
  </si>
  <si>
    <t>Trung, LLC</t>
  </si>
  <si>
    <t>MB Family Farm LLC</t>
  </si>
  <si>
    <t>Goshem LLC</t>
  </si>
  <si>
    <t>Fahlam Family Farm LLC</t>
  </si>
  <si>
    <t>Sandy Family Farm LLC</t>
  </si>
  <si>
    <t>J. Jireh Farm LLC DBA Jireh Farm</t>
  </si>
  <si>
    <t>SVG 26 LLC</t>
  </si>
  <si>
    <t>Tru Investments, LLC</t>
  </si>
  <si>
    <t>Skowron Holdings LLC</t>
  </si>
  <si>
    <t>Accounting Solutions by Carolynn, Inc.</t>
  </si>
  <si>
    <t>Twin City Island Spirits Inc. dba Scion Farm Distillery</t>
  </si>
  <si>
    <t>Cho &amp; So, Inc.</t>
  </si>
  <si>
    <t>Ayra Hotels II LLC DBA Sleep Inn</t>
  </si>
  <si>
    <t>KS</t>
  </si>
  <si>
    <t>Blank</t>
  </si>
  <si>
    <t>VI</t>
  </si>
  <si>
    <t xml:space="preserve"> 3</t>
  </si>
  <si>
    <t>365/365</t>
  </si>
  <si>
    <t>Celtic Bank</t>
  </si>
  <si>
    <t>Pinnacle Financial Partners FAO: Pin</t>
  </si>
  <si>
    <t>Mission Valley Bank</t>
  </si>
  <si>
    <t>Merchants Bank of Indiana</t>
  </si>
  <si>
    <t>ReadyCap Lending, LLC</t>
  </si>
  <si>
    <t>Citizens Bank FAO Acclivity Financia</t>
  </si>
  <si>
    <t>Bank of Hope</t>
  </si>
  <si>
    <t>Pinnacle Bank</t>
  </si>
  <si>
    <t>Harvest Small Business Finance, LLC</t>
  </si>
  <si>
    <t>United Business Bank</t>
  </si>
  <si>
    <t>East West Bank</t>
  </si>
  <si>
    <t>Open Bank</t>
  </si>
  <si>
    <t>VelocitySBA, LLC</t>
  </si>
  <si>
    <t>Live Oak Banking Co.</t>
  </si>
  <si>
    <t>Dime Community Bank</t>
  </si>
  <si>
    <t>Dogwood State Bank</t>
  </si>
  <si>
    <t>Cogent Bank</t>
  </si>
  <si>
    <t>Loyal Trust Bank</t>
  </si>
  <si>
    <t xml:space="preserve">Umpqua Bank – La Mesa    </t>
  </si>
  <si>
    <t>Bank of Edison</t>
  </si>
  <si>
    <t>Mountain Pacific Bank</t>
  </si>
  <si>
    <t>First Business Bank</t>
  </si>
  <si>
    <t xml:space="preserve">Peoples Bank </t>
  </si>
  <si>
    <t>KeyBank - West</t>
  </si>
  <si>
    <t>American Continental Bank</t>
  </si>
  <si>
    <t>Fund-Ex Solutions Group, LLC</t>
  </si>
  <si>
    <t>Midwest Regional Bank</t>
  </si>
  <si>
    <t>Firstrust Bank</t>
  </si>
  <si>
    <t>Grasshopper Bank</t>
  </si>
  <si>
    <t>KeyPoint Credit Union</t>
  </si>
  <si>
    <t>MINT National Bank</t>
  </si>
  <si>
    <t>SouthState Bank (Formerly CenterStat</t>
  </si>
  <si>
    <t>iTHINK Financial Credit Union</t>
  </si>
  <si>
    <t>Paradise Bank</t>
  </si>
  <si>
    <t>ByLine Bank</t>
  </si>
  <si>
    <t>Newtek Small Business Finance, Inc.</t>
  </si>
  <si>
    <t>North State Bank</t>
  </si>
  <si>
    <t>Peapack Gladstone Bank</t>
  </si>
  <si>
    <t>Security State Bank &amp; Trust</t>
  </si>
  <si>
    <t>First Savings Bank</t>
  </si>
  <si>
    <t>The Fidelity Bank</t>
  </si>
  <si>
    <t xml:space="preserve">Bank of Southern California  </t>
  </si>
  <si>
    <t>MVB Bank</t>
  </si>
  <si>
    <t>First Commonwealth Bank</t>
  </si>
  <si>
    <t>Lendstream Small Business Finance, L</t>
  </si>
  <si>
    <t>M&amp;T Bank</t>
  </si>
  <si>
    <t>KeyBank - East</t>
  </si>
  <si>
    <t>Greater Community Bank</t>
  </si>
  <si>
    <t>Wallis State Bank</t>
  </si>
  <si>
    <t>The Huntington National Bank</t>
  </si>
  <si>
    <t>NewBank</t>
  </si>
  <si>
    <t>Touchmark National Bank</t>
  </si>
  <si>
    <t>Woori America Bank</t>
  </si>
  <si>
    <t>CWBB (Commonwealth Business Bank)</t>
  </si>
  <si>
    <t>First Western SBLC, Inc</t>
  </si>
  <si>
    <t>Branson Bank</t>
  </si>
  <si>
    <t>Embassy National Bank</t>
  </si>
  <si>
    <t>Legence Bank</t>
  </si>
  <si>
    <t>Santa Cruz County Bank</t>
  </si>
  <si>
    <t>First Home Bank</t>
  </si>
  <si>
    <t>Craft Bank</t>
  </si>
  <si>
    <t>Buckeye Community Bank</t>
  </si>
  <si>
    <t>First IC Bank</t>
  </si>
  <si>
    <t>Cadence Bank</t>
  </si>
  <si>
    <t>Northfield Bank</t>
  </si>
  <si>
    <t>BankFirst Financial Services</t>
  </si>
  <si>
    <t>Busey Bank</t>
  </si>
  <si>
    <t>Centerstone SBA Lending, Inc.</t>
  </si>
  <si>
    <t>FinWise Bank aka Utah Community Bank</t>
  </si>
  <si>
    <t>Regent Bank</t>
  </si>
  <si>
    <t>Patriot Bank, N.A.</t>
  </si>
  <si>
    <t>Five Star Bank</t>
  </si>
  <si>
    <t>Colony Bank</t>
  </si>
  <si>
    <t>Platinum Bank</t>
  </si>
  <si>
    <t>Berkshire Bank</t>
  </si>
  <si>
    <t>Meridian Bank</t>
  </si>
  <si>
    <t>WSFS Bank</t>
  </si>
  <si>
    <t>PromiseOne Bank</t>
  </si>
  <si>
    <t>CRF Small Business Loan Co. LLC</t>
  </si>
  <si>
    <t>Bank Five Nine</t>
  </si>
  <si>
    <t>Texas Advantage Community Bank</t>
  </si>
  <si>
    <t>Evolve Bank &amp; Trust</t>
  </si>
  <si>
    <t>American Bank, National Association</t>
  </si>
  <si>
    <t>The Provident Bank</t>
  </si>
  <si>
    <t>New Millennium Bank</t>
  </si>
  <si>
    <t>Luminate Bank</t>
  </si>
  <si>
    <t>CalPrivate Bank</t>
  </si>
  <si>
    <t>United Midwest Savings Bank</t>
  </si>
  <si>
    <t>OakStar Bank</t>
  </si>
  <si>
    <t>Citizens Bank, N.A.</t>
  </si>
  <si>
    <t>United Community Bank</t>
  </si>
  <si>
    <t>Stone Bank</t>
  </si>
  <si>
    <t>CapStar Bank</t>
  </si>
  <si>
    <t>Farmers &amp; Merchants State Bank</t>
  </si>
  <si>
    <t>b1BANK</t>
  </si>
  <si>
    <t>The Union Bank Company</t>
  </si>
  <si>
    <t>Quantum National Bank</t>
  </si>
  <si>
    <t>Package</t>
  </si>
  <si>
    <t>Count</t>
  </si>
  <si>
    <t>GTD Bal</t>
  </si>
  <si>
    <t>Orig Fee</t>
  </si>
  <si>
    <t>Note DT</t>
  </si>
  <si>
    <t>Loan Age</t>
  </si>
  <si>
    <t>Matures</t>
  </si>
  <si>
    <t>Orig Mos</t>
  </si>
  <si>
    <t>Mat Mos</t>
  </si>
  <si>
    <t>Sell Ratio</t>
  </si>
  <si>
    <t>Sell Value</t>
  </si>
  <si>
    <t>Wtd by Notional</t>
  </si>
  <si>
    <t>Trans</t>
  </si>
  <si>
    <t>Status</t>
  </si>
  <si>
    <t>Inv Status</t>
  </si>
  <si>
    <t>Pkg ID</t>
  </si>
  <si>
    <t>Paid To</t>
  </si>
  <si>
    <t>Borrower</t>
  </si>
  <si>
    <t>Street Addr</t>
  </si>
  <si>
    <t>City/State</t>
  </si>
  <si>
    <t>NAICS</t>
  </si>
  <si>
    <t>Gross Cpn</t>
  </si>
  <si>
    <t>NetCpn</t>
  </si>
  <si>
    <t>Adjust</t>
  </si>
  <si>
    <t>Pays</t>
  </si>
  <si>
    <t>Net Cap</t>
  </si>
  <si>
    <t>Net Flr</t>
  </si>
  <si>
    <t>Basis</t>
  </si>
  <si>
    <t>Orig Lender</t>
  </si>
  <si>
    <t>Cert</t>
  </si>
  <si>
    <t>Otr Comments</t>
  </si>
  <si>
    <t>NAICS PRE</t>
  </si>
  <si>
    <t>GEO</t>
  </si>
  <si>
    <t>Package1</t>
  </si>
  <si>
    <t>Package3</t>
  </si>
  <si>
    <t>Actual</t>
  </si>
  <si>
    <t>Long Maturity</t>
  </si>
  <si>
    <t xml:space="preserve">1950 Cabral Place </t>
  </si>
  <si>
    <t>Manteca, CA 95337</t>
  </si>
  <si>
    <t>5495 Williams Road</t>
  </si>
  <si>
    <t>Lewisville, NC 27023</t>
  </si>
  <si>
    <t>7217 Painter Avenue</t>
  </si>
  <si>
    <t>Whittier, CA 90602</t>
  </si>
  <si>
    <t>3333 W Commercial Blvd #110B</t>
  </si>
  <si>
    <t>Fort Lauderdale, FL 33309</t>
  </si>
  <si>
    <t>1653 Southease Parkway</t>
  </si>
  <si>
    <t>Azle, TX 76020</t>
  </si>
  <si>
    <t>72 N WIndriver Rd</t>
  </si>
  <si>
    <t>SIlverton, ID 83867</t>
  </si>
  <si>
    <t>3040 Steilacoom Blvd.</t>
  </si>
  <si>
    <t>Steilacoom, WA 98388</t>
  </si>
  <si>
    <t>850 Mistletoe Lane</t>
  </si>
  <si>
    <t>Redding, CA 96002</t>
  </si>
  <si>
    <t>580 Crespi Drive, Unit M</t>
  </si>
  <si>
    <t>Pacifica, CA 94044</t>
  </si>
  <si>
    <t>745 Main St</t>
  </si>
  <si>
    <t>Ramona, CA 92065</t>
  </si>
  <si>
    <t>801 State Ave NE</t>
  </si>
  <si>
    <t>Warroad, MN 56763</t>
  </si>
  <si>
    <t>1350 West Newlands Drive</t>
  </si>
  <si>
    <t>Fernley, NV 89408</t>
  </si>
  <si>
    <t>300 Fairgrounds Dr.</t>
  </si>
  <si>
    <t>Vallejo, CA 94589</t>
  </si>
  <si>
    <t>2177 17th Ave.</t>
  </si>
  <si>
    <t>Santa Cruz, CA 95062</t>
  </si>
  <si>
    <t>1290 S State Route 260</t>
  </si>
  <si>
    <t>Cottonwood, AZ 86326</t>
  </si>
  <si>
    <t>149-17 Sanford Ave Unit 1A</t>
  </si>
  <si>
    <t>Flushing, NY 11355</t>
  </si>
  <si>
    <t xml:space="preserve">2680 Placida Road </t>
  </si>
  <si>
    <t>Englewood, FL 34224</t>
  </si>
  <si>
    <t>3312 Lithia Pinecrest Road</t>
  </si>
  <si>
    <t>Valrico, FL 33596</t>
  </si>
  <si>
    <t>5214 Georgia Highway 85</t>
  </si>
  <si>
    <t>Forest Park, GA 30297</t>
  </si>
  <si>
    <t>12505 SE Crest Dr</t>
  </si>
  <si>
    <t>Happy Valley, OR 97086</t>
  </si>
  <si>
    <t xml:space="preserve">2564 East Grande Road </t>
  </si>
  <si>
    <t>Tucson, AZ 85716</t>
  </si>
  <si>
    <t>3142 Highland Ave</t>
  </si>
  <si>
    <t>Selma, CA 93662</t>
  </si>
  <si>
    <t>4305 McEver Industrial Dr</t>
  </si>
  <si>
    <t>Acworth, GA 30101</t>
  </si>
  <si>
    <t>1400 Highway 101</t>
  </si>
  <si>
    <t>Reedsport, OR 97467</t>
  </si>
  <si>
    <t>4084 South 300 West</t>
  </si>
  <si>
    <t>Murray, UT 84107</t>
  </si>
  <si>
    <t>115 Winningham Road</t>
  </si>
  <si>
    <t>St. George, SC 29477</t>
  </si>
  <si>
    <t>5770 Wadsworth Blvd.</t>
  </si>
  <si>
    <t>Arvada, CO 80002</t>
  </si>
  <si>
    <t>1441 &amp; 1445 Austin Hwy</t>
  </si>
  <si>
    <t>San Antonio, TX 78209</t>
  </si>
  <si>
    <t>184 Council Street</t>
  </si>
  <si>
    <t>Mocksville, NC 27028</t>
  </si>
  <si>
    <t>14001 N 7th St.</t>
  </si>
  <si>
    <t>Phoenix, AZ 85022</t>
  </si>
  <si>
    <t>6457 and 6478 Wilcrest Dr.</t>
  </si>
  <si>
    <t>Houston, TX 77072</t>
  </si>
  <si>
    <t>8252 Garners Ferry Road</t>
  </si>
  <si>
    <t>Columbia, SC 29209</t>
  </si>
  <si>
    <t>325 Rose Court SW</t>
  </si>
  <si>
    <t>Liburn, GA 30047</t>
  </si>
  <si>
    <t>2025 East Grand River Ave.</t>
  </si>
  <si>
    <t>Williamston, MI 48895</t>
  </si>
  <si>
    <t>19197 Golden Valley Road #214</t>
  </si>
  <si>
    <t>Santa Clarita, CA 91387</t>
  </si>
  <si>
    <t>4828 S. Suncoast Boulevard</t>
  </si>
  <si>
    <t>Homosassa, FL 34446</t>
  </si>
  <si>
    <t>1010 Carbon Ct, #E</t>
  </si>
  <si>
    <t>Erie, CO 80516</t>
  </si>
  <si>
    <t>306 Levering Mill Rd</t>
  </si>
  <si>
    <t>Bala Cynwyd, PA 19004</t>
  </si>
  <si>
    <t>6490 S. US Highway 1</t>
  </si>
  <si>
    <t>Port Saint Lucie, FL 34952</t>
  </si>
  <si>
    <t>226 Fallowfield Ave.</t>
  </si>
  <si>
    <t>Charleroi, PA 15022</t>
  </si>
  <si>
    <t>308 Constitution Dr</t>
  </si>
  <si>
    <t>Lafayette, LA 70503</t>
  </si>
  <si>
    <t>3735 Iris Ave.</t>
  </si>
  <si>
    <t>Boulder, CO 80301</t>
  </si>
  <si>
    <t>2660 SE 39th Loop</t>
  </si>
  <si>
    <t>Hillsboro, OR 97123</t>
  </si>
  <si>
    <t>519 Mountain View Avenue</t>
  </si>
  <si>
    <t>Santa Rosa, CA 95407</t>
  </si>
  <si>
    <t>304 E White Horse Pike</t>
  </si>
  <si>
    <t>Galloway, NJ 08205</t>
  </si>
  <si>
    <t>112 South Service Ct</t>
  </si>
  <si>
    <t>Myrtle Beach, SC 29588</t>
  </si>
  <si>
    <t>Gresham, OR 97080</t>
  </si>
  <si>
    <t>1405 Industrial Way</t>
  </si>
  <si>
    <t>Caldwell, ID 83605</t>
  </si>
  <si>
    <t xml:space="preserve">333 W Barbour St </t>
  </si>
  <si>
    <t>Eufaula, AL 36027</t>
  </si>
  <si>
    <t>1200 Business Way</t>
  </si>
  <si>
    <t>Lehigh Acres, FL 33936</t>
  </si>
  <si>
    <t>1802 Moen Ave.</t>
  </si>
  <si>
    <t>Rockdale, IL 60436</t>
  </si>
  <si>
    <t>4250 Pell Dr</t>
  </si>
  <si>
    <t>Sacramento, CA 95838</t>
  </si>
  <si>
    <t>1500 East Elizabeth Avenue</t>
  </si>
  <si>
    <t>Linden, NJ 07036</t>
  </si>
  <si>
    <t>600 9th Ave. N</t>
  </si>
  <si>
    <t>Bessemer, AL 35020</t>
  </si>
  <si>
    <t>800 Clinton Street</t>
  </si>
  <si>
    <t>Waukesha, WI 53186</t>
  </si>
  <si>
    <t>4331 Old Lincoln Hwy.</t>
  </si>
  <si>
    <t>Feasterville-Trevose, PA 19053</t>
  </si>
  <si>
    <t>331 George Lane</t>
  </si>
  <si>
    <t>Harwood, ND 58042</t>
  </si>
  <si>
    <t>17611 Sunbury Rd.</t>
  </si>
  <si>
    <t>Jamaica, NY 11434</t>
  </si>
  <si>
    <t>6267 N Blackstone Ave.</t>
  </si>
  <si>
    <t>Fresno, CA 93710</t>
  </si>
  <si>
    <t>3455 and 3461 Old Selma Road</t>
  </si>
  <si>
    <t>Montgomery, AL 36108</t>
  </si>
  <si>
    <t xml:space="preserve">12268 NW 106TH Ct. </t>
  </si>
  <si>
    <t>Medley, FL 33178</t>
  </si>
  <si>
    <t>511 W. Main Street</t>
  </si>
  <si>
    <t>Genoa, IL 60135</t>
  </si>
  <si>
    <t>20918 E. Brink St.</t>
  </si>
  <si>
    <t>Harvard, IL  60033</t>
  </si>
  <si>
    <t>2328 W Capitol Ave.</t>
  </si>
  <si>
    <t>West Sacramento, CA 95691</t>
  </si>
  <si>
    <t>15615 TX - 29</t>
  </si>
  <si>
    <t>Buchanan Dam, TX 78609</t>
  </si>
  <si>
    <t>215 Dawson St</t>
  </si>
  <si>
    <t>San Antonio, TX 78202</t>
  </si>
  <si>
    <t>416 Ash Street</t>
  </si>
  <si>
    <t>Fernandina Beach, FL 32034</t>
  </si>
  <si>
    <t>55 Bennington Avenue</t>
  </si>
  <si>
    <t>Freeport, NY 11520</t>
  </si>
  <si>
    <t>101 N Glenn St.</t>
  </si>
  <si>
    <t>Stoneville, NC 27048</t>
  </si>
  <si>
    <t>1462 N La Cadena Drive</t>
  </si>
  <si>
    <t>Colton, CA 92324</t>
  </si>
  <si>
    <t>2514 Navajo Blvd</t>
  </si>
  <si>
    <t>Holbrook, AZ 86025</t>
  </si>
  <si>
    <t>2800 NE 28th Street</t>
  </si>
  <si>
    <t>Fort Worth, TX 76111</t>
  </si>
  <si>
    <t>725 Main St.</t>
  </si>
  <si>
    <t>Fort Morgan, CO 80701</t>
  </si>
  <si>
    <t>52 Freeman Road</t>
  </si>
  <si>
    <t>Buffalo, NY 14221</t>
  </si>
  <si>
    <t>100 Watervliet Avenue</t>
  </si>
  <si>
    <t>Albany, NY 12206</t>
  </si>
  <si>
    <t>115 Rainwater Lane</t>
  </si>
  <si>
    <t>Pendergrass, GA 30567</t>
  </si>
  <si>
    <t>3591 Hillview Drive</t>
  </si>
  <si>
    <t>Salem, OR 97302</t>
  </si>
  <si>
    <t>6557 Antonio Dr.</t>
  </si>
  <si>
    <t>Irwin, PA 15642</t>
  </si>
  <si>
    <t>507 Denali Pass Rd Unit 503</t>
  </si>
  <si>
    <t>Cedar Park, TX 78613</t>
  </si>
  <si>
    <t>229 Gingerfield Way</t>
  </si>
  <si>
    <t>Sunbury, OH 43074</t>
  </si>
  <si>
    <t>444 Clearfield Avenue</t>
  </si>
  <si>
    <t>Chesapeake, VA 23320</t>
  </si>
  <si>
    <t>42 River Street</t>
  </si>
  <si>
    <t>Oneconta, NY 13820</t>
  </si>
  <si>
    <t>1714 Boudreaux Rd Ste 216</t>
  </si>
  <si>
    <t>Tomball, TX  77375</t>
  </si>
  <si>
    <t>.</t>
  </si>
  <si>
    <t>1 N Market Street</t>
  </si>
  <si>
    <t>Elizabethtown, PA 17022</t>
  </si>
  <si>
    <t>4435 State Bridge</t>
  </si>
  <si>
    <t>Alpharetta, GA 30005</t>
  </si>
  <si>
    <t>10025 S. Main Street</t>
  </si>
  <si>
    <t>Houston, TX 77025</t>
  </si>
  <si>
    <t>206 South Gum Street</t>
  </si>
  <si>
    <t>Pageland, SC 29728</t>
  </si>
  <si>
    <t>19418 Pinehurst Trail Drive</t>
  </si>
  <si>
    <t>Humble, TX 77346</t>
  </si>
  <si>
    <t>2335 Long Beach Blvd.</t>
  </si>
  <si>
    <t>Long Beach, CA 90806</t>
  </si>
  <si>
    <t>37-20 Prince St. Unit# 3F, 3G, 3H, 3I</t>
  </si>
  <si>
    <t>Flushing, NY 11354</t>
  </si>
  <si>
    <t>121 Old Line Dr</t>
  </si>
  <si>
    <t>Elkton, MD 21921</t>
  </si>
  <si>
    <t xml:space="preserve">903 Knight Ave. </t>
  </si>
  <si>
    <t>Waycross, GA 31501</t>
  </si>
  <si>
    <t>802 West 6th Avenue</t>
  </si>
  <si>
    <t>Emporia, KS 66801</t>
  </si>
  <si>
    <t>7409 13th Ave</t>
  </si>
  <si>
    <t>Brooklyn, NY 11228</t>
  </si>
  <si>
    <t>5208 Page Rd</t>
  </si>
  <si>
    <t>Durham, NC 27703</t>
  </si>
  <si>
    <t>1600 Lawrence Dr.</t>
  </si>
  <si>
    <t>De Pere, WI 54115</t>
  </si>
  <si>
    <t>42601 Hemphill Street</t>
  </si>
  <si>
    <t>Ft Worth, TX 76110</t>
  </si>
  <si>
    <t>270 Quail Ct</t>
  </si>
  <si>
    <t>Santa Paula, CA 93060</t>
  </si>
  <si>
    <t>34602 &amp; 34606 State Highway 16</t>
  </si>
  <si>
    <t>Woodland, CA 95695</t>
  </si>
  <si>
    <t>2055 Wiesbrook Drive</t>
  </si>
  <si>
    <t>Oswego, IL 60543</t>
  </si>
  <si>
    <t>2040 Brevard Road</t>
  </si>
  <si>
    <t>High Point, NC 27263</t>
  </si>
  <si>
    <t>4637 Nagle Ave</t>
  </si>
  <si>
    <t>Sherman Oaks, CA 91423</t>
  </si>
  <si>
    <t>425 N. Whisman Road</t>
  </si>
  <si>
    <t>Mountain View, CA 94043</t>
  </si>
  <si>
    <t>5321 Long Beach Blvd</t>
  </si>
  <si>
    <t>Long Beach, CA 90805</t>
  </si>
  <si>
    <t>8501 E. Plaza Ave.</t>
  </si>
  <si>
    <t>Scottsdale, AZ 85250</t>
  </si>
  <si>
    <t>330 Fifth Avenue, 3rd Floor</t>
  </si>
  <si>
    <t>Sherman, TX 75092</t>
  </si>
  <si>
    <t>4180 Old Gentilly Road</t>
  </si>
  <si>
    <t>New Orleans, LA 70126</t>
  </si>
  <si>
    <t>17404 Horace St</t>
  </si>
  <si>
    <t>Granada Hills, CA 91344</t>
  </si>
  <si>
    <t>5148 Paradise Dr</t>
  </si>
  <si>
    <t>Corte Madera, CA 94925</t>
  </si>
  <si>
    <t>5325 Hwy 165</t>
  </si>
  <si>
    <t>Branson, MO 65616</t>
  </si>
  <si>
    <t>2119 N 63rd St.</t>
  </si>
  <si>
    <t>Philadelphia, PA 19151</t>
  </si>
  <si>
    <t xml:space="preserve"> 5225 Carmichael Rd.</t>
  </si>
  <si>
    <t xml:space="preserve">Montgomery, AL 36106 </t>
  </si>
  <si>
    <t>965 S. Kipling Parkway, Unit B</t>
  </si>
  <si>
    <t>Denver, CO 80226</t>
  </si>
  <si>
    <t>75 - 80 184th Street</t>
  </si>
  <si>
    <t>Fresh Meadows, NY 11366</t>
  </si>
  <si>
    <t>3934 Shipwatch Lane</t>
  </si>
  <si>
    <t>Knoxville, TN 37920</t>
  </si>
  <si>
    <t>437 Chetco Avenue</t>
  </si>
  <si>
    <t>Brookings, OR 97415</t>
  </si>
  <si>
    <t>2601 Porter Street</t>
  </si>
  <si>
    <t>Soquel, CA 95073</t>
  </si>
  <si>
    <t>2660 SE 39th Loop, Ste A</t>
  </si>
  <si>
    <t>230 - 234 Adams Avenue</t>
  </si>
  <si>
    <t>Huntington Beach, CA 92648</t>
  </si>
  <si>
    <t>8118 Calhoun Ave</t>
  </si>
  <si>
    <t>Panorama City, CA 91402</t>
  </si>
  <si>
    <t>1724  Valencia Ave</t>
  </si>
  <si>
    <t>Ormond Beach, FL 32174</t>
  </si>
  <si>
    <t>1725 Palmer Beach Drive</t>
  </si>
  <si>
    <t>3350 Woods Edge Circle Suite 104</t>
  </si>
  <si>
    <t>Bonita Springs, FL 34134</t>
  </si>
  <si>
    <t>Tentative</t>
  </si>
  <si>
    <t>Available</t>
  </si>
  <si>
    <t>1306 E Homedale Rd.</t>
  </si>
  <si>
    <t>Caldwell, ID 83607</t>
  </si>
  <si>
    <t>110 Lake Boone TRL</t>
  </si>
  <si>
    <t>Raleigh, NC 27608</t>
  </si>
  <si>
    <t>1306 E Homedale Road</t>
  </si>
  <si>
    <t>9164 Highway 142</t>
  </si>
  <si>
    <t>Maxwell, TX 78656</t>
  </si>
  <si>
    <t>45 South Avenue SE</t>
  </si>
  <si>
    <t>Marietta, GA 30060</t>
  </si>
  <si>
    <t>7 Anniston Avenue</t>
  </si>
  <si>
    <t>Atlanta, GA 30317</t>
  </si>
  <si>
    <t>15617 SE 290th St.</t>
  </si>
  <si>
    <t>Kent, WA	98042</t>
  </si>
  <si>
    <t>8223 Twin Oaks Avenue</t>
  </si>
  <si>
    <t>Citrus Heights, CA 95610</t>
  </si>
  <si>
    <t xml:space="preserve">2014 E Adams St </t>
  </si>
  <si>
    <t>Jacksonville, FL 32202</t>
  </si>
  <si>
    <t xml:space="preserve">4417 Camellia Ave </t>
  </si>
  <si>
    <t>Los Angeles, CA 91602</t>
  </si>
  <si>
    <t>8469 Southern Blvd, Building 2</t>
  </si>
  <si>
    <t>Youngstown, OH 44512</t>
  </si>
  <si>
    <t>3335 Memorial Dr.</t>
  </si>
  <si>
    <t>Decatur, GA 30032</t>
  </si>
  <si>
    <t>340 W Illinois Ave</t>
  </si>
  <si>
    <t>Memphis, TN 38106</t>
  </si>
  <si>
    <t>900 West Beach Blvd</t>
  </si>
  <si>
    <t>Gulf Shores, AL 36542</t>
  </si>
  <si>
    <t>2901 Industrial Ave 3</t>
  </si>
  <si>
    <t>Fort Pierce, FL 34946</t>
  </si>
  <si>
    <t>361 Atlantic Ave</t>
  </si>
  <si>
    <t>East Rockaway, NY 11518</t>
  </si>
  <si>
    <t>34000 NE Colorado Lake Dr.</t>
  </si>
  <si>
    <t>Corvallis, OR 97333</t>
  </si>
  <si>
    <t>11832 Madison Avenue</t>
  </si>
  <si>
    <t>Lakewood, OH  44107</t>
  </si>
  <si>
    <t>1331 9th Avenue North</t>
  </si>
  <si>
    <t>Texas City, TX 77590</t>
  </si>
  <si>
    <t>349 2nd Street</t>
  </si>
  <si>
    <t>Cheraw, SC 29520</t>
  </si>
  <si>
    <t>2401 NY-10</t>
  </si>
  <si>
    <t>Caroga Lake, NY 12032</t>
  </si>
  <si>
    <t>3412 Sheridan Rd</t>
  </si>
  <si>
    <t>Zion, IL 60099</t>
  </si>
  <si>
    <t>600 US Highway 19 S</t>
  </si>
  <si>
    <t>Camilla, GA 31730</t>
  </si>
  <si>
    <t>2536 Hwy 138 E</t>
  </si>
  <si>
    <t>Stockbridge, GA 30281</t>
  </si>
  <si>
    <t>1 Columbia Road 530</t>
  </si>
  <si>
    <t>Waldo, AR 71770</t>
  </si>
  <si>
    <t>1060 Sanford Ave.</t>
  </si>
  <si>
    <t>Los Angeles, CA 90744</t>
  </si>
  <si>
    <t>856 Elston St</t>
  </si>
  <si>
    <t>Rahway, NJ 07065</t>
  </si>
  <si>
    <t>3921 Main St</t>
  </si>
  <si>
    <t>Warrensburg, NY 12885</t>
  </si>
  <si>
    <t>2106 US Hwy 31</t>
  </si>
  <si>
    <t>Bay Minette, AL 36507</t>
  </si>
  <si>
    <t>3535 Fort Worth Hwy</t>
  </si>
  <si>
    <t>Hudson Oaks, TX 76087</t>
  </si>
  <si>
    <t>3279 W Armitage Ave</t>
  </si>
  <si>
    <t>Chicago, IL 60647</t>
  </si>
  <si>
    <t>2535 W Tuscarawas St.</t>
  </si>
  <si>
    <t>Canton, OH 44708</t>
  </si>
  <si>
    <t>351 N Morton St &amp; 601 Banta St.</t>
  </si>
  <si>
    <t>Franklin, IN 46131</t>
  </si>
  <si>
    <t>1033 Bladensburg Road NE #C-4</t>
  </si>
  <si>
    <t>Washington, DC 20002</t>
  </si>
  <si>
    <t>2450 Hollywood Blvd., Unit 605</t>
  </si>
  <si>
    <t>Pompano Beach, FL 33064</t>
  </si>
  <si>
    <t>703 S. Chestnut</t>
  </si>
  <si>
    <t>Bristow, OK 74010</t>
  </si>
  <si>
    <t>1407 Stelton Rd</t>
  </si>
  <si>
    <t>Piscataway, NJ 08854</t>
  </si>
  <si>
    <t>1018 Quarry Court</t>
  </si>
  <si>
    <t>Yreka, CA 96097</t>
  </si>
  <si>
    <t>400 E 1st Street</t>
  </si>
  <si>
    <t>Thibodaux, LA 70301</t>
  </si>
  <si>
    <t>2015 Capitol Ave</t>
  </si>
  <si>
    <t>Sacramento, CA 95811</t>
  </si>
  <si>
    <t>201 4th Street</t>
  </si>
  <si>
    <t>International Falls, MN 56649</t>
  </si>
  <si>
    <t>6920 Foster Bridge Blvd</t>
  </si>
  <si>
    <t>Bell Gardens, CA 90201</t>
  </si>
  <si>
    <t>2204 West Harry Court</t>
  </si>
  <si>
    <t>Wichita, KS 67213</t>
  </si>
  <si>
    <t>3105 W Arkansas Lane</t>
  </si>
  <si>
    <t>Dalworthington Gardens, TX 76016</t>
  </si>
  <si>
    <t>2170 Longleaf Dr.</t>
  </si>
  <si>
    <t>Pensacola, FL 32505</t>
  </si>
  <si>
    <t>301 Oxford Valley Road, Suite 203B</t>
  </si>
  <si>
    <t>Yardley, PA 19067</t>
  </si>
  <si>
    <t>1319 South Arkansas Avenue</t>
  </si>
  <si>
    <t>Russellville, AR 72801</t>
  </si>
  <si>
    <t>2300 Winslow RD</t>
  </si>
  <si>
    <t>Williamstown, NJ 08094</t>
  </si>
  <si>
    <t>1250 Moody Road</t>
  </si>
  <si>
    <t>Buena Vista, GA 31803</t>
  </si>
  <si>
    <t>12 Swamp Pike</t>
  </si>
  <si>
    <t>Royersford, PA 19468</t>
  </si>
  <si>
    <t>9 Tristan Drive</t>
  </si>
  <si>
    <t>Dillsburg, PA 17019</t>
  </si>
  <si>
    <t>617 N. Walnut Street</t>
  </si>
  <si>
    <t>Cameron, MO 64429</t>
  </si>
  <si>
    <t>609 S. Division Street</t>
  </si>
  <si>
    <t>Mahomet, IL 61853</t>
  </si>
  <si>
    <t xml:space="preserve">30701 Hungarian Presbyterian Ch Rd </t>
  </si>
  <si>
    <t>Hammond, LA 70403</t>
  </si>
  <si>
    <t>150 South Dixie Highway</t>
  </si>
  <si>
    <t>Jupiter, FL 33458</t>
  </si>
  <si>
    <t>6384 Sumner Loop</t>
  </si>
  <si>
    <t>Dublin, OH 43016</t>
  </si>
  <si>
    <t>10340 Royal Palm Blvd</t>
  </si>
  <si>
    <t>Coral Springs, FL 33065</t>
  </si>
  <si>
    <t>18916 New Passage Blvd.</t>
  </si>
  <si>
    <t>Land O Lakes, FL 34638</t>
  </si>
  <si>
    <t>2616 Highway 35 Bypass North</t>
  </si>
  <si>
    <t xml:space="preserve">Alvin, TX 77511      </t>
  </si>
  <si>
    <t>5262 Delhi Pike</t>
  </si>
  <si>
    <t>Cincinnati, OH 45238</t>
  </si>
  <si>
    <t>Franklin Park, NJ 08823</t>
  </si>
  <si>
    <t>Sayre, OK 73662</t>
  </si>
  <si>
    <t>Orlando, FL 32825</t>
  </si>
  <si>
    <t>1693 Grand Island Boulevard</t>
  </si>
  <si>
    <t>Grand Island, NY 14072</t>
  </si>
  <si>
    <t>7439 Pan American Fwy NE</t>
  </si>
  <si>
    <t>Albuquerqe, NM 87109</t>
  </si>
  <si>
    <t>301 Governor Treutlen  Dr</t>
  </si>
  <si>
    <t>Pooler, GA 31322</t>
  </si>
  <si>
    <t>1375 E. University Dr.</t>
  </si>
  <si>
    <t>Tempe, AZ 85281</t>
  </si>
  <si>
    <t>1840 South Santa Fe Street</t>
  </si>
  <si>
    <t>Santa Ana, CA 92705</t>
  </si>
  <si>
    <t>92 Carteret Street</t>
  </si>
  <si>
    <t>Glen Ridge, NJ 07028</t>
  </si>
  <si>
    <t>111 Hudson St, Unit 1</t>
  </si>
  <si>
    <t>New York, NY 10013</t>
  </si>
  <si>
    <t>2348 E 83rd St</t>
  </si>
  <si>
    <t>Chicago, IL 60617</t>
  </si>
  <si>
    <t>103 S Plum Crest Circle</t>
  </si>
  <si>
    <t>The Woodlands, TX 77359</t>
  </si>
  <si>
    <t xml:space="preserve">1711 Pope St </t>
  </si>
  <si>
    <t>Rock Hill, SC 29732</t>
  </si>
  <si>
    <t>20281 Harvill Ave</t>
  </si>
  <si>
    <t>Perris, CA 92570</t>
  </si>
  <si>
    <t>400 Valley Street</t>
  </si>
  <si>
    <t>South Orange, NJ  07079</t>
  </si>
  <si>
    <t>401 N Lakeshore Drive</t>
  </si>
  <si>
    <t>Lake Charles, LA 70601</t>
  </si>
  <si>
    <t>1600 Jerry Clower Blvd</t>
  </si>
  <si>
    <t>Yazoo City, MS 39194</t>
  </si>
  <si>
    <t>2844 Port Sheldon St.</t>
  </si>
  <si>
    <t>Hudsonville, MI 49426</t>
  </si>
  <si>
    <t>1004 South US-59</t>
  </si>
  <si>
    <t>Cleveland, TX 77327</t>
  </si>
  <si>
    <t>3636 Nasa Road 1</t>
  </si>
  <si>
    <t>Seabrook, TX 77586</t>
  </si>
  <si>
    <t>1255 Boot Dr.</t>
  </si>
  <si>
    <t>Camdenton, MO 65020</t>
  </si>
  <si>
    <t>115 Salem Towne Ct.</t>
  </si>
  <si>
    <t>Apex, NC 27502</t>
  </si>
  <si>
    <t xml:space="preserve">124 Main Street </t>
  </si>
  <si>
    <t>Fort Lee, NJ 07024</t>
  </si>
  <si>
    <t>30 Mann Street</t>
  </si>
  <si>
    <t>Attleboro, MA 02703</t>
  </si>
  <si>
    <t>2127 East Pratt Street</t>
  </si>
  <si>
    <t>Baltimore, MD 21231</t>
  </si>
  <si>
    <t>5805 Yorkshire Rd.</t>
  </si>
  <si>
    <t>McKinney, TX 75070</t>
  </si>
  <si>
    <t>2908 Pine Grove Ave</t>
  </si>
  <si>
    <t>Port Huron, MI 86305</t>
  </si>
  <si>
    <t>8035 Harford Rd</t>
  </si>
  <si>
    <t>Parkville, MD 21234</t>
  </si>
  <si>
    <t>349 Sawyer Ave</t>
  </si>
  <si>
    <t>Tonawanda, NY 14150</t>
  </si>
  <si>
    <t>2600 Marvis Chapman Road</t>
  </si>
  <si>
    <t>Ideal, GA 31041</t>
  </si>
  <si>
    <t>3701 Monroe Street</t>
  </si>
  <si>
    <t>Dearborn, MI 48124</t>
  </si>
  <si>
    <t xml:space="preserve">2137 West Washington Street </t>
  </si>
  <si>
    <t>Stephenville, TX 76401</t>
  </si>
  <si>
    <t>5252 Division Avenue S</t>
  </si>
  <si>
    <t>Grand Rapids, MI 49548</t>
  </si>
  <si>
    <t>3658 Rugby Drive</t>
  </si>
  <si>
    <t>Toledo, OH 43614</t>
  </si>
  <si>
    <t>5467 St. Claude Ave</t>
  </si>
  <si>
    <t>New Orleans, LA 70117</t>
  </si>
  <si>
    <t xml:space="preserve">1512 Yonah Homer Rd. </t>
  </si>
  <si>
    <t>Maysville, GA 30558</t>
  </si>
  <si>
    <t xml:space="preserve">889 Burkett Road </t>
  </si>
  <si>
    <t>Thomaston, GA 30286</t>
  </si>
  <si>
    <t xml:space="preserve">684 HWY 191 </t>
  </si>
  <si>
    <t>Danielsville, GA 30633</t>
  </si>
  <si>
    <t>3623 GA Hwy 224</t>
  </si>
  <si>
    <t>Montezuma, GA 31063</t>
  </si>
  <si>
    <t>930 McBryant Rd.</t>
  </si>
  <si>
    <t>Pitts, GA 31072</t>
  </si>
  <si>
    <t>2037 State Route 17B</t>
  </si>
  <si>
    <t>Bethel, NY 12720</t>
  </si>
  <si>
    <t>525 Black Diamond Rd</t>
  </si>
  <si>
    <t>Smyrna, DE 19977</t>
  </si>
  <si>
    <t xml:space="preserve">401 W College Avenue </t>
  </si>
  <si>
    <t>Pemberville, OH 43450</t>
  </si>
  <si>
    <t>6620 Gordon Rd. Ste H</t>
  </si>
  <si>
    <t>Wilmington, NC 28411</t>
  </si>
  <si>
    <t>Plot 4 - G Estate Sion Farm</t>
  </si>
  <si>
    <t>Queens Quarter, St. Croix, VI 00820</t>
  </si>
  <si>
    <t>248-258 W Wingohocking St.</t>
  </si>
  <si>
    <t>Philadelphia, PA 19140</t>
  </si>
  <si>
    <t>1175 Powers Ferry Place</t>
  </si>
  <si>
    <t xml:space="preserve">SE Marietta, GA 30067.  </t>
  </si>
  <si>
    <t>`</t>
  </si>
  <si>
    <t>Texas Grinders Houston II LLC</t>
  </si>
  <si>
    <t>Jersey Village</t>
  </si>
  <si>
    <t>1721 s water LLC</t>
  </si>
  <si>
    <t>Philadelphia</t>
  </si>
  <si>
    <t>Murray Hill Gym LLLP</t>
  </si>
  <si>
    <t>Jacksonville</t>
  </si>
  <si>
    <t>Larry's Home Solution LLC</t>
  </si>
  <si>
    <t>Kannapolis</t>
  </si>
  <si>
    <t>Southwest MO Investments, LLC</t>
  </si>
  <si>
    <t>Reeds</t>
  </si>
  <si>
    <t>Homestead Kitchen LLC</t>
  </si>
  <si>
    <t>Reidsville</t>
  </si>
  <si>
    <t>Markham Mini Mart Inc</t>
  </si>
  <si>
    <t>Markham</t>
  </si>
  <si>
    <t>Palos Gas Mart, Inc.</t>
  </si>
  <si>
    <t>Palos Hills</t>
  </si>
  <si>
    <t>THE CAR WASH PORT TOWNSEND, LLC</t>
  </si>
  <si>
    <t>PORT TOWNSEND</t>
  </si>
  <si>
    <t>VALERIE MARTINEK</t>
  </si>
  <si>
    <t>Hartford</t>
  </si>
  <si>
    <t>F&amp;S Crows Mills Reality</t>
  </si>
  <si>
    <t>Keasbey</t>
  </si>
  <si>
    <t>SB2 Corp</t>
  </si>
  <si>
    <t>Isleton</t>
  </si>
  <si>
    <t xml:space="preserve">Jorge J Nerio Jr dba 5 Star Welding </t>
  </si>
  <si>
    <t xml:space="preserve">Fort Worth </t>
  </si>
  <si>
    <t>COLUMBIA MOTELS INC</t>
  </si>
  <si>
    <t>Reynoldsburg</t>
  </si>
  <si>
    <t>Pelican Tempe Holdings LLC</t>
  </si>
  <si>
    <t>Tempe</t>
  </si>
  <si>
    <t>ProCare Rentals LLC; ProCare Pest Services LLC; John Carl Ely, III</t>
  </si>
  <si>
    <t>Marietta</t>
  </si>
  <si>
    <t>DESAI HOTELS LLC</t>
  </si>
  <si>
    <t>Center</t>
  </si>
  <si>
    <t>Dale's Gas Appliance Repair, Inc.</t>
  </si>
  <si>
    <t>Winter Park</t>
  </si>
  <si>
    <t>Locker Room Mondovi, LLC</t>
  </si>
  <si>
    <t>Mondovi</t>
  </si>
  <si>
    <t>Eastside Services, LLC</t>
  </si>
  <si>
    <t>JBGH Properties, LLC and J Bernat Corporation DBA Bernat Landscaping and K M Bernat Construction Inc</t>
  </si>
  <si>
    <t>Homer Glen</t>
  </si>
  <si>
    <t>Parth Lodging LLC dba Days Inn Harrisburg North</t>
  </si>
  <si>
    <t>Harrisburg</t>
  </si>
  <si>
    <t>ISHAKAUR PROPERTIES LLC</t>
  </si>
  <si>
    <t>Roanoke</t>
  </si>
  <si>
    <t>FUTURE DAYS LLC</t>
  </si>
  <si>
    <t>Portland</t>
  </si>
  <si>
    <t>Bennettsville Investment Group LLC</t>
  </si>
  <si>
    <t>Bennettsville</t>
  </si>
  <si>
    <t>INJECTOLOGY AESTHETICS LLC</t>
  </si>
  <si>
    <t>Yuba City</t>
  </si>
  <si>
    <t xml:space="preserve">HIMALAYAN MART 1 LLC                    </t>
  </si>
  <si>
    <t>Saginaw</t>
  </si>
  <si>
    <t>E and B Stables, LLC</t>
  </si>
  <si>
    <t>Powder Springs</t>
  </si>
  <si>
    <t>SPINE AND WELLNESS MANAGEMENT LLC</t>
  </si>
  <si>
    <t>Pahrump</t>
  </si>
  <si>
    <t>KESHAVJI HOLDINGS LLC (EPC) 
&amp; PSM100 MANAGEMENT LLC (OC) 
dba HIGHWAY 138 PACKAGE STORE</t>
  </si>
  <si>
    <t>Stockbridge</t>
  </si>
  <si>
    <t>2805 Holdings, LLC &amp; 3D, LLC (Wholesale Tire)</t>
  </si>
  <si>
    <t>Clifton Forge</t>
  </si>
  <si>
    <t>AAA TX Properties LLC and AAA TX Operating LLC</t>
  </si>
  <si>
    <t>Jefferson</t>
  </si>
  <si>
    <t>FSC LLC</t>
  </si>
  <si>
    <t xml:space="preserve">Fariview </t>
  </si>
  <si>
    <t xml:space="preserve">Diverse Automotive, LLC       </t>
  </si>
  <si>
    <t>Columbus</t>
  </si>
  <si>
    <t>DMSP, LLC</t>
  </si>
  <si>
    <t>Melbourne Beach</t>
  </si>
  <si>
    <t>PS2 Gasoline Inc</t>
  </si>
  <si>
    <t>King City</t>
  </si>
  <si>
    <t>Hobak Hospitality, Inc.</t>
  </si>
  <si>
    <t>Los Angeles</t>
  </si>
  <si>
    <t>Sigma Construction</t>
  </si>
  <si>
    <t>Somerset</t>
  </si>
  <si>
    <t>G Commercial Tire and Repair LLC</t>
  </si>
  <si>
    <t>Commerce</t>
  </si>
  <si>
    <t>Palmetto King Properties LLC</t>
  </si>
  <si>
    <t>Charleston</t>
  </si>
  <si>
    <t>Palmdale Health &amp; Wellness Center LLC</t>
  </si>
  <si>
    <t>Palmdal</t>
  </si>
  <si>
    <t>Devi 2017 LLC</t>
  </si>
  <si>
    <t>Norfolk</t>
  </si>
  <si>
    <t>Nite Owl Tattoo Tampa Inc dba Momentum Tattoo</t>
  </si>
  <si>
    <t>Tampa</t>
  </si>
  <si>
    <t>Hicksville Pines Inc</t>
  </si>
  <si>
    <t>Idyllwild</t>
  </si>
  <si>
    <t>CITORY SOLUTIONS, LLC and PRECISION ONE PARTNERS, LLC</t>
  </si>
  <si>
    <t>Cloud</t>
  </si>
  <si>
    <t>DIANA KAWUKI (A Dignified Adult Care)</t>
  </si>
  <si>
    <t>Peoria</t>
  </si>
  <si>
    <t>Colfax Lodging, LLC</t>
  </si>
  <si>
    <t>Colfax</t>
  </si>
  <si>
    <t>Basin Wire Rope &amp; Rigging, Inc</t>
  </si>
  <si>
    <t>Odessa</t>
  </si>
  <si>
    <t>8722 Lefferts Blvd LLC (EPC)/ Overtime Bar and Lounge Corp</t>
  </si>
  <si>
    <t>Richmond Hill</t>
  </si>
  <si>
    <t>650 Morrisplains 82, LLC</t>
  </si>
  <si>
    <t>Morris Plains</t>
  </si>
  <si>
    <t>Chuck Geroge, Inc.</t>
  </si>
  <si>
    <t>Newport</t>
  </si>
  <si>
    <t>Diwan Best Western Hope LLC</t>
  </si>
  <si>
    <t>Hope</t>
  </si>
  <si>
    <t>JL SHAW ENTERPRISES LLC</t>
  </si>
  <si>
    <t>Brookings</t>
  </si>
  <si>
    <t>Pratt and Rutski Funeral Service, LLC</t>
  </si>
  <si>
    <t>Delmar</t>
  </si>
  <si>
    <t>Costa D'Oro, LLC</t>
  </si>
  <si>
    <t>Kissimmee</t>
  </si>
  <si>
    <t>OLD HICKORY VENTURES INC</t>
  </si>
  <si>
    <t>Wells</t>
  </si>
  <si>
    <t>My Place Medford Oregon</t>
  </si>
  <si>
    <t>Medford</t>
  </si>
  <si>
    <t>Rhythm CB, LLC</t>
  </si>
  <si>
    <t>Colonial Beach</t>
  </si>
  <si>
    <t>KJ Institute of Cosmetology &amp; Barbershop Professionals LLC</t>
  </si>
  <si>
    <t>Tacoma</t>
  </si>
  <si>
    <t>Tabakera LLC</t>
  </si>
  <si>
    <t>Garfield</t>
  </si>
  <si>
    <t>BUSYBEE 5 POINT LLC</t>
  </si>
  <si>
    <t>Roanoke Rapids</t>
  </si>
  <si>
    <t>JOZIAH HOTEL LLC</t>
  </si>
  <si>
    <t>Cincinnati</t>
  </si>
  <si>
    <t>Bill's Distributing, Inc.</t>
  </si>
  <si>
    <t>Anchorage</t>
  </si>
  <si>
    <t>CMJ Technologies, Inc.</t>
  </si>
  <si>
    <t>Los Angeles Aka Sun Valley</t>
  </si>
  <si>
    <t>SOUTH STATE LLC</t>
  </si>
  <si>
    <t>Tiffin</t>
  </si>
  <si>
    <t>FXD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</si>
</sst>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"/>
    <numFmt numFmtId="167" formatCode="######0"/>
    <numFmt numFmtId="168" formatCode="0.000%"/>
    <numFmt numFmtId="169" formatCode="_(* #,##0.0_);_(* \(#,##0.0\);_(* &quot;-&quot;??_);_(@_)"/>
    <numFmt numFmtId="170" formatCode="0.0%"/>
    <numFmt numFmtId="171" formatCode="###0.000"/>
    <numFmt numFmtId="172" formatCode="m/yy"/>
    <numFmt numFmtId="173" formatCode="0.0000"/>
    <numFmt numFmtId="174" formatCode="0.00\x"/>
    <numFmt numFmtId="175" formatCode="000000000000000000000000000000000000000000000"/>
    <numFmt numFmtId="176" formatCode="0.000\x"/>
    <numFmt numFmtId="177" formatCode="00000"/>
    <numFmt numFmtId="178" formatCode="0.000000000000000"/>
    <numFmt numFmtId="179" formatCode="0.00000%"/>
    <numFmt numFmtId="180" formatCode="###0.0000"/>
    <numFmt numFmtId="181" formatCode="###,###,##0.00;\(###,###,##0.00\)"/>
    <numFmt numFmtId="182" formatCode="###,###,##0;\(###,###,##0\)"/>
    <numFmt numFmtId="183" formatCode="######0.0"/>
    <numFmt numFmtId="184" formatCode="0.00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rial "/>
    </font>
    <font>
      <b/>
      <sz val="8"/>
      <name val="Arial"/>
      <family val="2"/>
    </font>
    <font>
      <sz val="8"/>
      <color theme="1"/>
      <name val="Arial "/>
    </font>
    <font>
      <b/>
      <sz val="8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FF0000"/>
      <name val="Arial "/>
    </font>
    <font>
      <sz val="10"/>
      <name val="Calibri"/>
      <family val="2"/>
      <scheme val="minor"/>
    </font>
    <font>
      <b/>
      <sz val="9"/>
      <color rgb="FF0000FF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wrapText="1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1" fillId="0" borderId="0"/>
    <xf numFmtId="0" fontId="7" fillId="0" borderId="0">
      <alignment vertical="top"/>
    </xf>
    <xf numFmtId="0" fontId="7" fillId="0" borderId="0">
      <alignment vertical="top"/>
    </xf>
    <xf numFmtId="0" fontId="20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40">
    <xf numFmtId="0" fontId="0" fillId="0" borderId="0" xfId="0"/>
    <xf numFmtId="14" fontId="3" fillId="0" borderId="1" xfId="0" applyNumberFormat="1" applyFont="1" applyBorder="1"/>
    <xf numFmtId="0" fontId="3" fillId="0" borderId="0" xfId="0" applyFont="1"/>
    <xf numFmtId="14" fontId="3" fillId="0" borderId="0" xfId="0" applyNumberFormat="1" applyFont="1"/>
    <xf numFmtId="164" fontId="3" fillId="0" borderId="0" xfId="1" applyNumberFormat="1" applyFont="1" applyFill="1"/>
    <xf numFmtId="0" fontId="4" fillId="0" borderId="0" xfId="0" applyFont="1"/>
    <xf numFmtId="14" fontId="3" fillId="0" borderId="0" xfId="1" applyNumberFormat="1" applyFont="1" applyFill="1"/>
    <xf numFmtId="0" fontId="4" fillId="0" borderId="0" xfId="0" applyFont="1" applyAlignment="1">
      <alignment horizontal="center"/>
    </xf>
    <xf numFmtId="4" fontId="3" fillId="0" borderId="0" xfId="0" applyNumberFormat="1" applyFont="1"/>
    <xf numFmtId="0" fontId="3" fillId="0" borderId="0" xfId="0" applyFont="1" applyAlignment="1">
      <alignment horizontal="center"/>
    </xf>
    <xf numFmtId="10" fontId="3" fillId="0" borderId="0" xfId="0" applyNumberFormat="1" applyFont="1"/>
    <xf numFmtId="10" fontId="4" fillId="0" borderId="0" xfId="2" applyNumberFormat="1" applyFont="1" applyFill="1"/>
    <xf numFmtId="3" fontId="3" fillId="0" borderId="0" xfId="0" applyNumberFormat="1" applyFont="1"/>
    <xf numFmtId="14" fontId="5" fillId="0" borderId="1" xfId="0" applyNumberFormat="1" applyFont="1" applyBorder="1"/>
    <xf numFmtId="164" fontId="3" fillId="0" borderId="0" xfId="1" applyNumberFormat="1" applyFont="1"/>
    <xf numFmtId="0" fontId="4" fillId="0" borderId="2" xfId="0" applyFont="1" applyBorder="1"/>
    <xf numFmtId="0" fontId="4" fillId="0" borderId="3" xfId="0" applyFont="1" applyBorder="1"/>
    <xf numFmtId="10" fontId="4" fillId="0" borderId="3" xfId="2" applyNumberFormat="1" applyFont="1" applyBorder="1"/>
    <xf numFmtId="10" fontId="4" fillId="0" borderId="3" xfId="0" applyNumberFormat="1" applyFont="1" applyBorder="1" applyAlignment="1">
      <alignment horizontal="center"/>
    </xf>
    <xf numFmtId="165" fontId="4" fillId="0" borderId="3" xfId="2" applyNumberFormat="1" applyFont="1" applyBorder="1" applyAlignment="1">
      <alignment horizontal="center"/>
    </xf>
    <xf numFmtId="3" fontId="4" fillId="0" borderId="3" xfId="0" applyNumberFormat="1" applyFont="1" applyBorder="1"/>
    <xf numFmtId="1" fontId="4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164" fontId="3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/>
    </xf>
    <xf numFmtId="0" fontId="3" fillId="0" borderId="1" xfId="0" applyFont="1" applyBorder="1"/>
    <xf numFmtId="0" fontId="8" fillId="0" borderId="0" xfId="0" applyFont="1"/>
    <xf numFmtId="3" fontId="8" fillId="0" borderId="0" xfId="0" applyNumberFormat="1" applyFont="1"/>
    <xf numFmtId="0" fontId="8" fillId="0" borderId="0" xfId="0" applyFont="1" applyAlignment="1">
      <alignment horizontal="center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 wrapText="1"/>
    </xf>
    <xf numFmtId="3" fontId="8" fillId="0" borderId="0" xfId="1" applyNumberFormat="1" applyFont="1" applyAlignment="1">
      <alignment horizontal="center"/>
    </xf>
    <xf numFmtId="170" fontId="8" fillId="0" borderId="0" xfId="2" applyNumberFormat="1" applyFont="1" applyAlignment="1">
      <alignment horizontal="center"/>
    </xf>
    <xf numFmtId="0" fontId="9" fillId="0" borderId="7" xfId="0" applyFont="1" applyBorder="1" applyAlignment="1">
      <alignment horizontal="center"/>
    </xf>
    <xf numFmtId="3" fontId="9" fillId="0" borderId="7" xfId="0" applyNumberFormat="1" applyFont="1" applyBorder="1" applyAlignment="1">
      <alignment horizontal="center"/>
    </xf>
    <xf numFmtId="170" fontId="9" fillId="0" borderId="7" xfId="2" applyNumberFormat="1" applyFont="1" applyBorder="1" applyAlignment="1">
      <alignment horizontal="center"/>
    </xf>
    <xf numFmtId="170" fontId="8" fillId="0" borderId="0" xfId="0" applyNumberFormat="1" applyFont="1" applyAlignment="1">
      <alignment horizontal="center"/>
    </xf>
    <xf numFmtId="170" fontId="9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0" fontId="0" fillId="0" borderId="0" xfId="0" applyNumberFormat="1"/>
    <xf numFmtId="3" fontId="8" fillId="0" borderId="0" xfId="0" applyNumberFormat="1" applyFont="1" applyAlignment="1">
      <alignment horizontal="center"/>
    </xf>
    <xf numFmtId="10" fontId="8" fillId="0" borderId="0" xfId="0" quotePrefix="1" applyNumberFormat="1" applyFont="1" applyAlignment="1">
      <alignment horizontal="center"/>
    </xf>
    <xf numFmtId="9" fontId="8" fillId="0" borderId="0" xfId="2" applyFont="1"/>
    <xf numFmtId="164" fontId="8" fillId="0" borderId="0" xfId="1" applyNumberFormat="1" applyFont="1"/>
    <xf numFmtId="0" fontId="0" fillId="0" borderId="0" xfId="0" applyAlignment="1">
      <alignment horizontal="left"/>
    </xf>
    <xf numFmtId="164" fontId="0" fillId="0" borderId="0" xfId="1" applyNumberFormat="1" applyFont="1"/>
    <xf numFmtId="3" fontId="8" fillId="0" borderId="6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49" fontId="9" fillId="0" borderId="7" xfId="0" applyNumberFormat="1" applyFont="1" applyBorder="1" applyAlignment="1">
      <alignment horizontal="center"/>
    </xf>
    <xf numFmtId="9" fontId="9" fillId="0" borderId="7" xfId="2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10" fontId="8" fillId="0" borderId="0" xfId="2" applyNumberFormat="1" applyFont="1"/>
    <xf numFmtId="0" fontId="8" fillId="0" borderId="6" xfId="0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 wrapText="1"/>
    </xf>
    <xf numFmtId="0" fontId="10" fillId="0" borderId="0" xfId="0" applyFont="1"/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3" fontId="13" fillId="4" borderId="3" xfId="0" applyNumberFormat="1" applyFont="1" applyFill="1" applyBorder="1" applyAlignment="1">
      <alignment horizontal="center" vertical="center"/>
    </xf>
    <xf numFmtId="9" fontId="13" fillId="4" borderId="3" xfId="0" applyNumberFormat="1" applyFont="1" applyFill="1" applyBorder="1" applyAlignment="1">
      <alignment horizontal="center" vertical="center"/>
    </xf>
    <xf numFmtId="166" fontId="10" fillId="0" borderId="16" xfId="0" applyNumberFormat="1" applyFont="1" applyBorder="1" applyAlignment="1">
      <alignment vertical="center"/>
    </xf>
    <xf numFmtId="0" fontId="17" fillId="6" borderId="16" xfId="0" applyFont="1" applyFill="1" applyBorder="1" applyAlignment="1">
      <alignment horizontal="center" vertical="top" wrapText="1"/>
    </xf>
    <xf numFmtId="175" fontId="17" fillId="6" borderId="16" xfId="0" applyNumberFormat="1" applyFont="1" applyFill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175" fontId="17" fillId="0" borderId="6" xfId="0" applyNumberFormat="1" applyFont="1" applyBorder="1" applyAlignment="1">
      <alignment horizontal="center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/>
    <xf numFmtId="0" fontId="19" fillId="0" borderId="16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7" fillId="0" borderId="16" xfId="3" applyBorder="1" applyAlignment="1">
      <alignment horizontal="left" vertical="top" wrapText="1"/>
    </xf>
    <xf numFmtId="0" fontId="7" fillId="0" borderId="16" xfId="4" applyBorder="1" applyAlignment="1">
      <alignment horizontal="left" vertical="top" wrapText="1"/>
    </xf>
    <xf numFmtId="0" fontId="7" fillId="0" borderId="16" xfId="5" applyBorder="1" applyAlignment="1">
      <alignment horizontal="left" vertical="top" wrapText="1"/>
    </xf>
    <xf numFmtId="0" fontId="7" fillId="0" borderId="16" xfId="6" applyBorder="1" applyAlignment="1">
      <alignment horizontal="left" vertical="top" wrapText="1"/>
    </xf>
    <xf numFmtId="0" fontId="7" fillId="0" borderId="16" xfId="7" applyBorder="1" applyAlignment="1">
      <alignment horizontal="left" vertical="top" wrapText="1"/>
    </xf>
    <xf numFmtId="0" fontId="7" fillId="0" borderId="16" xfId="8" applyBorder="1" applyAlignment="1">
      <alignment horizontal="left" vertical="top" wrapText="1"/>
    </xf>
    <xf numFmtId="0" fontId="7" fillId="0" borderId="16" xfId="9" applyBorder="1" applyAlignment="1">
      <alignment horizontal="left" vertical="top" wrapText="1"/>
    </xf>
    <xf numFmtId="0" fontId="7" fillId="0" borderId="16" xfId="10" applyBorder="1" applyAlignment="1">
      <alignment horizontal="left" vertical="top" wrapText="1"/>
    </xf>
    <xf numFmtId="0" fontId="7" fillId="0" borderId="16" xfId="11" applyBorder="1" applyAlignment="1">
      <alignment horizontal="left" vertical="top" wrapText="1"/>
    </xf>
    <xf numFmtId="0" fontId="7" fillId="0" borderId="16" xfId="12" applyBorder="1" applyAlignment="1">
      <alignment horizontal="left" vertical="top" wrapText="1"/>
    </xf>
    <xf numFmtId="0" fontId="7" fillId="0" borderId="16" xfId="13" applyBorder="1" applyAlignment="1">
      <alignment horizontal="left" vertical="top" wrapText="1"/>
    </xf>
    <xf numFmtId="0" fontId="7" fillId="0" borderId="16" xfId="14" applyBorder="1" applyAlignment="1">
      <alignment horizontal="left" vertical="top" wrapText="1"/>
    </xf>
    <xf numFmtId="0" fontId="7" fillId="0" borderId="16" xfId="15" applyBorder="1" applyAlignment="1">
      <alignment horizontal="left" vertical="top" wrapText="1"/>
    </xf>
    <xf numFmtId="0" fontId="7" fillId="0" borderId="16" xfId="16" applyBorder="1" applyAlignment="1">
      <alignment horizontal="left" vertical="top" wrapText="1"/>
    </xf>
    <xf numFmtId="0" fontId="7" fillId="0" borderId="16" xfId="17" applyBorder="1" applyAlignment="1">
      <alignment horizontal="left" vertical="top" wrapText="1"/>
    </xf>
    <xf numFmtId="0" fontId="7" fillId="0" borderId="16" xfId="18" applyBorder="1" applyAlignment="1">
      <alignment horizontal="left" vertical="top" wrapText="1"/>
    </xf>
    <xf numFmtId="0" fontId="7" fillId="0" borderId="16" xfId="19" applyBorder="1" applyAlignment="1">
      <alignment horizontal="left" vertical="top" wrapText="1"/>
    </xf>
    <xf numFmtId="0" fontId="7" fillId="0" borderId="16" xfId="20" applyBorder="1" applyAlignment="1">
      <alignment horizontal="left" vertical="top" wrapText="1"/>
    </xf>
    <xf numFmtId="0" fontId="7" fillId="0" borderId="16" xfId="21" applyBorder="1" applyAlignment="1">
      <alignment horizontal="left" vertical="top" wrapText="1"/>
    </xf>
    <xf numFmtId="0" fontId="7" fillId="0" borderId="16" xfId="22" applyBorder="1" applyAlignment="1">
      <alignment horizontal="left" vertical="top" wrapText="1"/>
    </xf>
    <xf numFmtId="0" fontId="7" fillId="0" borderId="16" xfId="23" applyBorder="1" applyAlignment="1">
      <alignment horizontal="left" vertical="top" wrapText="1"/>
    </xf>
    <xf numFmtId="0" fontId="7" fillId="0" borderId="16" xfId="24" applyBorder="1" applyAlignment="1">
      <alignment horizontal="left" vertical="top" wrapText="1"/>
    </xf>
    <xf numFmtId="0" fontId="7" fillId="0" borderId="16" xfId="25" applyBorder="1" applyAlignment="1">
      <alignment horizontal="left" vertical="top" wrapText="1"/>
    </xf>
    <xf numFmtId="0" fontId="7" fillId="0" borderId="16" xfId="26" applyBorder="1" applyAlignment="1">
      <alignment horizontal="left" vertical="top" wrapText="1"/>
    </xf>
    <xf numFmtId="0" fontId="7" fillId="0" borderId="16" xfId="27" applyBorder="1" applyAlignment="1">
      <alignment horizontal="left" vertical="top" wrapText="1"/>
    </xf>
    <xf numFmtId="0" fontId="7" fillId="0" borderId="16" xfId="28" applyBorder="1" applyAlignment="1">
      <alignment horizontal="left" vertical="top" wrapText="1"/>
    </xf>
    <xf numFmtId="0" fontId="7" fillId="0" borderId="16" xfId="29" applyBorder="1" applyAlignment="1">
      <alignment horizontal="left" vertical="top" wrapText="1"/>
    </xf>
    <xf numFmtId="0" fontId="7" fillId="0" borderId="16" xfId="30" applyBorder="1" applyAlignment="1">
      <alignment horizontal="left" vertical="top" wrapText="1"/>
    </xf>
    <xf numFmtId="0" fontId="7" fillId="0" borderId="16" xfId="31" applyBorder="1" applyAlignment="1">
      <alignment horizontal="left" vertical="top" wrapText="1"/>
    </xf>
    <xf numFmtId="0" fontId="7" fillId="0" borderId="16" xfId="32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6" xfId="33" applyBorder="1" applyAlignment="1">
      <alignment horizontal="left" vertical="top" wrapText="1"/>
    </xf>
    <xf numFmtId="0" fontId="7" fillId="0" borderId="16" xfId="34" applyBorder="1" applyAlignment="1">
      <alignment horizontal="left" vertical="top" wrapText="1"/>
    </xf>
    <xf numFmtId="0" fontId="7" fillId="0" borderId="16" xfId="35" applyFont="1" applyBorder="1" applyAlignment="1">
      <alignment horizontal="left" vertical="top" wrapText="1"/>
    </xf>
    <xf numFmtId="0" fontId="7" fillId="0" borderId="16" xfId="36" applyBorder="1" applyAlignment="1">
      <alignment horizontal="left" vertical="top" wrapText="1"/>
    </xf>
    <xf numFmtId="0" fontId="7" fillId="0" borderId="16" xfId="37" applyBorder="1" applyAlignment="1">
      <alignment horizontal="left" vertical="top" wrapText="1"/>
    </xf>
    <xf numFmtId="0" fontId="7" fillId="0" borderId="16" xfId="38" applyFont="1" applyBorder="1" applyAlignment="1">
      <alignment horizontal="left" vertical="top" wrapText="1"/>
    </xf>
    <xf numFmtId="0" fontId="7" fillId="0" borderId="16" xfId="39" applyFont="1" applyBorder="1" applyAlignment="1">
      <alignment horizontal="left" vertical="top" wrapText="1"/>
    </xf>
    <xf numFmtId="0" fontId="7" fillId="0" borderId="16" xfId="40" applyBorder="1" applyAlignment="1">
      <alignment horizontal="left" vertical="top" wrapText="1"/>
    </xf>
    <xf numFmtId="0" fontId="7" fillId="0" borderId="16" xfId="41" applyBorder="1" applyAlignment="1">
      <alignment horizontal="left" vertical="top" wrapText="1"/>
    </xf>
    <xf numFmtId="0" fontId="7" fillId="0" borderId="16" xfId="42" applyBorder="1" applyAlignment="1">
      <alignment horizontal="left" vertical="top" wrapText="1"/>
    </xf>
    <xf numFmtId="0" fontId="7" fillId="0" borderId="16" xfId="43" applyBorder="1" applyAlignment="1">
      <alignment horizontal="left" vertical="top" wrapText="1"/>
    </xf>
    <xf numFmtId="0" fontId="7" fillId="0" borderId="16" xfId="44" applyBorder="1" applyAlignment="1">
      <alignment horizontal="left" vertical="top" wrapText="1"/>
    </xf>
    <xf numFmtId="0" fontId="7" fillId="0" borderId="16" xfId="45" applyBorder="1" applyAlignment="1">
      <alignment horizontal="left" vertical="top" wrapText="1"/>
    </xf>
    <xf numFmtId="0" fontId="7" fillId="0" borderId="16" xfId="46" applyBorder="1" applyAlignment="1">
      <alignment horizontal="left" vertical="top" wrapText="1"/>
    </xf>
    <xf numFmtId="0" fontId="7" fillId="0" borderId="16" xfId="47" applyBorder="1" applyAlignment="1">
      <alignment horizontal="left" vertical="top" wrapText="1"/>
    </xf>
    <xf numFmtId="0" fontId="7" fillId="0" borderId="16" xfId="48" applyBorder="1" applyAlignment="1">
      <alignment horizontal="left" vertical="top" wrapText="1"/>
    </xf>
    <xf numFmtId="0" fontId="7" fillId="0" borderId="16" xfId="49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7" fillId="0" borderId="16" xfId="50" applyBorder="1" applyAlignment="1">
      <alignment horizontal="left" vertical="top" wrapText="1"/>
    </xf>
    <xf numFmtId="10" fontId="21" fillId="0" borderId="0" xfId="2" applyNumberFormat="1" applyFont="1" applyAlignment="1">
      <alignment horizontal="center"/>
    </xf>
    <xf numFmtId="0" fontId="0" fillId="0" borderId="0" xfId="0" pivotButton="1"/>
    <xf numFmtId="0" fontId="3" fillId="0" borderId="0" xfId="0" pivotButton="1" applyFont="1" applyAlignment="1">
      <alignment horizontal="center"/>
    </xf>
    <xf numFmtId="0" fontId="3" fillId="7" borderId="0" xfId="0" applyFont="1" applyFill="1"/>
    <xf numFmtId="10" fontId="10" fillId="0" borderId="0" xfId="0" applyNumberFormat="1" applyFont="1" applyAlignment="1">
      <alignment horizontal="center" vertical="center"/>
    </xf>
    <xf numFmtId="10" fontId="10" fillId="0" borderId="9" xfId="0" applyNumberFormat="1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10" fontId="12" fillId="0" borderId="9" xfId="0" applyNumberFormat="1" applyFont="1" applyBorder="1" applyAlignment="1">
      <alignment horizontal="center" vertical="center"/>
    </xf>
    <xf numFmtId="16" fontId="12" fillId="0" borderId="11" xfId="0" quotePrefix="1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2" fillId="0" borderId="0" xfId="0" applyFont="1"/>
    <xf numFmtId="164" fontId="22" fillId="7" borderId="0" xfId="1" applyNumberFormat="1" applyFont="1" applyFill="1"/>
    <xf numFmtId="0" fontId="22" fillId="0" borderId="0" xfId="0" applyFont="1" applyAlignment="1">
      <alignment vertical="center"/>
    </xf>
    <xf numFmtId="43" fontId="3" fillId="0" borderId="0" xfId="1" applyFont="1" applyFill="1"/>
    <xf numFmtId="0" fontId="12" fillId="0" borderId="11" xfId="0" quotePrefix="1" applyFont="1" applyBorder="1" applyAlignment="1">
      <alignment horizontal="center" vertical="center"/>
    </xf>
    <xf numFmtId="176" fontId="13" fillId="5" borderId="15" xfId="0" applyNumberFormat="1" applyFont="1" applyFill="1" applyBorder="1" applyAlignment="1">
      <alignment horizontal="center" vertical="center"/>
    </xf>
    <xf numFmtId="43" fontId="10" fillId="0" borderId="18" xfId="0" applyNumberFormat="1" applyFont="1" applyBorder="1" applyAlignment="1">
      <alignment horizontal="center" vertical="center"/>
    </xf>
    <xf numFmtId="164" fontId="10" fillId="0" borderId="18" xfId="1" applyNumberFormat="1" applyFont="1" applyBorder="1" applyAlignment="1">
      <alignment vertical="center"/>
    </xf>
    <xf numFmtId="43" fontId="10" fillId="0" borderId="19" xfId="1" applyFont="1" applyBorder="1" applyAlignment="1">
      <alignment vertical="center"/>
    </xf>
    <xf numFmtId="164" fontId="22" fillId="0" borderId="0" xfId="1" applyNumberFormat="1" applyFont="1" applyFill="1"/>
    <xf numFmtId="43" fontId="22" fillId="0" borderId="0" xfId="0" applyNumberFormat="1" applyFont="1"/>
    <xf numFmtId="164" fontId="22" fillId="0" borderId="0" xfId="0" applyNumberFormat="1" applyFont="1"/>
    <xf numFmtId="165" fontId="14" fillId="4" borderId="3" xfId="0" applyNumberFormat="1" applyFont="1" applyFill="1" applyBorder="1" applyAlignment="1">
      <alignment horizontal="center" vertical="center"/>
    </xf>
    <xf numFmtId="164" fontId="10" fillId="0" borderId="19" xfId="1" applyNumberFormat="1" applyFont="1" applyBorder="1" applyAlignment="1">
      <alignment vertical="center"/>
    </xf>
    <xf numFmtId="0" fontId="2" fillId="0" borderId="0" xfId="0" applyFont="1"/>
    <xf numFmtId="166" fontId="0" fillId="0" borderId="0" xfId="0" applyNumberFormat="1"/>
    <xf numFmtId="14" fontId="5" fillId="0" borderId="0" xfId="0" applyNumberFormat="1" applyFont="1"/>
    <xf numFmtId="0" fontId="2" fillId="2" borderId="5" xfId="0" applyFont="1" applyFill="1" applyBorder="1" applyAlignment="1">
      <alignment wrapText="1"/>
    </xf>
    <xf numFmtId="0" fontId="3" fillId="3" borderId="0" xfId="0" applyFont="1" applyFill="1"/>
    <xf numFmtId="0" fontId="4" fillId="3" borderId="5" xfId="0" applyFont="1" applyFill="1" applyBorder="1" applyAlignment="1">
      <alignment horizontal="right"/>
    </xf>
    <xf numFmtId="14" fontId="4" fillId="0" borderId="3" xfId="0" applyNumberFormat="1" applyFont="1" applyBorder="1"/>
    <xf numFmtId="166" fontId="3" fillId="0" borderId="0" xfId="0" applyNumberFormat="1" applyFont="1"/>
    <xf numFmtId="164" fontId="22" fillId="3" borderId="20" xfId="0" applyNumberFormat="1" applyFont="1" applyFill="1" applyBorder="1"/>
    <xf numFmtId="10" fontId="3" fillId="0" borderId="0" xfId="2" applyNumberFormat="1" applyFont="1" applyFill="1" applyAlignment="1">
      <alignment horizontal="center"/>
    </xf>
    <xf numFmtId="0" fontId="23" fillId="4" borderId="16" xfId="0" applyFont="1" applyFill="1" applyBorder="1" applyAlignment="1">
      <alignment horizontal="center" vertical="center"/>
    </xf>
    <xf numFmtId="0" fontId="24" fillId="0" borderId="0" xfId="0" applyFont="1"/>
    <xf numFmtId="0" fontId="24" fillId="0" borderId="14" xfId="0" applyFont="1" applyBorder="1" applyAlignment="1">
      <alignment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12" xfId="0" applyFont="1" applyBorder="1" applyAlignment="1">
      <alignment horizontal="center"/>
    </xf>
    <xf numFmtId="9" fontId="15" fillId="0" borderId="0" xfId="0" applyNumberFormat="1" applyFont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9" fontId="15" fillId="0" borderId="6" xfId="0" applyNumberFormat="1" applyFont="1" applyBorder="1" applyAlignment="1">
      <alignment horizontal="center"/>
    </xf>
    <xf numFmtId="0" fontId="26" fillId="7" borderId="14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/>
    </xf>
    <xf numFmtId="3" fontId="24" fillId="7" borderId="3" xfId="0" applyNumberFormat="1" applyFont="1" applyFill="1" applyBorder="1" applyAlignment="1">
      <alignment horizontal="center"/>
    </xf>
    <xf numFmtId="9" fontId="24" fillId="7" borderId="3" xfId="0" applyNumberFormat="1" applyFont="1" applyFill="1" applyBorder="1" applyAlignment="1">
      <alignment horizontal="center"/>
    </xf>
    <xf numFmtId="0" fontId="24" fillId="7" borderId="15" xfId="0" applyFont="1" applyFill="1" applyBorder="1" applyAlignment="1">
      <alignment horizontal="center"/>
    </xf>
    <xf numFmtId="0" fontId="27" fillId="4" borderId="6" xfId="0" applyFont="1" applyFill="1" applyBorder="1" applyAlignment="1">
      <alignment horizontal="center" vertical="center" wrapText="1"/>
    </xf>
    <xf numFmtId="3" fontId="27" fillId="4" borderId="6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3" fontId="28" fillId="0" borderId="0" xfId="1" applyNumberFormat="1" applyFont="1" applyAlignment="1">
      <alignment horizontal="center"/>
    </xf>
    <xf numFmtId="170" fontId="28" fillId="0" borderId="0" xfId="2" applyNumberFormat="1" applyFont="1" applyAlignment="1">
      <alignment horizontal="center"/>
    </xf>
    <xf numFmtId="170" fontId="28" fillId="0" borderId="0" xfId="2" applyNumberFormat="1" applyFont="1" applyFill="1" applyAlignment="1">
      <alignment horizontal="center"/>
    </xf>
    <xf numFmtId="170" fontId="28" fillId="7" borderId="0" xfId="2" applyNumberFormat="1" applyFont="1" applyFill="1" applyAlignment="1">
      <alignment horizontal="center"/>
    </xf>
    <xf numFmtId="0" fontId="27" fillId="0" borderId="7" xfId="0" applyFont="1" applyBorder="1" applyAlignment="1">
      <alignment horizontal="center"/>
    </xf>
    <xf numFmtId="3" fontId="27" fillId="0" borderId="7" xfId="0" applyNumberFormat="1" applyFont="1" applyBorder="1" applyAlignment="1">
      <alignment horizontal="center"/>
    </xf>
    <xf numFmtId="170" fontId="27" fillId="0" borderId="7" xfId="2" applyNumberFormat="1" applyFont="1" applyBorder="1" applyAlignment="1">
      <alignment horizontal="center"/>
    </xf>
    <xf numFmtId="0" fontId="28" fillId="0" borderId="0" xfId="0" applyFont="1"/>
    <xf numFmtId="170" fontId="29" fillId="0" borderId="0" xfId="0" applyNumberFormat="1" applyFont="1"/>
    <xf numFmtId="0" fontId="3" fillId="8" borderId="0" xfId="0" applyFont="1" applyFill="1"/>
    <xf numFmtId="14" fontId="3" fillId="8" borderId="0" xfId="1" applyNumberFormat="1" applyFont="1" applyFill="1"/>
    <xf numFmtId="10" fontId="4" fillId="8" borderId="0" xfId="2" applyNumberFormat="1" applyFont="1" applyFill="1"/>
    <xf numFmtId="164" fontId="3" fillId="8" borderId="0" xfId="1" applyNumberFormat="1" applyFont="1" applyFill="1"/>
    <xf numFmtId="3" fontId="4" fillId="8" borderId="3" xfId="0" applyNumberFormat="1" applyFont="1" applyFill="1" applyBorder="1"/>
    <xf numFmtId="3" fontId="30" fillId="0" borderId="0" xfId="0" applyNumberFormat="1" applyFont="1"/>
    <xf numFmtId="10" fontId="3" fillId="3" borderId="0" xfId="0" applyNumberFormat="1" applyFont="1" applyFill="1"/>
    <xf numFmtId="0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3" fontId="6" fillId="3" borderId="0" xfId="0" applyNumberFormat="1" applyFont="1" applyFill="1" applyAlignment="1">
      <alignment horizontal="center"/>
    </xf>
    <xf numFmtId="43" fontId="6" fillId="8" borderId="0" xfId="0" applyNumberFormat="1" applyFont="1" applyFill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4" fontId="0" fillId="0" borderId="0" xfId="0" applyNumberFormat="1"/>
    <xf numFmtId="10" fontId="22" fillId="0" borderId="0" xfId="2" applyNumberFormat="1" applyFont="1"/>
    <xf numFmtId="10" fontId="3" fillId="0" borderId="0" xfId="2" applyNumberFormat="1" applyFont="1" applyAlignment="1">
      <alignment horizontal="center"/>
    </xf>
    <xf numFmtId="0" fontId="0" fillId="0" borderId="0" xfId="1" applyNumberFormat="1" applyFont="1" applyAlignment="1">
      <alignment horizontal="left"/>
    </xf>
    <xf numFmtId="3" fontId="10" fillId="0" borderId="0" xfId="0" applyNumberFormat="1" applyFont="1" applyAlignment="1">
      <alignment horizontal="center" vertical="center"/>
    </xf>
    <xf numFmtId="166" fontId="10" fillId="0" borderId="12" xfId="0" applyNumberFormat="1" applyFont="1" applyBorder="1" applyAlignment="1">
      <alignment vertical="center"/>
    </xf>
    <xf numFmtId="170" fontId="31" fillId="0" borderId="0" xfId="0" applyNumberFormat="1" applyFont="1" applyAlignment="1">
      <alignment horizontal="center"/>
    </xf>
    <xf numFmtId="43" fontId="2" fillId="0" borderId="0" xfId="1" applyFont="1"/>
    <xf numFmtId="0" fontId="0" fillId="0" borderId="0" xfId="1" applyNumberFormat="1" applyFont="1" applyFill="1" applyAlignment="1">
      <alignment horizontal="center"/>
    </xf>
    <xf numFmtId="177" fontId="0" fillId="0" borderId="0" xfId="1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  <xf numFmtId="168" fontId="3" fillId="0" borderId="0" xfId="2" applyNumberFormat="1" applyFont="1" applyAlignment="1">
      <alignment horizontal="center"/>
    </xf>
    <xf numFmtId="168" fontId="0" fillId="0" borderId="0" xfId="2" applyNumberFormat="1" applyFont="1" applyFill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10" fillId="0" borderId="18" xfId="0" applyNumberFormat="1" applyFont="1" applyBorder="1" applyAlignment="1">
      <alignment horizontal="right" vertical="center"/>
    </xf>
    <xf numFmtId="178" fontId="22" fillId="0" borderId="0" xfId="0" applyNumberFormat="1" applyFont="1"/>
    <xf numFmtId="174" fontId="32" fillId="0" borderId="12" xfId="0" applyNumberFormat="1" applyFont="1" applyBorder="1" applyAlignment="1">
      <alignment horizontal="center" vertical="center"/>
    </xf>
    <xf numFmtId="0" fontId="0" fillId="0" borderId="0" xfId="1" applyNumberFormat="1" applyFont="1" applyFill="1" applyAlignment="1">
      <alignment horizontal="left"/>
    </xf>
    <xf numFmtId="179" fontId="0" fillId="0" borderId="0" xfId="2" applyNumberFormat="1" applyFont="1"/>
    <xf numFmtId="179" fontId="0" fillId="0" borderId="0" xfId="0" applyNumberFormat="1"/>
    <xf numFmtId="164" fontId="22" fillId="0" borderId="0" xfId="1" applyNumberFormat="1" applyFont="1"/>
    <xf numFmtId="166" fontId="4" fillId="3" borderId="3" xfId="0" applyNumberFormat="1" applyFont="1" applyFill="1" applyBorder="1" applyAlignment="1">
      <alignment horizontal="center"/>
    </xf>
    <xf numFmtId="168" fontId="3" fillId="0" borderId="0" xfId="2" applyNumberFormat="1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14" fontId="4" fillId="0" borderId="0" xfId="0" applyNumberFormat="1" applyFont="1"/>
    <xf numFmtId="10" fontId="25" fillId="0" borderId="0" xfId="0" applyNumberFormat="1" applyFont="1" applyAlignment="1">
      <alignment horizontal="center"/>
    </xf>
    <xf numFmtId="9" fontId="2" fillId="0" borderId="0" xfId="0" applyNumberFormat="1" applyFont="1"/>
    <xf numFmtId="10" fontId="15" fillId="0" borderId="0" xfId="0" applyNumberFormat="1" applyFont="1" applyAlignment="1">
      <alignment horizontal="center"/>
    </xf>
    <xf numFmtId="10" fontId="24" fillId="0" borderId="0" xfId="0" applyNumberFormat="1" applyFont="1"/>
    <xf numFmtId="0" fontId="22" fillId="0" borderId="0" xfId="0" applyFont="1" applyAlignment="1">
      <alignment horizontal="center"/>
    </xf>
    <xf numFmtId="43" fontId="0" fillId="0" borderId="0" xfId="1" applyFont="1"/>
    <xf numFmtId="14" fontId="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43" fontId="0" fillId="0" borderId="0" xfId="0" applyNumberFormat="1"/>
    <xf numFmtId="43" fontId="6" fillId="0" borderId="0" xfId="0" applyNumberFormat="1" applyFont="1"/>
    <xf numFmtId="43" fontId="0" fillId="0" borderId="0" xfId="1" applyFont="1" applyFill="1"/>
    <xf numFmtId="43" fontId="3" fillId="0" borderId="0" xfId="1" applyFont="1"/>
    <xf numFmtId="1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4" fontId="0" fillId="0" borderId="0" xfId="0" applyNumberFormat="1"/>
    <xf numFmtId="14" fontId="6" fillId="3" borderId="0" xfId="0" applyNumberFormat="1" applyFont="1" applyFill="1" applyAlignment="1">
      <alignment horizontal="center"/>
    </xf>
    <xf numFmtId="10" fontId="6" fillId="0" borderId="0" xfId="2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1" applyNumberFormat="1" applyFont="1" applyFill="1" applyAlignment="1">
      <alignment horizontal="center" vertical="top"/>
    </xf>
    <xf numFmtId="165" fontId="3" fillId="0" borderId="0" xfId="0" applyNumberFormat="1" applyFont="1" applyAlignment="1">
      <alignment horizontal="center"/>
    </xf>
    <xf numFmtId="165" fontId="0" fillId="0" borderId="0" xfId="2" applyNumberFormat="1" applyFont="1" applyFill="1" applyAlignment="1">
      <alignment horizontal="center"/>
    </xf>
    <xf numFmtId="39" fontId="3" fillId="0" borderId="0" xfId="0" applyNumberFormat="1" applyFont="1"/>
    <xf numFmtId="0" fontId="0" fillId="0" borderId="0" xfId="1" applyNumberFormat="1" applyFont="1" applyFill="1" applyAlignment="1"/>
    <xf numFmtId="0" fontId="3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14" fontId="3" fillId="0" borderId="0" xfId="0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3" fillId="0" borderId="0" xfId="1" applyFont="1" applyAlignment="1"/>
    <xf numFmtId="43" fontId="0" fillId="0" borderId="0" xfId="1" applyFont="1" applyAlignment="1"/>
    <xf numFmtId="3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39" fontId="0" fillId="0" borderId="0" xfId="1" applyNumberFormat="1" applyFont="1" applyAlignment="1">
      <alignment horizontal="center"/>
    </xf>
    <xf numFmtId="39" fontId="3" fillId="0" borderId="0" xfId="0" applyNumberFormat="1" applyFont="1" applyAlignment="1">
      <alignment horizontal="right"/>
    </xf>
    <xf numFmtId="0" fontId="0" fillId="0" borderId="0" xfId="1" applyNumberFormat="1" applyFont="1" applyAlignme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4" fontId="4" fillId="3" borderId="0" xfId="0" applyNumberFormat="1" applyFont="1" applyFill="1"/>
    <xf numFmtId="167" fontId="3" fillId="0" borderId="0" xfId="0" applyNumberFormat="1" applyFont="1" applyAlignment="1">
      <alignment horizontal="left"/>
    </xf>
    <xf numFmtId="167" fontId="0" fillId="0" borderId="0" xfId="1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3" fillId="0" borderId="0" xfId="0" applyNumberFormat="1" applyFont="1"/>
    <xf numFmtId="43" fontId="3" fillId="0" borderId="0" xfId="0" applyNumberFormat="1" applyFont="1"/>
    <xf numFmtId="43" fontId="3" fillId="0" borderId="0" xfId="0" applyNumberFormat="1" applyFont="1" applyAlignment="1">
      <alignment horizontal="center"/>
    </xf>
    <xf numFmtId="180" fontId="33" fillId="0" borderId="0" xfId="0" applyNumberFormat="1" applyFont="1"/>
    <xf numFmtId="0" fontId="33" fillId="0" borderId="0" xfId="0" applyFont="1" applyAlignment="1">
      <alignment horizontal="center"/>
    </xf>
    <xf numFmtId="167" fontId="33" fillId="0" borderId="0" xfId="0" applyNumberFormat="1" applyFont="1"/>
    <xf numFmtId="181" fontId="33" fillId="0" borderId="0" xfId="0" applyNumberFormat="1" applyFont="1"/>
    <xf numFmtId="171" fontId="33" fillId="0" borderId="0" xfId="0" applyNumberFormat="1" applyFont="1"/>
    <xf numFmtId="14" fontId="33" fillId="0" borderId="0" xfId="0" applyNumberFormat="1" applyFont="1"/>
    <xf numFmtId="172" fontId="33" fillId="0" borderId="0" xfId="0" applyNumberFormat="1" applyFont="1"/>
    <xf numFmtId="1" fontId="33" fillId="0" borderId="0" xfId="0" applyNumberFormat="1" applyFont="1" applyAlignment="1">
      <alignment horizontal="center"/>
    </xf>
    <xf numFmtId="0" fontId="34" fillId="9" borderId="21" xfId="0" applyFont="1" applyFill="1" applyBorder="1" applyAlignment="1">
      <alignment horizontal="center"/>
    </xf>
    <xf numFmtId="182" fontId="33" fillId="0" borderId="0" xfId="0" applyNumberFormat="1" applyFont="1"/>
    <xf numFmtId="0" fontId="0" fillId="7" borderId="0" xfId="0" applyFill="1"/>
    <xf numFmtId="164" fontId="0" fillId="7" borderId="0" xfId="1" applyNumberFormat="1" applyFont="1" applyFill="1"/>
    <xf numFmtId="171" fontId="0" fillId="7" borderId="0" xfId="1" applyNumberFormat="1" applyFont="1" applyFill="1" applyAlignment="1">
      <alignment horizontal="center"/>
    </xf>
    <xf numFmtId="172" fontId="33" fillId="7" borderId="0" xfId="0" applyNumberFormat="1" applyFont="1" applyFill="1"/>
    <xf numFmtId="183" fontId="33" fillId="7" borderId="0" xfId="0" applyNumberFormat="1" applyFont="1" applyFill="1"/>
    <xf numFmtId="14" fontId="33" fillId="7" borderId="0" xfId="0" applyNumberFormat="1" applyFont="1" applyFill="1"/>
    <xf numFmtId="184" fontId="0" fillId="7" borderId="0" xfId="0" applyNumberFormat="1" applyFill="1" applyAlignment="1">
      <alignment horizontal="center"/>
    </xf>
    <xf numFmtId="14" fontId="34" fillId="9" borderId="21" xfId="0" applyNumberFormat="1" applyFont="1" applyFill="1" applyBorder="1" applyAlignment="1">
      <alignment horizontal="center"/>
    </xf>
    <xf numFmtId="0" fontId="34" fillId="10" borderId="0" xfId="0" applyFont="1" applyFill="1" applyAlignment="1">
      <alignment horizontal="center"/>
    </xf>
    <xf numFmtId="0" fontId="34" fillId="11" borderId="0" xfId="0" quotePrefix="1" applyFont="1" applyFill="1" applyAlignment="1">
      <alignment horizontal="center"/>
    </xf>
    <xf numFmtId="0" fontId="34" fillId="7" borderId="0" xfId="0" quotePrefix="1" applyFont="1" applyFill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quotePrefix="1" applyFont="1" applyAlignment="1">
      <alignment horizontal="center"/>
    </xf>
    <xf numFmtId="43" fontId="33" fillId="0" borderId="0" xfId="1" applyFont="1" applyAlignment="1">
      <alignment horizontal="center"/>
    </xf>
    <xf numFmtId="184" fontId="33" fillId="0" borderId="0" xfId="0" applyNumberFormat="1" applyFont="1" applyAlignment="1">
      <alignment horizontal="center"/>
    </xf>
    <xf numFmtId="168" fontId="33" fillId="0" borderId="0" xfId="2" applyNumberFormat="1" applyFont="1" applyAlignment="1">
      <alignment horizontal="center"/>
    </xf>
    <xf numFmtId="14" fontId="33" fillId="0" borderId="0" xfId="0" applyNumberFormat="1" applyFont="1" applyAlignment="1">
      <alignment horizontal="center"/>
    </xf>
    <xf numFmtId="172" fontId="33" fillId="0" borderId="0" xfId="0" applyNumberFormat="1" applyFont="1" applyAlignment="1">
      <alignment horizontal="center"/>
    </xf>
    <xf numFmtId="9" fontId="33" fillId="0" borderId="0" xfId="2" applyFont="1" applyAlignment="1">
      <alignment horizontal="center"/>
    </xf>
    <xf numFmtId="0" fontId="33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11" borderId="0" xfId="0" applyNumberFormat="1" applyFill="1" applyAlignment="1">
      <alignment horizontal="center"/>
    </xf>
    <xf numFmtId="164" fontId="33" fillId="0" borderId="0" xfId="1" applyNumberFormat="1" applyFont="1" applyFill="1" applyBorder="1"/>
    <xf numFmtId="164" fontId="33" fillId="0" borderId="0" xfId="1" applyNumberFormat="1" applyFont="1" applyFill="1"/>
    <xf numFmtId="176" fontId="32" fillId="3" borderId="12" xfId="0" applyNumberFormat="1" applyFont="1" applyFill="1" applyBorder="1" applyAlignment="1">
      <alignment horizontal="center" vertical="center"/>
    </xf>
    <xf numFmtId="176" fontId="32" fillId="0" borderId="12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6" fillId="6" borderId="16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7" fillId="6" borderId="16" xfId="0" applyFont="1" applyFill="1" applyBorder="1" applyAlignment="1">
      <alignment vertical="top" wrapText="1"/>
    </xf>
    <xf numFmtId="0" fontId="0" fillId="6" borderId="16" xfId="0" applyFill="1" applyBorder="1" applyAlignment="1">
      <alignment vertical="top" wrapText="1"/>
    </xf>
  </cellXfs>
  <cellStyles count="51">
    <cellStyle name="Comma" xfId="1" builtinId="3"/>
    <cellStyle name="Normal" xfId="0" builtinId="0"/>
    <cellStyle name="Normal 10 10 10" xfId="11" xr:uid="{7273F6DB-E595-4315-9417-29848539D76D}"/>
    <cellStyle name="Normal 11" xfId="12" xr:uid="{DF6327F0-DD19-4D6B-99BB-CFFEEBAF650A}"/>
    <cellStyle name="Normal 12" xfId="13" xr:uid="{21B2A7C1-766A-4C77-939C-FC293628588C}"/>
    <cellStyle name="Normal 13" xfId="14" xr:uid="{801C49F0-4A8A-4F9B-8E72-C56FD09AF3CF}"/>
    <cellStyle name="Normal 16" xfId="15" xr:uid="{8D79D806-FDB7-4CCF-B887-D98E139ABCBB}"/>
    <cellStyle name="Normal 17" xfId="16" xr:uid="{FB6BC2B6-07D3-4F1F-81C9-A8EF034DD573}"/>
    <cellStyle name="Normal 2 10 10" xfId="3" xr:uid="{DEFA4EF1-B73D-4967-90F0-9B1A255F9133}"/>
    <cellStyle name="Normal 20" xfId="17" xr:uid="{53BD16A9-E7F1-4BE8-B755-69DC5CC7D51B}"/>
    <cellStyle name="Normal 21" xfId="18" xr:uid="{A0CC8A71-0365-456F-A0B2-D758C2E9723B}"/>
    <cellStyle name="Normal 22" xfId="19" xr:uid="{71424F27-B0BD-4B91-8C2C-73432A8B20E4}"/>
    <cellStyle name="Normal 23" xfId="20" xr:uid="{B5776811-1B71-4742-BF84-BBCD77E4ACE5}"/>
    <cellStyle name="Normal 24" xfId="21" xr:uid="{89B2D4D4-66A4-4D83-9E92-398F879CFA9A}"/>
    <cellStyle name="Normal 25" xfId="22" xr:uid="{E237B6D7-F670-4AC3-AC57-E45C0AD2B64A}"/>
    <cellStyle name="Normal 26" xfId="23" xr:uid="{8D319BCD-716E-43A7-8AD3-4C0872A6643D}"/>
    <cellStyle name="Normal 28" xfId="24" xr:uid="{A7C51B59-AD62-4B30-9D9B-642B983D0469}"/>
    <cellStyle name="Normal 29" xfId="25" xr:uid="{D8B02924-4507-4C1B-9560-8D1327731EC1}"/>
    <cellStyle name="Normal 3 2 2" xfId="4" xr:uid="{18C67B34-4C1F-4A4A-9D95-BCED20BF0AFD}"/>
    <cellStyle name="Normal 30" xfId="26" xr:uid="{9CB6ADF1-8226-429A-AACA-DAF99048AF88}"/>
    <cellStyle name="Normal 32" xfId="27" xr:uid="{ACB7E6F5-F05A-4920-836E-C89F95A5A268}"/>
    <cellStyle name="Normal 33" xfId="28" xr:uid="{0C2B4C6A-B02F-4104-A170-7145013EDC05}"/>
    <cellStyle name="Normal 34" xfId="29" xr:uid="{BDAB6CE2-FA4F-4CAF-9DA3-D199B550D84A}"/>
    <cellStyle name="Normal 35" xfId="30" xr:uid="{EBCFAFB3-A2C2-4E07-8800-FB0395AEB0A2}"/>
    <cellStyle name="Normal 36" xfId="31" xr:uid="{AB2EAB26-6727-4C8F-86B0-2CC51A5F261C}"/>
    <cellStyle name="Normal 38" xfId="32" xr:uid="{7DB3929D-01A9-492A-AD0B-66C9BD6BA96A}"/>
    <cellStyle name="Normal 39" xfId="34" xr:uid="{92BAA01F-E032-4412-9F15-721715913094}"/>
    <cellStyle name="Normal 4" xfId="5" xr:uid="{34E12805-2F1D-416E-8A15-DEB8794A5995}"/>
    <cellStyle name="Normal 40" xfId="35" xr:uid="{C236A569-1B06-4018-8569-FEA28E7A1C87}"/>
    <cellStyle name="Normal 41" xfId="36" xr:uid="{3E22E266-6D1A-41CD-87A7-5DA824C83906}"/>
    <cellStyle name="Normal 42" xfId="37" xr:uid="{B9FAD140-1C01-47D1-8F87-B408DDCFA7B9}"/>
    <cellStyle name="Normal 43" xfId="39" xr:uid="{47DAFAFF-ADCB-44DD-A1FB-2BE1059C6BEC}"/>
    <cellStyle name="Normal 44" xfId="38" xr:uid="{14492727-31AF-42DE-8583-BE7D6C0CE0DE}"/>
    <cellStyle name="Normal 47" xfId="40" xr:uid="{4AEE5A8E-3421-4B4B-A4D5-8EC103E0AE6E}"/>
    <cellStyle name="Normal 48" xfId="41" xr:uid="{DC4D4628-1760-4072-9EE4-6F39DEBAE8C2}"/>
    <cellStyle name="Normal 49" xfId="42" xr:uid="{3BD8AF9B-BEEF-43CC-BC9E-6E1B2A5C5FEF}"/>
    <cellStyle name="Normal 5 2 2" xfId="6" xr:uid="{B660947E-238D-4B2D-BBD5-B09A424DF9B8}"/>
    <cellStyle name="Normal 50" xfId="43" xr:uid="{DC1A9FFD-13D1-4FCB-A6B7-02BA8EFD7B7C}"/>
    <cellStyle name="Normal 51" xfId="44" xr:uid="{97279ABB-B8F9-4C28-A736-DBCDF42399A1}"/>
    <cellStyle name="Normal 52" xfId="45" xr:uid="{8CAE187E-5BCE-415C-9290-8E5170F722C2}"/>
    <cellStyle name="Normal 55" xfId="49" xr:uid="{58B3405E-6951-445C-9160-21C8ABF2F538}"/>
    <cellStyle name="Normal 56" xfId="50" xr:uid="{C7BDA40B-734B-4847-AE37-A29D54E38600}"/>
    <cellStyle name="Normal 57" xfId="33" xr:uid="{FED3B312-4255-416E-95EB-E811AC9DF762}"/>
    <cellStyle name="Normal 6" xfId="7" xr:uid="{7A5EB9BF-DDD7-418D-9A87-22186E808877}"/>
    <cellStyle name="Normal 62" xfId="47" xr:uid="{9C1BC34B-ECC3-4AC5-88B2-F1CEF04F899A}"/>
    <cellStyle name="Normal 65" xfId="46" xr:uid="{CC6D2AFB-0D51-4BDE-9526-E3116A7C1EFB}"/>
    <cellStyle name="Normal 66" xfId="48" xr:uid="{554D39E9-1C41-4138-A823-0612832864C3}"/>
    <cellStyle name="Normal 7" xfId="8" xr:uid="{F00BEACF-BB8B-4D34-89F4-68973F1F3AEC}"/>
    <cellStyle name="Normal 8" xfId="9" xr:uid="{A961E9C9-CB95-4B2E-A181-024195A82FCB}"/>
    <cellStyle name="Normal 9" xfId="10" xr:uid="{35C8A871-9D0E-45EB-BF3B-CAD52261EE40}"/>
    <cellStyle name="Percent" xfId="2" builtinId="5"/>
  </cellStyles>
  <dxfs count="2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0" formatCode="0.0%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%20Repo-Financing/Deals/Headlands%20RPL%202017-1/Tape/Old/Strats/Headlands%202017-1%20Strats_07.11.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/AppData/Local/Microsoft/Windows/INetCache/Content.Outlook/1JMCA1F5/REVL%202021-1%20Model%202.24.2021_Additional%20Collateral_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1-REVL%20SECURITIES\TRANSACTIONS\REVL%202021-2\4%20Buckets%20Strat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Summary Statistics"/>
      <sheetName val="Stra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laimer"/>
      <sheetName val="CF"/>
      <sheetName val="Vector"/>
      <sheetName val="Strip Package"/>
      <sheetName val="Term Strats Comparison"/>
      <sheetName val="Side by Side Comparison "/>
      <sheetName val="Strats"/>
      <sheetName val="A schedule"/>
      <sheetName val="NAICS"/>
      <sheetName val="Sheet1"/>
    </sheetNames>
    <sheetDataSet>
      <sheetData sheetId="0"/>
      <sheetData sheetId="1"/>
      <sheetData sheetId="2"/>
      <sheetData sheetId="3">
        <row r="1">
          <cell r="C1">
            <v>944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an Tape"/>
      <sheetName val="Strats"/>
      <sheetName val="NAICS_"/>
      <sheetName val="NAICS"/>
      <sheetName val="Sheet1"/>
    </sheetNames>
    <sheetDataSet>
      <sheetData sheetId="0">
        <row r="7">
          <cell r="G7" t="str">
            <v>Q</v>
          </cell>
        </row>
      </sheetData>
      <sheetData sheetId="1">
        <row r="18">
          <cell r="B18" t="str">
            <v>30/360</v>
          </cell>
        </row>
        <row r="19">
          <cell r="B19" t="str">
            <v>ACT/365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VE/AppData/Local/Microsoft/Windows/INetCache/Content.Outlook/RC2BBV4T/REVL%202021-2%20Model%206.16.2021_Final_Pricing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VE/AppData/Local/Microsoft/Windows/INetCache/Content.Outlook/RC2BBV4T/REVL%202021-2%20Model%206.16.2021_Final_Pricing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gkys " refreshedDate="44238.453895254628" createdVersion="6" refreshedVersion="6" minRefreshableVersion="3" recordCount="989" xr:uid="{3C218F17-BCEF-4B4E-BB17-408BF1D5CB37}">
  <cacheSource type="worksheet">
    <worksheetSource ref="B4:AB948" sheet="Strip Package" r:id="rId2"/>
  </cacheSource>
  <cacheFields count="26">
    <cacheField name="Trans" numFmtId="167">
      <sharedItems containsString="0" containsBlank="1" containsNumber="1" minValue="302068.11" maxValue="313009.11"/>
    </cacheField>
    <cacheField name="GP#" numFmtId="0">
      <sharedItems containsSemiMixedTypes="0" containsString="0" containsNumber="1" containsInteger="1" minValue="1000257004" maxValue="9976817407"/>
    </cacheField>
    <cacheField name="StrStat" numFmtId="0">
      <sharedItems containsBlank="1"/>
    </cacheField>
    <cacheField name="InvStat" numFmtId="0">
      <sharedItems containsBlank="1"/>
    </cacheField>
    <cacheField name="PkgID" numFmtId="167">
      <sharedItems containsString="0" containsBlank="1" containsNumber="1" containsInteger="1" minValue="400" maxValue="402"/>
    </cacheField>
    <cacheField name="GtdBal" numFmtId="39">
      <sharedItems containsSemiMixedTypes="0" containsString="0" containsNumber="1" minValue="25349.14" maxValue="3750000" count="970">
        <n v="2666579.38"/>
        <n v="724078.12"/>
        <n v="1853339.01"/>
        <n v="369795.79"/>
        <n v="1010965.36"/>
        <n v="436727.54"/>
        <n v="246099.78"/>
        <n v="923684.48"/>
        <n v="3330338.2"/>
        <n v="726138.21"/>
        <n v="749164.5"/>
        <n v="958843.86"/>
        <n v="930480.07"/>
        <n v="624780.97"/>
        <n v="2153785.5699999998"/>
        <n v="734819.88"/>
        <n v="2751060.3"/>
        <n v="309330.03999999998"/>
        <n v="872668.49"/>
        <n v="1035380.74"/>
        <n v="333717.09999999998"/>
        <n v="908478.78"/>
        <n v="324110.81"/>
        <n v="2289281.8199999998"/>
        <n v="2141171.1"/>
        <n v="198764.88"/>
        <n v="574267.73"/>
        <n v="2498258.87"/>
        <n v="462952.7"/>
        <n v="540000"/>
        <n v="915081.16"/>
        <n v="1700695.64"/>
        <n v="1790062.66"/>
        <n v="3418180.1"/>
        <n v="3558732.13"/>
        <n v="962471.27"/>
        <n v="285483.75"/>
        <n v="434047.07"/>
        <n v="2976488.81"/>
        <n v="1013442.3"/>
        <n v="1276430.42"/>
        <n v="2169868.61"/>
        <n v="3112500"/>
        <n v="3322934.73"/>
        <n v="435999.18"/>
        <n v="824288.48"/>
        <n v="138074.13"/>
        <n v="323745.36"/>
        <n v="689099.94"/>
        <n v="365536.12"/>
        <n v="307109.11"/>
        <n v="764024.33"/>
        <n v="391956.7"/>
        <n v="783181.96"/>
        <n v="143751.84"/>
        <n v="1842034.6"/>
        <n v="1003289.14"/>
        <n v="597579.27"/>
        <n v="3401604.27"/>
        <n v="774929.98"/>
        <n v="559460.88"/>
        <n v="287123.19"/>
        <n v="153017.06"/>
        <n v="786778.04"/>
        <n v="1238165.8"/>
        <n v="144739.01999999999"/>
        <n v="3288119.17"/>
        <n v="535640.16"/>
        <n v="670436.99"/>
        <n v="2058138.99"/>
        <n v="2383791.12"/>
        <n v="2596942.34"/>
        <n v="493065.59"/>
        <n v="536993.73"/>
        <n v="188076.04"/>
        <n v="1796668.5"/>
        <n v="762398.22"/>
        <n v="56980.12"/>
        <n v="266965.45"/>
        <n v="122231.26"/>
        <n v="1724674.27"/>
        <n v="2796249.26"/>
        <n v="2224225.63"/>
        <n v="1545392.4"/>
        <n v="184374.73"/>
        <n v="618566.47"/>
        <n v="738668.72"/>
        <n v="2241543.5099999998"/>
        <n v="1256675.6399999999"/>
        <n v="2094438.41"/>
        <n v="977105.43"/>
        <n v="25816.12"/>
        <n v="257985.92000000001"/>
        <n v="355140.2"/>
        <n v="203058.79"/>
        <n v="1226450.69"/>
        <n v="668103.15"/>
        <n v="950453.22"/>
        <n v="972432.47"/>
        <n v="1292787.3999999999"/>
        <n v="639864.85"/>
        <n v="273659.88"/>
        <n v="1758178.74"/>
        <n v="145393.06"/>
        <n v="1080235.8"/>
        <n v="934715.33"/>
        <n v="977411.62"/>
        <n v="950714.55"/>
        <n v="602531.14"/>
        <n v="2448933.41"/>
        <n v="463539.23"/>
        <n v="3673145.43"/>
        <n v="1474596.9"/>
        <n v="358991.09"/>
        <n v="1159310.42"/>
        <n v="401233.04"/>
        <n v="2745852.92"/>
        <n v="3247782.97"/>
        <n v="1509960.97"/>
        <n v="820098.03"/>
        <n v="2050360.98"/>
        <n v="851085.67"/>
        <n v="1334911.68"/>
        <n v="3254036.56"/>
        <n v="618541.31000000006"/>
        <n v="1490662.32"/>
        <n v="3699316.58"/>
        <n v="346876.71"/>
        <n v="129556.53"/>
        <n v="624391.62"/>
        <n v="473011.66"/>
        <n v="979323.61"/>
        <n v="184667.15"/>
        <n v="181761.17"/>
        <n v="172116.99"/>
        <n v="1025410.28"/>
        <n v="1457915.85"/>
        <n v="1347317.51"/>
        <n v="983448.31"/>
        <n v="1974277.51"/>
        <n v="244424.75"/>
        <n v="1257364.8899999999"/>
        <n v="1592147.4"/>
        <n v="35409.360000000001"/>
        <n v="162383.87"/>
        <n v="1343229.8"/>
        <n v="1462773.11"/>
        <n v="205191.54"/>
        <n v="3682628.07"/>
        <n v="3600390.82"/>
        <n v="234715.17"/>
        <n v="114532.03"/>
        <n v="514949.25"/>
        <n v="777080.51"/>
        <n v="1635813.32"/>
        <n v="282390.36"/>
        <n v="2183186.4300000002"/>
        <n v="510449.53"/>
        <n v="1076304.1499999999"/>
        <n v="135659.39000000001"/>
        <n v="2191935.73"/>
        <n v="125371.13"/>
        <n v="756456.73"/>
        <n v="1741707.76"/>
        <n v="345017.1"/>
        <n v="147634.04"/>
        <n v="184497.46"/>
        <n v="885507.12"/>
        <n v="568563.04"/>
        <n v="1674541.59"/>
        <n v="370588.06"/>
        <n v="115267.16"/>
        <n v="384298.8"/>
        <n v="387928.99"/>
        <n v="3694899.1"/>
        <n v="1174886.98"/>
        <n v="679189.61"/>
        <n v="1303392.08"/>
        <n v="331378.28000000003"/>
        <n v="380273.91"/>
        <n v="1051591.56"/>
        <n v="1142240.3"/>
        <n v="295566.34999999998"/>
        <n v="127091.64"/>
        <n v="58277.93"/>
        <n v="3020841.71"/>
        <n v="2270770.7999999998"/>
        <n v="1265817.0900000001"/>
        <n v="336986.87"/>
        <n v="1004068.76"/>
        <n v="564678.72"/>
        <n v="265399.56"/>
        <n v="2013318.22"/>
        <n v="2698221.78"/>
        <n v="2818252.22"/>
        <n v="184369.57"/>
        <n v="252571.09"/>
        <n v="735333.39"/>
        <n v="3167232.05"/>
        <n v="2414643.64"/>
        <n v="1433805.58"/>
        <n v="1470398.07"/>
        <n v="373286.38"/>
        <n v="210307.57"/>
        <n v="214527.45"/>
        <n v="1939253.64"/>
        <n v="347906.74"/>
        <n v="1045422.25"/>
        <n v="170076.2"/>
        <n v="211477.72"/>
        <n v="1995567.17"/>
        <n v="949622.9"/>
        <n v="2632280.4"/>
        <n v="162293.21"/>
        <n v="458654.8"/>
        <n v="1037963.98"/>
        <n v="444330.04"/>
        <n v="265393.19"/>
        <n v="2497838.44"/>
        <n v="845326.4"/>
        <n v="518590.52"/>
        <n v="579426.35"/>
        <n v="3519995.41"/>
        <n v="1964855.97"/>
        <n v="733145.56"/>
        <n v="278038.15999999997"/>
        <n v="2324884.89"/>
        <n v="547152.21"/>
        <n v="1877183.56"/>
        <n v="140700.04"/>
        <n v="468095.6"/>
        <n v="406660.15"/>
        <n v="63597.02"/>
        <n v="3671351.52"/>
        <n v="3671351.51"/>
        <n v="1568572.39"/>
        <n v="701630.36"/>
        <n v="357704.37"/>
        <n v="882195.55"/>
        <n v="2346534.39"/>
        <n v="93416"/>
        <n v="201621.2"/>
        <n v="2653732.81"/>
        <n v="757822.6"/>
        <n v="364696.63"/>
        <n v="521301.47"/>
        <n v="543215.4"/>
        <n v="2529150.0699999998"/>
        <n v="2613323.0099999998"/>
        <n v="247349.78"/>
        <n v="2669963.77"/>
        <n v="551537.51"/>
        <n v="180602.75"/>
        <n v="2351001.58"/>
        <n v="604260.68999999994"/>
        <n v="1605864.32"/>
        <n v="1724577.08"/>
        <n v="866968.18"/>
        <n v="491052.62"/>
        <n v="2744322.88"/>
        <n v="2433873.62"/>
        <n v="557184.34"/>
        <n v="625885.24"/>
        <n v="198970.37"/>
        <n v="1718274.86"/>
        <n v="3717343.82"/>
        <n v="2132599.83"/>
        <n v="306829.02"/>
        <n v="346235.6"/>
        <n v="2206995.2799999998"/>
        <n v="163179"/>
        <n v="546193.04"/>
        <n v="126687.8"/>
        <n v="515892.14"/>
        <n v="546472.64"/>
        <n v="1718250"/>
        <n v="570496.56000000006"/>
        <n v="783034.48"/>
        <n v="456248.09"/>
        <n v="502970.95"/>
        <n v="85629.36"/>
        <n v="1753636.47"/>
        <n v="63759.42"/>
        <n v="1234287.43"/>
        <n v="304338.71000000002"/>
        <n v="1564110.35"/>
        <n v="147885.04999999999"/>
        <n v="1065941.02"/>
        <n v="556952.28"/>
        <n v="2426409.0699999998"/>
        <n v="2318312.7200000002"/>
        <n v="664295.47"/>
        <n v="3683808.94"/>
        <n v="3029192.66"/>
        <n v="584234.28"/>
        <n v="1846409.38"/>
        <n v="489183.11"/>
        <n v="2149849.2400000002"/>
        <n v="233238.78"/>
        <n v="186266.29"/>
        <n v="1779463.19"/>
        <n v="144310.68"/>
        <n v="853583.28"/>
        <n v="675607.86"/>
        <n v="1818288.51"/>
        <n v="181103.72"/>
        <n v="3680406.2"/>
        <n v="468458.65"/>
        <n v="2911726.89"/>
        <n v="517324.47"/>
        <n v="3277057.16"/>
        <n v="1477540.39"/>
        <n v="728545.95"/>
        <n v="3246831.42"/>
        <n v="231905.68"/>
        <n v="1054423.3700000001"/>
        <n v="330804.3"/>
        <n v="703040.23"/>
        <n v="2620444.08"/>
        <n v="1955651.98"/>
        <n v="240259.13"/>
        <n v="2528120.0099999998"/>
        <n v="2950011.13"/>
        <n v="3584275.16"/>
        <n v="1343553.09"/>
        <n v="205836.72"/>
        <n v="1129559.04"/>
        <n v="176261.18"/>
        <n v="3696929.73"/>
        <n v="1667682.23"/>
        <n v="457386.16"/>
        <n v="95125.98"/>
        <n v="273009.89"/>
        <n v="314741.45"/>
        <n v="813138.36"/>
        <n v="661192.05000000005"/>
        <n v="1788557.85"/>
        <n v="250719.19"/>
        <n v="354905.14"/>
        <n v="389139.87"/>
        <n v="232702.91"/>
        <n v="1306133.05"/>
        <n v="126756.56"/>
        <n v="1924936.5"/>
        <n v="3035415.69"/>
        <n v="3327429.85"/>
        <n v="2901092.62"/>
        <n v="1367949.84"/>
        <n v="1295219.58"/>
        <n v="144060.35999999999"/>
        <n v="282940"/>
        <n v="250373.82"/>
        <n v="556516.80000000005"/>
        <n v="327809.45"/>
        <n v="1765037.19"/>
        <n v="51173.93"/>
        <n v="1061175.3"/>
        <n v="1362570.84"/>
        <n v="401270.22"/>
        <n v="32157.02"/>
        <n v="322231.43"/>
        <n v="494023.78"/>
        <n v="274783.02"/>
        <n v="631794.31999999995"/>
        <n v="138418.34"/>
        <n v="344086.33"/>
        <n v="221806.23"/>
        <n v="1700488.74"/>
        <n v="570794.03"/>
        <n v="125548.28"/>
        <n v="333186.37"/>
        <n v="3325642.56"/>
        <n v="456100.76"/>
        <n v="2407561.39"/>
        <n v="2507243.65"/>
        <n v="344454.73"/>
        <n v="277249.45"/>
        <n v="1029467.55"/>
        <n v="256309.84"/>
        <n v="791175.01"/>
        <n v="460202.03"/>
        <n v="530370.31999999995"/>
        <n v="619952.52"/>
        <n v="214846.65"/>
        <n v="344920.41"/>
        <n v="332182.46999999997"/>
        <n v="187090.76"/>
        <n v="1224746.82"/>
        <n v="368446.83"/>
        <n v="331845.13"/>
        <n v="248463.92"/>
        <n v="490762.04"/>
        <n v="435603.84"/>
        <n v="667246.82999999996"/>
        <n v="513641.4"/>
        <n v="170253.65"/>
        <n v="3139907.94"/>
        <n v="1664161.21"/>
        <n v="2226140.27"/>
        <n v="3691735.82"/>
        <n v="188137.72"/>
        <n v="255299.07"/>
        <n v="122738.11"/>
        <n v="2513272.15"/>
        <n v="1700899.42"/>
        <n v="145233.76"/>
        <n v="118702.29"/>
        <n v="344236.68"/>
        <n v="281763.46000000002"/>
        <n v="679252.78"/>
        <n v="585154.56000000006"/>
        <n v="485087.25"/>
        <n v="751958.99"/>
        <n v="396858.39"/>
        <n v="579947.56000000006"/>
        <n v="2673238.38"/>
        <n v="337499.99"/>
        <n v="435767.23"/>
        <n v="87155.07"/>
        <n v="148218.1"/>
        <n v="3699252.7"/>
        <n v="307794.23"/>
        <n v="299678.67"/>
        <n v="297116.24"/>
        <n v="276104.07"/>
        <n v="2513759.7599999998"/>
        <n v="374698.21"/>
        <n v="535098.43999999994"/>
        <n v="1186866.17"/>
        <n v="708343.75"/>
        <n v="639750"/>
        <n v="1072500"/>
        <n v="1230907.3999999999"/>
        <n v="394920.25"/>
        <n v="1476159.4"/>
        <n v="732268.39"/>
        <n v="1012500"/>
        <n v="886543.56"/>
        <n v="958903.39"/>
        <n v="2522488.6"/>
        <n v="1087368.98"/>
        <n v="3661982.95"/>
        <n v="284304.52"/>
        <n v="946060.92"/>
        <n v="187872.22"/>
        <n v="257217.22"/>
        <n v="878893.02"/>
        <n v="573355.82999999996"/>
        <n v="418546.43"/>
        <n v="425020.71"/>
        <n v="231823.47"/>
        <n v="103600.53"/>
        <n v="2367742.7200000002"/>
        <n v="106725.34"/>
        <n v="1031514.8"/>
        <n v="2010600.21"/>
        <n v="347812.61"/>
        <n v="1255155.94"/>
        <n v="1280274.22"/>
        <n v="1350184.5"/>
        <n v="3314853.51"/>
        <n v="3690094.04"/>
        <n v="2997183.58"/>
        <n v="2998224.18"/>
        <n v="589190.98"/>
        <n v="2410773.6800000002"/>
        <n v="416507.11"/>
        <n v="692850.09"/>
        <n v="546954.43000000005"/>
        <n v="889386"/>
        <n v="2174690.4300000002"/>
        <n v="151475.43"/>
        <n v="1923832.69"/>
        <n v="660773.06999999995"/>
        <n v="3671900.85"/>
        <n v="176729.35"/>
        <n v="914874.94"/>
        <n v="3262815.27"/>
        <n v="1588309.42"/>
        <n v="245440.25"/>
        <n v="518393.61"/>
        <n v="444019.33"/>
        <n v="1366351.56"/>
        <n v="2331127.9900000002"/>
        <n v="2364898.46"/>
        <n v="215698.54"/>
        <n v="1144287.68"/>
        <n v="398673.13"/>
        <n v="1224049.98"/>
        <n v="607670.91"/>
        <n v="331269.33"/>
        <n v="1137973.43"/>
        <n v="352584.58"/>
        <n v="303844.12"/>
        <n v="553839.54"/>
        <n v="436637.91"/>
        <n v="1216289.57"/>
        <n v="520948.19"/>
        <n v="180275.35"/>
        <n v="964438.49"/>
        <n v="482922.27"/>
        <n v="2056508.61"/>
        <n v="413545.36"/>
        <n v="211572.63"/>
        <n v="1708837.66"/>
        <n v="476082.22"/>
        <n v="1370687.05"/>
        <n v="119175.07"/>
        <n v="224623.62"/>
        <n v="1114926.6499999999"/>
        <n v="2150281.7400000002"/>
        <n v="1569456.03"/>
        <n v="378066.99"/>
        <n v="412712.27"/>
        <n v="125329.16"/>
        <n v="440481"/>
        <n v="531819.81000000006"/>
        <n v="1875338.75"/>
        <n v="1767341.06"/>
        <n v="1364858.11"/>
        <n v="1815063.94"/>
        <n v="385959.1"/>
        <n v="622494.1"/>
        <n v="1467545.04"/>
        <n v="3636175.29"/>
        <n v="784310.89"/>
        <n v="280602.73"/>
        <n v="402441.31"/>
        <n v="129244.87"/>
        <n v="2587500"/>
        <n v="640692.93000000005"/>
        <n v="2025841.44"/>
        <n v="59946.879999999997"/>
        <n v="115289.38"/>
        <n v="2907850.21"/>
        <n v="36004.78"/>
        <n v="160899.17000000001"/>
        <n v="255864.05"/>
        <n v="66440.23"/>
        <n v="1560282.55"/>
        <n v="2893146.59"/>
        <n v="2859006.71"/>
        <n v="197474.82"/>
        <n v="145533.92000000001"/>
        <n v="784735.57"/>
        <n v="247449.33"/>
        <n v="1400231.01"/>
        <n v="2287158.81"/>
        <n v="1938563.88"/>
        <n v="380301.74"/>
        <n v="1441373.78"/>
        <n v="152034.25"/>
        <n v="117271.74"/>
        <n v="242433.33"/>
        <n v="374543.66"/>
        <n v="351099.12"/>
        <n v="183938.03"/>
        <n v="295633.59000000003"/>
        <n v="2489078.0499999998"/>
        <n v="203625.01"/>
        <n v="2917493.41"/>
        <n v="82397.679999999993"/>
        <n v="1001368.64"/>
        <n v="370807.91"/>
        <n v="3671362.5"/>
        <n v="3279017.15"/>
        <n v="1716232.78"/>
        <n v="2811592.12"/>
        <n v="379315.4"/>
        <n v="459896.05"/>
        <n v="3674282.9"/>
        <n v="1993637.91"/>
        <n v="1811148.93"/>
        <n v="1233803.8400000001"/>
        <n v="629922.81000000006"/>
        <n v="922729.73"/>
        <n v="2062663.92"/>
        <n v="440466.9"/>
        <n v="1152928.78"/>
        <n v="842145.47"/>
        <n v="677041.55"/>
        <n v="3091845.89"/>
        <n v="466029.96"/>
        <n v="204963.04"/>
        <n v="522779.21"/>
        <n v="690855.08"/>
        <n v="542113.03"/>
        <n v="3600000"/>
        <n v="1183577.0900000001"/>
        <n v="303227.78000000003"/>
        <n v="171035.34"/>
        <n v="1012265.61"/>
        <n v="804808.44"/>
        <n v="701250"/>
        <n v="2789824.81"/>
        <n v="2848178.67"/>
        <n v="504950.18"/>
        <n v="1199746.5600000001"/>
        <n v="318614.55"/>
        <n v="344745.55"/>
        <n v="585293.52"/>
        <n v="238767.06"/>
        <n v="841500"/>
        <n v="993750"/>
        <n v="2790723.11"/>
        <n v="183392.12"/>
        <n v="390260.17"/>
        <n v="732055.25"/>
        <n v="1403020.51"/>
        <n v="442317.06"/>
        <n v="238377.37"/>
        <n v="1512693.5"/>
        <n v="197587.52"/>
        <n v="2971261.31"/>
        <n v="2281194.46"/>
        <n v="928616.98"/>
        <n v="145490.49"/>
        <n v="1256678.54"/>
        <n v="491289.13"/>
        <n v="291181.15000000002"/>
        <n v="1002807.55"/>
        <n v="2919379.77"/>
        <n v="1092666.31"/>
        <n v="500400.95"/>
        <n v="120863.73"/>
        <n v="316545.34999999998"/>
        <n v="2985430.46"/>
        <n v="165348.42000000001"/>
        <n v="3656096.56"/>
        <n v="657414.22"/>
        <n v="446542.39"/>
        <n v="1381686.64"/>
        <n v="145482.07"/>
        <n v="253760.82"/>
        <n v="216276.89"/>
        <n v="178972.64"/>
        <n v="1822791.14"/>
        <n v="327709.7"/>
        <n v="358979.25"/>
        <n v="153009"/>
        <n v="374378.02"/>
        <n v="139348.99"/>
        <n v="2525908"/>
        <n v="494393.78"/>
        <n v="119158.56"/>
        <n v="315033.90000000002"/>
        <n v="824332.95"/>
        <n v="697803.98"/>
        <n v="2509428.7599999998"/>
        <n v="1920848.65"/>
        <n v="2929297.88"/>
        <n v="3599878.41"/>
        <n v="306384.39"/>
        <n v="127868.09"/>
        <n v="586688.09"/>
        <n v="160617.35999999999"/>
        <n v="1198015.3600000001"/>
        <n v="152684.35999999999"/>
        <n v="1083474.1000000001"/>
        <n v="2251650.13"/>
        <n v="172425.14"/>
        <n v="1293578.8799999999"/>
        <n v="350211.62"/>
        <n v="117679.85"/>
        <n v="253547.88"/>
        <n v="3673716.75"/>
        <n v="537827.13"/>
        <n v="862049.19"/>
        <n v="441545.28"/>
        <n v="2350862.9300000002"/>
        <n v="2174733.2799999998"/>
        <n v="2111157.5699999998"/>
        <n v="707338.7"/>
        <n v="3687730.23"/>
        <n v="1427529.43"/>
        <n v="3710950.73"/>
        <n v="866014.13"/>
        <n v="146375.35"/>
        <n v="2137160.06"/>
        <n v="2452438.6800000002"/>
        <n v="1940374.25"/>
        <n v="581130.05000000005"/>
        <n v="332675.74"/>
        <n v="742234.46"/>
        <n v="483906.46"/>
        <n v="2832394.15"/>
        <n v="706118.65"/>
        <n v="347996.44"/>
        <n v="1266413.1200000001"/>
        <n v="916166.99"/>
        <n v="1416519.71"/>
        <n v="1398037.62"/>
        <n v="950494.18"/>
        <n v="1999105.19"/>
        <n v="1186530.6000000001"/>
        <n v="2313076.27"/>
        <n v="115311.96"/>
        <n v="903227.47"/>
        <n v="259571.4"/>
        <n v="335864.99"/>
        <n v="1504402.66"/>
        <n v="123137.45"/>
        <n v="514374.48"/>
        <n v="292823.13"/>
        <n v="2278415.2400000002"/>
        <n v="291542.59999999998"/>
        <n v="2323584.88"/>
        <n v="3602427.57"/>
        <n v="2133586.33"/>
        <n v="3616248"/>
        <n v="224720.74"/>
        <n v="977994.79"/>
        <n v="1623338.13"/>
        <n v="119817"/>
        <n v="85386.71"/>
        <n v="317406.21000000002"/>
        <n v="356065.32"/>
        <n v="89941.72"/>
        <n v="488045.19"/>
        <n v="1264638.82"/>
        <n v="127500"/>
        <n v="121891.73"/>
        <n v="246646.25"/>
        <n v="304267.34999999998"/>
        <n v="1025247.8"/>
        <n v="254367.81"/>
        <n v="775903.38"/>
        <n v="310481.44"/>
        <n v="316418"/>
        <n v="363918.38"/>
        <n v="625054.27"/>
        <n v="353292.77"/>
        <n v="295112.07"/>
        <n v="226025.87"/>
        <n v="53254.79"/>
        <n v="352571.72"/>
        <n v="2008482.54"/>
        <n v="704687.36"/>
        <n v="351316.77"/>
        <n v="196164.42"/>
        <n v="708369.78"/>
        <n v="294957.53999999998"/>
        <n v="264258.11"/>
        <n v="174195.47"/>
        <n v="127615.56"/>
        <n v="81850.84"/>
        <n v="108550.59"/>
        <n v="124113.05"/>
        <n v="66025.600000000006"/>
        <n v="83753.48"/>
        <n v="178046.58"/>
        <n v="99730.02"/>
        <n v="65431.02"/>
        <n v="87388.479999999996"/>
        <n v="60178.92"/>
        <n v="100614.26"/>
        <n v="125893.77"/>
        <n v="175259.1"/>
        <n v="126644.18"/>
        <n v="127092.86"/>
        <n v="252875.48"/>
        <n v="671711.04"/>
        <n v="449587.48"/>
        <n v="778996.62"/>
        <n v="1498148.99"/>
        <n v="1643706.91"/>
        <n v="1601050.32"/>
        <n v="35858.74"/>
        <n v="2084579.72"/>
        <n v="764667.3"/>
        <n v="255439.61"/>
        <n v="166301.42000000001"/>
        <n v="239935.7"/>
        <n v="165522.59"/>
        <n v="1433971.02"/>
        <n v="508918.81"/>
        <n v="118846.35"/>
        <n v="2492309.9500000002"/>
        <n v="627299.07999999996"/>
        <n v="893120.25"/>
        <n v="386049.73"/>
        <n v="219965.73"/>
        <n v="213601.45"/>
        <n v="181162.86"/>
        <n v="610550.17000000004"/>
        <n v="572491.99"/>
        <n v="363108.38"/>
        <n v="3662479.77"/>
        <n v="934575.05"/>
        <n v="239676.79"/>
        <n v="435615.88"/>
        <n v="590478.92000000004"/>
        <n v="501589.1"/>
        <n v="658898.30000000005"/>
        <n v="887582.27"/>
        <n v="198902.81"/>
        <n v="2094000"/>
        <n v="1048605.31"/>
        <n v="2865739.93"/>
        <n v="914416.8"/>
        <n v="1874034.46"/>
        <n v="517500"/>
        <n v="1096586.1000000001"/>
        <n v="276714.26250000001"/>
        <n v="698400"/>
        <n v="481500"/>
        <n v="1326000"/>
        <n v="455775"/>
        <n v="218619.73"/>
        <n v="1145834.1499999999"/>
        <n v="257080.14"/>
        <n v="105000"/>
        <n v="354316.96"/>
        <n v="2213214.8174999999"/>
        <n v="273750"/>
        <n v="2013750"/>
        <n v="1350000"/>
        <n v="638250"/>
        <n v="272100"/>
        <n v="3002320.5"/>
        <n v="1894330.2975000001"/>
        <n v="1135425"/>
        <n v="786510"/>
        <n v="2816250"/>
        <n v="2250000"/>
        <n v="335325"/>
        <n v="3316241.13"/>
        <n v="919976.25"/>
        <n v="3315000"/>
        <n v="870000"/>
        <n v="1069500"/>
        <n v="1665000"/>
        <n v="3750000"/>
        <n v="2287500"/>
        <n v="440804.96"/>
        <n v="40950"/>
        <n v="806242.25"/>
        <n v="652500"/>
        <n v="332478.84999999998"/>
        <n v="1035000"/>
        <n v="277816.87"/>
        <n v="1847482.34"/>
        <n v="402918.78749999998"/>
        <n v="637500"/>
        <n v="1115625"/>
        <n v="885000"/>
        <n v="1043497.73"/>
        <n v="932394.98"/>
        <n v="181966.58"/>
        <n v="927816.42"/>
        <n v="394500"/>
        <n v="159375"/>
        <n v="1501200"/>
        <n v="365250"/>
        <n v="346875"/>
        <n v="218533.89"/>
        <n v="1117500"/>
        <n v="697256.35"/>
        <n v="722250"/>
        <n v="3166550.34"/>
        <n v="592500"/>
        <n v="1496479.23"/>
        <n v="731250"/>
        <n v="600642.37"/>
        <n v="640640.67000000004"/>
        <n v="123997.63"/>
        <n v="573039.39"/>
        <n v="253380.74"/>
        <n v="719934.8"/>
        <n v="1808180.8875"/>
        <n v="315000"/>
        <n v="1528653.4"/>
        <n v="282750"/>
        <n v="260883.83"/>
        <n v="262500"/>
        <n v="225000"/>
        <n v="187500"/>
        <n v="175000"/>
        <n v="386025"/>
        <n v="268350"/>
        <n v="391500"/>
        <n v="537502.16"/>
        <n v="1650000"/>
        <n v="1263750"/>
        <n v="223447.42"/>
        <n v="168150"/>
        <n v="229350"/>
        <n v="1177125"/>
        <n v="148244.82"/>
        <n v="61200"/>
        <n v="468045.77"/>
        <n v="1109635.29"/>
        <n v="1468927.78"/>
        <n v="371360.29"/>
        <n v="150000"/>
        <n v="675241.21"/>
        <n v="620200.81999999995"/>
        <n v="109132.59"/>
        <n v="84467.15"/>
        <n v="631500"/>
        <n v="240000"/>
        <n v="293250"/>
        <n v="598230"/>
        <n v="1595952.7"/>
        <n v="2625000"/>
        <n v="405000"/>
        <n v="112455"/>
        <n v="202500"/>
        <n v="2452650"/>
        <n v="423225"/>
        <n v="778725"/>
        <n v="122739.02250000001"/>
        <n v="582375"/>
        <n v="1688325"/>
        <n v="330025.07"/>
        <n v="925101.21"/>
        <n v="1142882.1599999999"/>
        <n v="824029.86"/>
        <n v="1074983.385"/>
        <n v="201805.77"/>
        <n v="472943.44"/>
        <n v="3285028.2075"/>
        <n v="101560.82"/>
        <n v="138585.51"/>
        <n v="577473.99"/>
        <n v="447843.11"/>
        <n v="426473.5"/>
        <n v="752250"/>
        <n v="81981.17"/>
        <n v="553055.14"/>
        <n v="396010.54"/>
        <n v="1070049.74"/>
        <n v="363052.19"/>
        <n v="120160.02"/>
        <n v="223656.59"/>
        <n v="123981.18"/>
        <n v="123525.17"/>
        <n v="65388.09"/>
        <n v="516262.69"/>
        <n v="115386.28"/>
        <n v="221741.07"/>
        <n v="246831.86"/>
        <n v="949075.69"/>
        <n v="325832.55"/>
        <n v="125696.09"/>
        <n v="375000"/>
        <n v="84645.85"/>
        <n v="593705.19999999995"/>
        <n v="373459.23"/>
        <n v="147000"/>
        <n v="392402.01"/>
        <n v="598797.48"/>
        <n v="249750"/>
        <n v="393100.76"/>
        <n v="46263.12"/>
        <n v="750000"/>
        <n v="468750"/>
        <n v="440212.64"/>
        <n v="521625"/>
        <n v="25349.14"/>
        <n v="131250"/>
        <n v="522748.63"/>
        <n v="57375"/>
        <n v="222375"/>
        <n v="222278.89"/>
        <n v="975000"/>
        <n v="237600"/>
        <n v="768000"/>
        <n v="679500"/>
        <n v="464550"/>
      </sharedItems>
      <fieldGroup base="5">
        <rangePr autoStart="0" autoEnd="0" startNum="500000" endNum="4000000" groupInterval="500000"/>
        <groupItems count="9">
          <s v="&lt;500000"/>
          <s v="500000-1000000"/>
          <s v="1000000-1500000"/>
          <s v="1500000-2000000"/>
          <s v="2000000-2500000"/>
          <s v="2500000-3000000"/>
          <s v="3000000-3500000"/>
          <s v="3500000-4000000"/>
          <s v="&gt;4000000"/>
        </groupItems>
      </fieldGroup>
    </cacheField>
    <cacheField name="Current Balance" numFmtId="39">
      <sharedItems containsSemiMixedTypes="0" containsString="0" containsNumber="1" minValue="25349.14" maxValue="3750000"/>
    </cacheField>
    <cacheField name="OrigFee" numFmtId="171">
      <sharedItems containsSemiMixedTypes="0" containsString="0" containsNumber="1" minValue="0.03" maxValue="4.8049999999999997" count="85">
        <n v="0.73399999999999999"/>
        <n v="1.5569999999999999"/>
        <n v="1.98"/>
        <n v="3.5550000000000002"/>
        <n v="0.73"/>
        <n v="2.8050000000000002"/>
        <n v="1.8049999999999999"/>
        <n v="5.2999999999999999E-2"/>
        <n v="1.3089999999999999"/>
        <n v="0.23400000000000001"/>
        <n v="2.5550000000000002"/>
        <n v="1.23"/>
        <n v="0.63"/>
        <n v="0.48"/>
        <n v="3.3050000000000002"/>
        <n v="1.73"/>
        <n v="1.03"/>
        <n v="1.53"/>
        <n v="0.98"/>
        <n v="0.23"/>
        <n v="0.53"/>
        <n v="0.38"/>
        <n v="0.98399999999999999"/>
        <n v="1.48"/>
        <n v="2.5590000000000002"/>
        <n v="2.3050000000000002"/>
        <n v="1.1299999999999999"/>
        <n v="0.75700000000000001"/>
        <n v="3.6549999999999998"/>
        <n v="1.3049999999999999"/>
        <n v="1.5589999999999999"/>
        <n v="1.484"/>
        <n v="3.4089999999999998"/>
        <n v="2.605"/>
        <n v="0.33"/>
        <n v="1.8089999999999999"/>
        <n v="1.0549999999999999"/>
        <n v="0.88"/>
        <n v="0.25700000000000001"/>
        <n v="0.80500000000000005"/>
        <n v="1.5549999999999999"/>
        <n v="1.234"/>
        <n v="0.48399999999999999"/>
        <n v="0.80900000000000005"/>
        <n v="2.0550000000000002"/>
        <n v="0.13"/>
        <n v="1.88"/>
        <n v="1.0589999999999999"/>
        <n v="0.47599999999999998"/>
        <n v="1.28"/>
        <n v="1.38"/>
        <n v="0.30299999999999999"/>
        <n v="0.57999999999999996"/>
        <n v="2.0590000000000002"/>
        <n v="3.1549999999999998"/>
        <n v="3.0550000000000002"/>
        <n v="0.93"/>
        <n v="0.28000000000000003"/>
        <n v="0.03"/>
        <n v="2.5299999999999998"/>
        <n v="0.157"/>
        <n v="1.734"/>
        <n v="2.2799999999999998"/>
        <n v="0.78"/>
        <n v="1.984"/>
        <n v="0.55700000000000005"/>
        <n v="2.9049999999999998"/>
        <n v="0.55900000000000005"/>
        <n v="0.55500000000000005"/>
        <n v="3.23"/>
        <n v="2.23"/>
        <n v="0.72"/>
        <n v="1.97"/>
        <n v="0.68"/>
        <n v="5.5E-2"/>
        <n v="0.22999999999999998"/>
        <n v="1.9799999999999998"/>
        <n v="2.0549999999999997"/>
        <n v="3.0549999999999997"/>
        <n v="4.8049999999999997"/>
        <n v="2.48"/>
        <n v="3.0049999999999999"/>
        <n v="3.2949999999999999"/>
        <n v="3.3049999999999997"/>
        <n v="4.5549999999999997"/>
      </sharedItems>
      <fieldGroup base="7">
        <rangePr autoStart="0" autoEnd="0" startNum="0" endNum="4"/>
        <groupItems count="6">
          <s v="&lt;0"/>
          <s v="0-1"/>
          <s v="1-2"/>
          <s v="2-3"/>
          <s v="3-4"/>
          <s v="&gt;4"/>
        </groupItems>
      </fieldGroup>
    </cacheField>
    <cacheField name="NoteDate" numFmtId="14">
      <sharedItems containsSemiMixedTypes="0" containsNonDate="0" containsDate="1" containsString="0" minDate="2013-06-14T00:00:00" maxDate="2021-01-09T00:00:00"/>
    </cacheField>
    <cacheField name="LoanAge" numFmtId="167">
      <sharedItems containsSemiMixedTypes="0" containsString="0" containsNumber="1" minValue="0" maxValue="93.567123287671222"/>
    </cacheField>
    <cacheField name="Maturity" numFmtId="14">
      <sharedItems containsSemiMixedTypes="0" containsNonDate="0" containsDate="1" containsString="0" minDate="2026-10-29T00:00:00" maxDate="2046-03-27T00:00:00"/>
    </cacheField>
    <cacheField name="Maturity (Mos)" numFmtId="3">
      <sharedItems containsSemiMixedTypes="0" containsString="0" containsNumber="1" minValue="73.099999999999994" maxValue="328.73333333333335"/>
    </cacheField>
    <cacheField name="MatMos" numFmtId="167">
      <sharedItems containsSemiMixedTypes="0" containsString="0" containsNumber="1" minValue="69.533333333333331" maxValue="305.79999999999995"/>
    </cacheField>
    <cacheField name="PaidTo" numFmtId="0">
      <sharedItems containsDate="1" containsMixedTypes="1" minDate="2020-09-01T00:00:00" maxDate="2021-03-31T00:00:00"/>
    </cacheField>
    <cacheField name="Borrower" numFmtId="0">
      <sharedItems/>
    </cacheField>
    <cacheField name="Borrow_CSZ" numFmtId="0">
      <sharedItems/>
    </cacheField>
    <cacheField name="Zip Code" numFmtId="0">
      <sharedItems containsString="0" containsBlank="1" containsNumber="1" containsInteger="1" minValue="0" maxValue="99669"/>
    </cacheField>
    <cacheField name="State" numFmtId="0">
      <sharedItems containsBlank="1" count="51">
        <s v="TX"/>
        <s v="FL"/>
        <s v="GA"/>
        <s v="IL"/>
        <s v="MA"/>
        <s v="AZ"/>
        <s v="NC"/>
        <s v="KY"/>
        <s v="MI"/>
        <s v="OH"/>
        <s v="CA"/>
        <s v="PA"/>
        <s v="NM"/>
        <s v="WA"/>
        <s v="WI"/>
        <s v="NY"/>
        <s v="ID"/>
        <s v="NJ"/>
        <s v="DE"/>
        <s v="MD"/>
        <s v="LA"/>
        <s v="OR"/>
        <s v="SC"/>
        <s v="MS"/>
        <s v="MN"/>
        <s v="AR"/>
        <s v="AK"/>
        <s v="ND"/>
        <s v="MO"/>
        <s v="VA"/>
        <s v="TN"/>
        <s v="RI"/>
        <s v="OK"/>
        <s v="CO"/>
        <s v="UT"/>
        <s v="AL"/>
        <s v="CT"/>
        <s v="WV"/>
        <s v="IA"/>
        <s v="IN"/>
        <s v="NV"/>
        <s v="ME"/>
        <s v="NH"/>
        <s v="NE"/>
        <s v="WY"/>
        <s v="VT"/>
        <m/>
        <s v="UH"/>
        <s v="CA "/>
        <s v="HI"/>
        <s v="MA "/>
      </sharedItems>
    </cacheField>
    <cacheField name="NatureofBus" numFmtId="0">
      <sharedItems containsSemiMixedTypes="0" containsString="0" containsNumber="1" containsInteger="1" minValue="0" maxValue="814110" count="256">
        <n v="624410"/>
        <n v="713940"/>
        <n v="722410"/>
        <n v="722511"/>
        <n v="447110"/>
        <n v="332721"/>
        <n v="621210"/>
        <n v="531130"/>
        <n v="811111"/>
        <n v="623220"/>
        <n v="713990"/>
        <n v="485999"/>
        <n v="312120"/>
        <n v="713950"/>
        <n v="312130"/>
        <n v="623312"/>
        <n v="811192"/>
        <n v="811191"/>
        <n v="721191"/>
        <n v="721110"/>
        <n v="441120"/>
        <n v="531390"/>
        <n v="722513"/>
        <n v="811110"/>
        <n v="812910"/>
        <n v="332710"/>
        <n v="531120"/>
        <n v="445120"/>
        <n v="541420"/>
        <n v="541940"/>
        <n v="238290"/>
        <n v="441210"/>
        <n v="722310"/>
        <n v="722320"/>
        <n v="811219"/>
        <n v="621310"/>
        <n v="541110"/>
        <n v="624120"/>
        <n v="524210"/>
        <n v="561730"/>
        <n v="611710"/>
        <n v="221310"/>
        <n v="336999"/>
        <n v="713900"/>
        <n v="812112"/>
        <n v="611610"/>
        <n v="621610"/>
        <n v="447100"/>
        <n v="623990"/>
        <n v="445310"/>
        <n v="541519"/>
        <n v="311999"/>
        <n v="213112"/>
        <n v="424990"/>
        <n v="325412"/>
        <n v="531210"/>
        <n v="423140"/>
        <n v="713910"/>
        <n v="541211"/>
        <n v="423210"/>
        <n v="484110"/>
        <n v="424470"/>
        <n v="238220"/>
        <n v="551112"/>
        <n v="713930"/>
        <n v="722330"/>
        <n v="441320"/>
        <n v="111400"/>
        <n v="611620"/>
        <n v="238210"/>
        <n v="562112"/>
        <n v="621111"/>
        <n v="445110"/>
        <n v="238350"/>
        <n v="812990"/>
        <n v="339950"/>
        <n v="812210"/>
        <n v="532310"/>
        <n v="812199"/>
        <n v="453998"/>
        <n v="712310"/>
        <n v="812320"/>
        <n v="484121"/>
        <n v="522320"/>
        <n v="722515"/>
        <n v="623110"/>
        <n v="611699"/>
        <n v="454390"/>
        <n v="532292"/>
        <n v="624190"/>
        <n v="311812"/>
        <n v="339116"/>
        <n v="621493"/>
        <n v="446120"/>
        <n v="453910"/>
        <n v="721211"/>
        <n v="327991"/>
        <n v="332111"/>
        <n v="812310"/>
        <n v="621399"/>
        <n v="423910"/>
        <n v="312113"/>
        <n v="484230"/>
        <n v="442110"/>
        <n v="238910"/>
        <n v="423220"/>
        <n v="711510"/>
        <n v="238340"/>
        <n v="561611"/>
        <n v="325411"/>
        <n v="446110"/>
        <n v="323111"/>
        <n v="238990"/>
        <n v="525920"/>
        <n v="812220"/>
        <n v="621391"/>
        <n v="447190"/>
        <n v="532284"/>
        <n v="236118"/>
        <n v="811310"/>
        <n v="453310"/>
        <n v="445291"/>
        <n v="441310"/>
        <n v="524126"/>
        <n v="531311"/>
        <n v="448120"/>
        <n v="443141"/>
        <n v="621910"/>
        <n v="621420"/>
        <n v="423990"/>
        <n v="332999"/>
        <n v="541820"/>
        <n v="541320"/>
        <n v="332813"/>
        <n v="311520"/>
        <n v="523930"/>
        <n v="451110"/>
        <n v="811121"/>
        <n v="444130"/>
        <n v="722213"/>
        <n v="621330"/>
        <n v="562998"/>
        <n v="562910"/>
        <n v="541511"/>
        <n v="0"/>
        <n v="561920"/>
        <n v="561110"/>
        <n v="325211"/>
        <n v="311813"/>
        <n v="333514"/>
        <n v="236115"/>
        <n v="541921"/>
        <n v="531190"/>
        <n v="445210"/>
        <n v="561510"/>
        <n v="336212"/>
        <n v="339999"/>
        <n v="425120"/>
        <n v="611692"/>
        <n v="111421"/>
        <n v="812111"/>
        <n v="485991"/>
        <n v="448310"/>
        <n v="311920"/>
        <n v="814110"/>
        <n v="445220"/>
        <n v="711320"/>
        <n v="812113"/>
        <n v="332812"/>
        <n v="522292"/>
        <n v="311824"/>
        <n v="562119"/>
        <n v="611110"/>
        <n v="424720"/>
        <n v="238110"/>
        <n v="311991"/>
        <n v="522310"/>
        <n v="238120"/>
        <n v="623210"/>
        <n v="811212"/>
        <n v="424460"/>
        <n v="621112"/>
        <n v="323113"/>
        <n v="236220"/>
        <n v="488410"/>
        <n v="531312"/>
        <n v="334310"/>
        <n v="444210"/>
        <n v="541380"/>
        <n v="451120"/>
        <n v="442291"/>
        <n v="448210"/>
        <n v="561320"/>
        <n v="454110"/>
        <n v="541810"/>
        <n v="442299"/>
        <n v="541715"/>
        <n v="448190"/>
        <n v="531110"/>
        <n v="238310"/>
        <n v="551114"/>
        <n v="541618"/>
        <n v="484210"/>
        <n v="541990"/>
        <n v="541611"/>
        <n v="237110"/>
        <n v="325413"/>
        <n v="511210"/>
        <n v="811198"/>
        <n v="424320"/>
        <n v="811112"/>
        <n v="443142"/>
        <n v="424330"/>
        <n v="112320"/>
        <n v="541219"/>
        <n v="311811"/>
        <n v="561720"/>
        <n v="811118"/>
        <n v="561311"/>
        <n v="331200"/>
        <n v="238900"/>
        <n v="541910"/>
        <n v="532412"/>
        <n v="335999"/>
        <n v="441228"/>
        <n v="611691"/>
        <n v="115210"/>
        <n v="484220"/>
        <n v="332322"/>
        <n v="424910"/>
        <n v="541890"/>
        <n v="336412"/>
        <n v="337110"/>
        <n v="333318"/>
        <n v="561431"/>
        <n v="115310"/>
        <n v="541613"/>
        <n v="444190"/>
        <n v="454111"/>
        <n v="237990"/>
        <n v="562211"/>
        <n v="485990"/>
        <n v="44531"/>
        <n v="621320"/>
        <n v="311942"/>
        <n v="333517"/>
        <n v="339113"/>
        <n v="332321"/>
        <n v="541330"/>
        <n v="561210"/>
        <n v="424450"/>
        <n v="541310"/>
        <n v="238160"/>
        <n v="221118" u="1"/>
        <n v="541850" u="1"/>
        <n v="423310" u="1"/>
      </sharedItems>
    </cacheField>
    <cacheField name="Adjust" numFmtId="0">
      <sharedItems/>
    </cacheField>
    <cacheField name="Net_Cap" numFmtId="0">
      <sharedItems containsBlank="1"/>
    </cacheField>
    <cacheField name="Net_Flr" numFmtId="0">
      <sharedItems containsBlank="1"/>
    </cacheField>
    <cacheField name="Gross Rate" numFmtId="173">
      <sharedItems containsSemiMixedTypes="0" containsString="0" containsNumber="1" minValue="0.5" maxValue="6" count="26">
        <n v="2.5"/>
        <n v="2.75"/>
        <n v="2.25"/>
        <n v="2"/>
        <n v="1.75"/>
        <n v="1.5"/>
        <n v="1.25"/>
        <n v="1"/>
        <n v="0.75"/>
        <n v="3.25"/>
        <n v="0.9"/>
        <n v="2.15"/>
        <n v="6"/>
        <n v="4.75"/>
        <n v="4"/>
        <n v="3.75"/>
        <n v="4.5"/>
        <n v="5"/>
        <n v="1.74"/>
        <n v="2.99"/>
        <n v="5.375"/>
        <n v="0.5"/>
        <n v="1.7500000000000002"/>
        <n v="3"/>
        <n v="2.2000000000000002"/>
        <n v="2.4900000000000002"/>
      </sharedItems>
      <fieldGroup base="22">
        <rangePr autoStart="0" autoEnd="0" startNum="1" endNum="2.75" groupInterval="0.25"/>
        <groupItems count="9">
          <s v="&lt;1"/>
          <s v="1-1.25"/>
          <s v="1.25-1.5"/>
          <s v="1.5-1.75"/>
          <s v="1.75-2"/>
          <s v="2-2.25"/>
          <s v="2.25-2.5"/>
          <s v="2.5-2.75"/>
          <s v="&gt;2.75"/>
        </groupItems>
      </fieldGroup>
    </cacheField>
    <cacheField name="Prepayment Penalty " numFmtId="10">
      <sharedItems containsSemiMixedTypes="0" containsString="0" containsNumber="1" minValue="0" maxValue="0.05"/>
    </cacheField>
    <cacheField name="Orig Lender" numFmtId="0">
      <sharedItems containsMixedTypes="1" containsNumber="1" containsInteger="1" minValue="0" maxValue="0"/>
    </cacheField>
    <cacheField name="Industry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gkys " refreshedDate="44225.760404398148" createdVersion="6" refreshedVersion="6" minRefreshableVersion="3" recordCount="845" xr:uid="{3C7DC234-9404-423D-9CD5-D296CA680A72}">
  <cacheSource type="worksheet">
    <worksheetSource ref="B4:Z799" sheet="Strip Package" r:id="rId2"/>
  </cacheSource>
  <cacheFields count="24">
    <cacheField name="Trans" numFmtId="167">
      <sharedItems containsString="0" containsBlank="1" containsNumber="1" minValue="302068.11" maxValue="313009.11"/>
    </cacheField>
    <cacheField name="GP#" numFmtId="0">
      <sharedItems containsSemiMixedTypes="0" containsString="0" containsNumber="1" containsInteger="1" minValue="1000257004" maxValue="9976817407"/>
    </cacheField>
    <cacheField name="StrStat" numFmtId="0">
      <sharedItems containsBlank="1"/>
    </cacheField>
    <cacheField name="InvStat" numFmtId="0">
      <sharedItems containsBlank="1"/>
    </cacheField>
    <cacheField name="PkgID" numFmtId="167">
      <sharedItems containsString="0" containsBlank="1" containsNumber="1" containsInteger="1" minValue="400" maxValue="402"/>
    </cacheField>
    <cacheField name="GtdBal" numFmtId="39">
      <sharedItems containsSemiMixedTypes="0" containsString="0" containsNumber="1" minValue="25816.12" maxValue="3750000" count="843">
        <n v="2666579.38"/>
        <n v="724078.12"/>
        <n v="1853339.01"/>
        <n v="369795.79"/>
        <n v="1010965.36"/>
        <n v="436727.54"/>
        <n v="246099.78"/>
        <n v="923684.48"/>
        <n v="3330338.2"/>
        <n v="726138.21"/>
        <n v="749164.5"/>
        <n v="958843.86"/>
        <n v="930480.07"/>
        <n v="624780.97"/>
        <n v="2153785.5699999998"/>
        <n v="734819.88"/>
        <n v="2751060.3"/>
        <n v="309330.03999999998"/>
        <n v="872668.49"/>
        <n v="1035380.74"/>
        <n v="333717.09999999998"/>
        <n v="908478.78"/>
        <n v="324110.81"/>
        <n v="2289281.8199999998"/>
        <n v="2141171.1"/>
        <n v="198764.88"/>
        <n v="574267.73"/>
        <n v="2498258.87"/>
        <n v="1196404.75"/>
        <n v="462952.7"/>
        <n v="540000"/>
        <n v="915081.16"/>
        <n v="1700695.64"/>
        <n v="1790062.66"/>
        <n v="3418180.1"/>
        <n v="3558732.13"/>
        <n v="962471.27"/>
        <n v="285483.75"/>
        <n v="434047.07"/>
        <n v="2976488.81"/>
        <n v="1013442.3"/>
        <n v="1276430.42"/>
        <n v="2169868.61"/>
        <n v="3112500"/>
        <n v="3322934.73"/>
        <n v="435999.18"/>
        <n v="824288.48"/>
        <n v="138074.13"/>
        <n v="323745.36"/>
        <n v="689099.94"/>
        <n v="365536.12"/>
        <n v="307109.11"/>
        <n v="764024.33"/>
        <n v="391956.7"/>
        <n v="783181.96"/>
        <n v="143751.84"/>
        <n v="1842034.6"/>
        <n v="1003289.14"/>
        <n v="597579.27"/>
        <n v="3401604.27"/>
        <n v="774929.98"/>
        <n v="1153464.3999999999"/>
        <n v="559460.88"/>
        <n v="287123.19"/>
        <n v="153017.06"/>
        <n v="786778.04"/>
        <n v="1238165.8"/>
        <n v="144739.01999999999"/>
        <n v="3288119.17"/>
        <n v="535640.16"/>
        <n v="670436.99"/>
        <n v="2058138.99"/>
        <n v="2383791.12"/>
        <n v="2596942.34"/>
        <n v="493065.59"/>
        <n v="536993.73"/>
        <n v="188076.04"/>
        <n v="1796668.5"/>
        <n v="762398.22"/>
        <n v="56980.12"/>
        <n v="266965.45"/>
        <n v="122231.26"/>
        <n v="1724674.27"/>
        <n v="2796249.26"/>
        <n v="2224225.63"/>
        <n v="1545392.4"/>
        <n v="184374.73"/>
        <n v="618566.47"/>
        <n v="738668.72"/>
        <n v="2241543.5099999998"/>
        <n v="1256675.6399999999"/>
        <n v="91244.97"/>
        <n v="2094438.41"/>
        <n v="977105.43"/>
        <n v="25816.12"/>
        <n v="257985.92000000001"/>
        <n v="355140.2"/>
        <n v="203058.79"/>
        <n v="1226450.69"/>
        <n v="668103.15"/>
        <n v="950453.22"/>
        <n v="972432.47"/>
        <n v="1292787.3999999999"/>
        <n v="639864.85"/>
        <n v="273659.88"/>
        <n v="1758178.74"/>
        <n v="145393.06"/>
        <n v="1080235.8"/>
        <n v="934715.33"/>
        <n v="977411.62"/>
        <n v="950714.55"/>
        <n v="602531.14"/>
        <n v="2448933.41"/>
        <n v="1101984.3700000001"/>
        <n v="3673145.43"/>
        <n v="1474596.9"/>
        <n v="358991.09"/>
        <n v="1159310.42"/>
        <n v="401233.04"/>
        <n v="2745852.92"/>
        <n v="3247782.97"/>
        <n v="1509960.97"/>
        <n v="820098.03"/>
        <n v="2050360.98"/>
        <n v="851085.67"/>
        <n v="1334911.68"/>
        <n v="3254036.56"/>
        <n v="618541.31000000006"/>
        <n v="1490662.32"/>
        <n v="3699316.58"/>
        <n v="346876.71"/>
        <n v="129556.53"/>
        <n v="624391.62"/>
        <n v="473011.66"/>
        <n v="979323.61"/>
        <n v="184667.15"/>
        <n v="181761.17"/>
        <n v="172116.99"/>
        <n v="1025410.28"/>
        <n v="1457915.85"/>
        <n v="1347317.51"/>
        <n v="983448.31"/>
        <n v="1974277.51"/>
        <n v="244424.75"/>
        <n v="1257364.8899999999"/>
        <n v="1592147.4"/>
        <n v="35409.360000000001"/>
        <n v="162383.87"/>
        <n v="1343229.8"/>
        <n v="1462773.11"/>
        <n v="205191.54"/>
        <n v="3682628.07"/>
        <n v="3600390.82"/>
        <n v="234715.17"/>
        <n v="114532.03"/>
        <n v="514949.25"/>
        <n v="777080.51"/>
        <n v="1635813.32"/>
        <n v="282390.36"/>
        <n v="2183186.4300000002"/>
        <n v="510449.53"/>
        <n v="1076304.1499999999"/>
        <n v="135659.39000000001"/>
        <n v="2191935.73"/>
        <n v="125371.13"/>
        <n v="756456.73"/>
        <n v="1741707.76"/>
        <n v="345017.1"/>
        <n v="147634.04"/>
        <n v="184497.46"/>
        <n v="885507.12"/>
        <n v="568563.04"/>
        <n v="1674541.59"/>
        <n v="370588.06"/>
        <n v="115267.16"/>
        <n v="384298.8"/>
        <n v="387928.99"/>
        <n v="3694899.1"/>
        <n v="1174886.98"/>
        <n v="679189.61"/>
        <n v="1303392.08"/>
        <n v="331378.28000000003"/>
        <n v="380273.91"/>
        <n v="1051591.56"/>
        <n v="1142240.3"/>
        <n v="295566.34999999998"/>
        <n v="127091.64"/>
        <n v="58277.93"/>
        <n v="3020841.71"/>
        <n v="2270770.7999999998"/>
        <n v="1265817.0900000001"/>
        <n v="336986.87"/>
        <n v="1004068.76"/>
        <n v="564678.72"/>
        <n v="265399.56"/>
        <n v="2013318.22"/>
        <n v="2698221.78"/>
        <n v="2818252.22"/>
        <n v="184369.57"/>
        <n v="252571.09"/>
        <n v="735333.39"/>
        <n v="3167232.05"/>
        <n v="2414643.64"/>
        <n v="1433805.58"/>
        <n v="1470398.07"/>
        <n v="373286.38"/>
        <n v="463539.23"/>
        <n v="214527.45"/>
        <n v="1939253.64"/>
        <n v="347906.74"/>
        <n v="1045422.25"/>
        <n v="170076.2"/>
        <n v="211477.72"/>
        <n v="1995567.17"/>
        <n v="949622.9"/>
        <n v="2632280.4"/>
        <n v="162293.21"/>
        <n v="458654.8"/>
        <n v="1037963.98"/>
        <n v="444330.04"/>
        <n v="265393.19"/>
        <n v="2497838.44"/>
        <n v="845326.4"/>
        <n v="518590.52"/>
        <n v="579426.35"/>
        <n v="3519995.41"/>
        <n v="1964855.97"/>
        <n v="733145.56"/>
        <n v="278038.15999999997"/>
        <n v="2324884.89"/>
        <n v="547152.21"/>
        <n v="1877183.56"/>
        <n v="140700.04"/>
        <n v="468095.6"/>
        <n v="406660.15"/>
        <n v="63597.02"/>
        <n v="3671351.52"/>
        <n v="3671351.51"/>
        <n v="1568572.39"/>
        <n v="701630.36"/>
        <n v="357704.37"/>
        <n v="882195.55"/>
        <n v="2346534.39"/>
        <n v="93416"/>
        <n v="201621.2"/>
        <n v="2653732.81"/>
        <n v="757822.6"/>
        <n v="364696.63"/>
        <n v="521301.47"/>
        <n v="543215.4"/>
        <n v="210307.57"/>
        <n v="2529150.0699999998"/>
        <n v="2613323.0099999998"/>
        <n v="247349.78"/>
        <n v="2669963.77"/>
        <n v="551537.51"/>
        <n v="180602.75"/>
        <n v="2351001.58"/>
        <n v="604260.68999999994"/>
        <n v="1605864.32"/>
        <n v="1724577.08"/>
        <n v="866968.18"/>
        <n v="491052.62"/>
        <n v="2744322.88"/>
        <n v="2433873.62"/>
        <n v="557184.34"/>
        <n v="625885.24"/>
        <n v="198970.37"/>
        <n v="1718274.86"/>
        <n v="3717343.82"/>
        <n v="2132599.83"/>
        <n v="306829.02"/>
        <n v="346235.6"/>
        <n v="2206995.2799999998"/>
        <n v="163179"/>
        <n v="546193.04"/>
        <n v="126687.8"/>
        <n v="515892.14"/>
        <n v="546472.64"/>
        <n v="1718250"/>
        <n v="570496.56000000006"/>
        <n v="783034.48"/>
        <n v="456248.09"/>
        <n v="502970.95"/>
        <n v="85629.36"/>
        <n v="1753636.47"/>
        <n v="63759.42"/>
        <n v="1234287.43"/>
        <n v="304338.71000000002"/>
        <n v="1564110.35"/>
        <n v="147885.04999999999"/>
        <n v="1065941.02"/>
        <n v="556952.28"/>
        <n v="2426409.0699999998"/>
        <n v="2318312.7200000002"/>
        <n v="664295.47"/>
        <n v="3683808.94"/>
        <n v="3029192.66"/>
        <n v="584234.28"/>
        <n v="1846409.38"/>
        <n v="489183.11"/>
        <n v="2149849.2400000002"/>
        <n v="233238.78"/>
        <n v="186266.29"/>
        <n v="1779463.19"/>
        <n v="144310.68"/>
        <n v="853583.28"/>
        <n v="675607.86"/>
        <n v="1818288.51"/>
        <n v="181103.72"/>
        <n v="3680406.2"/>
        <n v="468458.65"/>
        <n v="2911726.89"/>
        <n v="517324.47"/>
        <n v="3277057.16"/>
        <n v="1477540.39"/>
        <n v="728545.95"/>
        <n v="3246831.42"/>
        <n v="231905.68"/>
        <n v="1054423.3700000001"/>
        <n v="330804.3"/>
        <n v="703040.23"/>
        <n v="2620444.08"/>
        <n v="1955651.98"/>
        <n v="240259.13"/>
        <n v="2528120.0099999998"/>
        <n v="2950011.13"/>
        <n v="3584275.16"/>
        <n v="1343553.09"/>
        <n v="205836.72"/>
        <n v="1129559.04"/>
        <n v="176261.18"/>
        <n v="3696929.73"/>
        <n v="1667682.23"/>
        <n v="457386.16"/>
        <n v="95125.98"/>
        <n v="273009.89"/>
        <n v="314741.45"/>
        <n v="813138.36"/>
        <n v="661192.05000000005"/>
        <n v="1788557.85"/>
        <n v="250719.19"/>
        <n v="354905.14"/>
        <n v="389139.87"/>
        <n v="232702.91"/>
        <n v="1306133.05"/>
        <n v="126756.56"/>
        <n v="1924936.5"/>
        <n v="3035415.69"/>
        <n v="3327429.85"/>
        <n v="2901092.62"/>
        <n v="1367949.84"/>
        <n v="1295219.58"/>
        <n v="144060.35999999999"/>
        <n v="282940"/>
        <n v="250373.82"/>
        <n v="556516.80000000005"/>
        <n v="327809.45"/>
        <n v="1765037.19"/>
        <n v="51173.93"/>
        <n v="1061175.3"/>
        <n v="1362570.84"/>
        <n v="401270.22"/>
        <n v="32157.02"/>
        <n v="322231.43"/>
        <n v="494023.78"/>
        <n v="274783.02"/>
        <n v="631794.31999999995"/>
        <n v="138418.34"/>
        <n v="344086.33"/>
        <n v="221806.23"/>
        <n v="1700488.74"/>
        <n v="570794.03"/>
        <n v="125548.28"/>
        <n v="333186.37"/>
        <n v="3325642.56"/>
        <n v="456100.76"/>
        <n v="2407561.39"/>
        <n v="2507243.65"/>
        <n v="344454.73"/>
        <n v="277249.45"/>
        <n v="1029467.55"/>
        <n v="256309.84"/>
        <n v="791175.01"/>
        <n v="460202.03"/>
        <n v="530370.31999999995"/>
        <n v="619952.52"/>
        <n v="214846.65"/>
        <n v="344920.41"/>
        <n v="332182.46999999997"/>
        <n v="187090.76"/>
        <n v="1224746.82"/>
        <n v="368446.83"/>
        <n v="331845.13"/>
        <n v="248463.92"/>
        <n v="490762.04"/>
        <n v="435603.84"/>
        <n v="667246.82999999996"/>
        <n v="513641.4"/>
        <n v="170253.65"/>
        <n v="3139907.94"/>
        <n v="1664161.21"/>
        <n v="2226140.27"/>
        <n v="3691735.82"/>
        <n v="188137.72"/>
        <n v="255299.07"/>
        <n v="122738.11"/>
        <n v="2513272.15"/>
        <n v="1700899.42"/>
        <n v="145233.76"/>
        <n v="118702.29"/>
        <n v="344236.68"/>
        <n v="281763.46000000002"/>
        <n v="679252.78"/>
        <n v="585154.56000000006"/>
        <n v="485087.25"/>
        <n v="751958.99"/>
        <n v="396858.39"/>
        <n v="579947.56000000006"/>
        <n v="2673238.38"/>
        <n v="337499.99"/>
        <n v="435767.23"/>
        <n v="87155.07"/>
        <n v="148218.1"/>
        <n v="3699252.7"/>
        <n v="307794.23"/>
        <n v="299678.67"/>
        <n v="297116.24"/>
        <n v="276104.07"/>
        <n v="2513759.7599999998"/>
        <n v="374698.21"/>
        <n v="535098.43999999994"/>
        <n v="1186866.17"/>
        <n v="708343.75"/>
        <n v="639750"/>
        <n v="1072500"/>
        <n v="1230907.3999999999"/>
        <n v="394920.25"/>
        <n v="1476159.4"/>
        <n v="732268.39"/>
        <n v="1012500"/>
        <n v="886543.56"/>
        <n v="958903.39"/>
        <n v="2522488.6"/>
        <n v="1087368.98"/>
        <n v="3661982.95"/>
        <n v="284304.52"/>
        <n v="946060.92"/>
        <n v="187872.22"/>
        <n v="257217.22"/>
        <n v="878893.02"/>
        <n v="573355.82999999996"/>
        <n v="418546.43"/>
        <n v="425020.71"/>
        <n v="231823.47"/>
        <n v="103600.53"/>
        <n v="2367742.7200000002"/>
        <n v="106725.34"/>
        <n v="1031514.8"/>
        <n v="2010600.21"/>
        <n v="347812.61"/>
        <n v="1139462.67"/>
        <n v="1255155.94"/>
        <n v="1280274.22"/>
        <n v="1350184.5"/>
        <n v="3314853.51"/>
        <n v="3690094.04"/>
        <n v="2997183.58"/>
        <n v="2998224.18"/>
        <n v="589190.98"/>
        <n v="2410773.6800000002"/>
        <n v="416507.11"/>
        <n v="692850.09"/>
        <n v="546954.43000000005"/>
        <n v="889386"/>
        <n v="2174690.4300000002"/>
        <n v="151475.43"/>
        <n v="1923832.69"/>
        <n v="660773.06999999995"/>
        <n v="3671900.85"/>
        <n v="176729.35"/>
        <n v="914874.94"/>
        <n v="3262815.27"/>
        <n v="1588309.42"/>
        <n v="245440.25"/>
        <n v="518393.61"/>
        <n v="444019.33"/>
        <n v="1366351.56"/>
        <n v="2331127.9900000002"/>
        <n v="2364898.46"/>
        <n v="215698.54"/>
        <n v="1144287.68"/>
        <n v="398673.13"/>
        <n v="1224049.98"/>
        <n v="607670.91"/>
        <n v="331269.33"/>
        <n v="1137973.43"/>
        <n v="352584.58"/>
        <n v="303844.12"/>
        <n v="553839.54"/>
        <n v="436637.91"/>
        <n v="1216289.57"/>
        <n v="520948.19"/>
        <n v="180275.35"/>
        <n v="964438.49"/>
        <n v="482922.27"/>
        <n v="2056508.61"/>
        <n v="413545.36"/>
        <n v="211572.63"/>
        <n v="1708837.66"/>
        <n v="476082.22"/>
        <n v="1370687.05"/>
        <n v="119175.07"/>
        <n v="224623.62"/>
        <n v="1114926.6499999999"/>
        <n v="2150281.7400000002"/>
        <n v="1569456.03"/>
        <n v="378066.99"/>
        <n v="412712.27"/>
        <n v="125329.16"/>
        <n v="440481"/>
        <n v="531819.81000000006"/>
        <n v="1875338.75"/>
        <n v="1767341.06"/>
        <n v="1364858.11"/>
        <n v="1815063.94"/>
        <n v="385959.1"/>
        <n v="622494.1"/>
        <n v="1467545.04"/>
        <n v="3636175.29"/>
        <n v="784310.89"/>
        <n v="280602.73"/>
        <n v="402441.31"/>
        <n v="129244.87"/>
        <n v="2587500"/>
        <n v="640692.93000000005"/>
        <n v="2025841.44"/>
        <n v="59946.879999999997"/>
        <n v="115289.38"/>
        <n v="2907850.21"/>
        <n v="36004.78"/>
        <n v="160899.17000000001"/>
        <n v="255864.05"/>
        <n v="66440.23"/>
        <n v="1560282.55"/>
        <n v="2893146.59"/>
        <n v="2859006.71"/>
        <n v="197474.82"/>
        <n v="145533.92000000001"/>
        <n v="784735.57"/>
        <n v="247449.33"/>
        <n v="1400231.01"/>
        <n v="2287158.81"/>
        <n v="1938563.88"/>
        <n v="380301.74"/>
        <n v="1441373.78"/>
        <n v="152034.25"/>
        <n v="117271.74"/>
        <n v="242433.33"/>
        <n v="374543.66"/>
        <n v="351099.12"/>
        <n v="183938.03"/>
        <n v="295633.59000000003"/>
        <n v="2489078.0499999998"/>
        <n v="203625.01"/>
        <n v="2917493.41"/>
        <n v="82397.679999999993"/>
        <n v="1001368.64"/>
        <n v="370807.91"/>
        <n v="3671362.5"/>
        <n v="3279017.15"/>
        <n v="1716232.78"/>
        <n v="2811592.12"/>
        <n v="379315.4"/>
        <n v="459896.05"/>
        <n v="3674282.9"/>
        <n v="1993637.91"/>
        <n v="1811148.93"/>
        <n v="1233803.8400000001"/>
        <n v="629922.81000000006"/>
        <n v="922729.73"/>
        <n v="2062663.92"/>
        <n v="440466.9"/>
        <n v="1152928.78"/>
        <n v="842145.47"/>
        <n v="677041.55"/>
        <n v="3091845.89"/>
        <n v="466029.96"/>
        <n v="204963.04"/>
        <n v="522779.21"/>
        <n v="690855.08"/>
        <n v="542113.03"/>
        <n v="3600000"/>
        <n v="1183577.0900000001"/>
        <n v="303227.78000000003"/>
        <n v="171035.34"/>
        <n v="1012265.61"/>
        <n v="804808.44"/>
        <n v="701250"/>
        <n v="2789824.81"/>
        <n v="2848178.67"/>
        <n v="504950.18"/>
        <n v="1199746.5600000001"/>
        <n v="318614.55"/>
        <n v="344745.55"/>
        <n v="585293.52"/>
        <n v="238767.06"/>
        <n v="841500"/>
        <n v="993750"/>
        <n v="2790723.11"/>
        <n v="183392.12"/>
        <n v="390260.17"/>
        <n v="732055.25"/>
        <n v="1403020.51"/>
        <n v="442317.06"/>
        <n v="238377.37"/>
        <n v="1512693.5"/>
        <n v="197587.52"/>
        <n v="2971261.31"/>
        <n v="2281194.46"/>
        <n v="928616.98"/>
        <n v="145490.49"/>
        <n v="1256678.54"/>
        <n v="491289.13"/>
        <n v="291181.15000000002"/>
        <n v="1002807.55"/>
        <n v="2919379.77"/>
        <n v="1092666.31"/>
        <n v="500400.95"/>
        <n v="120863.73"/>
        <n v="316545.34999999998"/>
        <n v="2985430.46"/>
        <n v="165348.42000000001"/>
        <n v="3656096.56"/>
        <n v="657414.22"/>
        <n v="446542.39"/>
        <n v="1381686.64"/>
        <n v="145482.07"/>
        <n v="253760.82"/>
        <n v="216276.89"/>
        <n v="178972.64"/>
        <n v="1822791.14"/>
        <n v="327709.7"/>
        <n v="358979.25"/>
        <n v="153009"/>
        <n v="374378.02"/>
        <n v="139348.99"/>
        <n v="2525908"/>
        <n v="494393.78"/>
        <n v="119158.56"/>
        <n v="315033.90000000002"/>
        <n v="824332.95"/>
        <n v="697803.98"/>
        <n v="2509428.7599999998"/>
        <n v="1920848.65"/>
        <n v="2929297.88"/>
        <n v="3599878.41"/>
        <n v="306384.39"/>
        <n v="127868.09"/>
        <n v="586688.09"/>
        <n v="160617.35999999999"/>
        <n v="1198015.3600000001"/>
        <n v="152684.35999999999"/>
        <n v="1083474.1000000001"/>
        <n v="2251650.13"/>
        <n v="172425.14"/>
        <n v="1293578.8799999999"/>
        <n v="350211.62"/>
        <n v="117679.85"/>
        <n v="253547.88"/>
        <n v="3673716.75"/>
        <n v="537827.13"/>
        <n v="862049.19"/>
        <n v="441545.28"/>
        <n v="2350862.9300000002"/>
        <n v="2174733.2799999998"/>
        <n v="2111157.5699999998"/>
        <n v="707338.7"/>
        <n v="3687730.23"/>
        <n v="1427529.43"/>
        <n v="3710950.73"/>
        <n v="866014.13"/>
        <n v="146375.35"/>
        <n v="2137160.06"/>
        <n v="2452438.6800000002"/>
        <n v="1940374.25"/>
        <n v="581130.05000000005"/>
        <n v="332675.74"/>
        <n v="742234.46"/>
        <n v="483906.46"/>
        <n v="2832394.15"/>
        <n v="706118.65"/>
        <n v="347996.44"/>
        <n v="1266413.1200000001"/>
        <n v="916166.99"/>
        <n v="1416519.71"/>
        <n v="1398037.62"/>
        <n v="950494.18"/>
        <n v="1999105.19"/>
        <n v="1186530.6000000001"/>
        <n v="2313076.27"/>
        <n v="115311.96"/>
        <n v="903227.47"/>
        <n v="259571.4"/>
        <n v="335864.99"/>
        <n v="1504402.66"/>
        <n v="123137.45"/>
        <n v="514374.48"/>
        <n v="292823.13"/>
        <n v="2278415.2400000002"/>
        <n v="291542.59999999998"/>
        <n v="2323584.88"/>
        <n v="3602427.57"/>
        <n v="2133586.33"/>
        <n v="3616248"/>
        <n v="224720.74"/>
        <n v="977994.79"/>
        <n v="1623338.13"/>
        <n v="119817"/>
        <n v="85386.71"/>
        <n v="317406.21000000002"/>
        <n v="356065.32"/>
        <n v="89941.72"/>
        <n v="488045.19"/>
        <n v="1264638.82"/>
        <n v="127500"/>
        <n v="121891.73"/>
        <n v="246646.25"/>
        <n v="304267.34999999998"/>
        <n v="1025247.8"/>
        <n v="254367.81"/>
        <n v="775903.38"/>
        <n v="310481.44"/>
        <n v="316418"/>
        <n v="363918.38"/>
        <n v="625054.27"/>
        <n v="353292.77"/>
        <n v="295112.07"/>
        <n v="226025.87"/>
        <n v="53254.79"/>
        <n v="352571.72"/>
        <n v="2008482.54"/>
        <n v="704687.36"/>
        <n v="351316.77"/>
        <n v="196164.42"/>
        <n v="708369.78"/>
        <n v="294957.53999999998"/>
        <n v="264258.11"/>
        <n v="174195.47"/>
        <n v="127615.56"/>
        <n v="81850.84"/>
        <n v="108550.59"/>
        <n v="124113.05"/>
        <n v="66025.600000000006"/>
        <n v="83753.48"/>
        <n v="178046.58"/>
        <n v="99730.02"/>
        <n v="65431.02"/>
        <n v="87388.479999999996"/>
        <n v="60178.92"/>
        <n v="100614.26"/>
        <n v="125893.77"/>
        <n v="175259.1"/>
        <n v="126644.18"/>
        <n v="127092.86"/>
        <n v="252875.48"/>
        <n v="671711.04"/>
        <n v="449587.48"/>
        <n v="778996.62"/>
        <n v="1498148.99"/>
        <n v="1643706.91"/>
        <n v="1601050.32"/>
        <n v="35858.74"/>
        <n v="2084579.72"/>
        <n v="764667.3"/>
        <n v="255439.61"/>
        <n v="166301.42000000001"/>
        <n v="239935.7"/>
        <n v="165522.59"/>
        <n v="1433971.02"/>
        <n v="508918.81"/>
        <n v="118846.35"/>
        <n v="2492309.9500000002"/>
        <n v="627299.07999999996"/>
        <n v="893120.25"/>
        <n v="386049.73"/>
        <n v="219965.73"/>
        <n v="213601.45"/>
        <n v="181162.86"/>
        <n v="610550.17000000004"/>
        <n v="572491.99"/>
        <n v="363108.38"/>
        <n v="3662479.77"/>
        <n v="934575.05"/>
        <n v="239676.79"/>
        <n v="435615.88"/>
        <n v="590478.92000000004"/>
        <n v="501589.1"/>
        <n v="658898.30000000005"/>
        <n v="887582.27"/>
        <n v="198902.81"/>
        <n v="2094000"/>
        <n v="1048605.31"/>
        <n v="2865739.93"/>
        <n v="914416.8"/>
        <n v="1874034.46"/>
        <n v="517500"/>
        <n v="1096586.1000000001"/>
        <n v="276714.26250000001"/>
        <n v="698400"/>
        <n v="481500"/>
        <n v="1326000"/>
        <n v="455775"/>
        <n v="218619.73"/>
        <n v="1145834.1499999999"/>
        <n v="257080.14"/>
        <n v="105000"/>
        <n v="354316.96"/>
        <n v="2213214.8174999999"/>
        <n v="273750"/>
        <n v="2013750"/>
        <n v="1350000"/>
        <n v="638250"/>
        <n v="272100"/>
        <n v="3002320.5"/>
        <n v="1894330.2975000001"/>
        <n v="1135425"/>
        <n v="786510"/>
        <n v="2816250"/>
        <n v="2250000"/>
        <n v="335325"/>
        <n v="3316241.13"/>
        <n v="919976.25"/>
        <n v="3315000"/>
        <n v="870000"/>
        <n v="1069500"/>
        <n v="1665000"/>
        <n v="3750000"/>
        <n v="2287500"/>
        <n v="440804.96"/>
        <n v="40950"/>
        <n v="806242.25"/>
        <n v="652500"/>
      </sharedItems>
      <fieldGroup base="5">
        <rangePr autoStart="0" autoEnd="0" startNum="500000" endNum="4000000" groupInterval="500000"/>
        <groupItems count="9">
          <s v="&lt;500000"/>
          <s v="500000-1000000"/>
          <s v="1000000-1500000"/>
          <s v="1500000-2000000"/>
          <s v="2000000-2500000"/>
          <s v="2500000-3000000"/>
          <s v="3000000-3500000"/>
          <s v="3500000-4000000"/>
          <s v="&gt;4000000"/>
        </groupItems>
      </fieldGroup>
    </cacheField>
    <cacheField name="Current Balance" numFmtId="39">
      <sharedItems containsSemiMixedTypes="0" containsString="0" containsNumber="1" minValue="0" maxValue="3750000"/>
    </cacheField>
    <cacheField name="OrigFee" numFmtId="171">
      <sharedItems containsSemiMixedTypes="0" containsString="0" containsNumber="1" minValue="0.03" maxValue="3.6549999999999998" count="79">
        <n v="0.73399999999999999"/>
        <n v="1.5569999999999999"/>
        <n v="1.98"/>
        <n v="3.5550000000000002"/>
        <n v="0.73"/>
        <n v="2.8050000000000002"/>
        <n v="1.8049999999999999"/>
        <n v="5.2999999999999999E-2"/>
        <n v="1.3089999999999999"/>
        <n v="0.23400000000000001"/>
        <n v="2.5550000000000002"/>
        <n v="1.23"/>
        <n v="0.63"/>
        <n v="0.48"/>
        <n v="3.3050000000000002"/>
        <n v="1.73"/>
        <n v="1.03"/>
        <n v="1.53"/>
        <n v="0.98"/>
        <n v="0.23"/>
        <n v="0.53"/>
        <n v="0.38"/>
        <n v="0.98399999999999999"/>
        <n v="1.48"/>
        <n v="2.5590000000000002"/>
        <n v="2.3050000000000002"/>
        <n v="1.1299999999999999"/>
        <n v="2.6549999999999998"/>
        <n v="0.75700000000000001"/>
        <n v="3.6549999999999998"/>
        <n v="1.3049999999999999"/>
        <n v="1.5589999999999999"/>
        <n v="1.484"/>
        <n v="3.4089999999999998"/>
        <n v="2.605"/>
        <n v="0.33"/>
        <n v="1.8089999999999999"/>
        <n v="0.48399999999999999"/>
        <n v="1.0549999999999999"/>
        <n v="0.88"/>
        <n v="0.25700000000000001"/>
        <n v="0.80500000000000005"/>
        <n v="1.5549999999999999"/>
        <n v="1.234"/>
        <n v="0.80900000000000005"/>
        <n v="2.0550000000000002"/>
        <n v="0.13"/>
        <n v="1.88"/>
        <n v="1.0589999999999999"/>
        <n v="0.47599999999999998"/>
        <n v="1.28"/>
        <n v="1.38"/>
        <n v="0.30299999999999999"/>
        <n v="0.57999999999999996"/>
        <n v="2.0590000000000002"/>
        <n v="3.1549999999999998"/>
        <n v="3.0550000000000002"/>
        <n v="0.93"/>
        <n v="0.28000000000000003"/>
        <n v="0.03"/>
        <n v="2.5299999999999998"/>
        <n v="1.734"/>
        <n v="0.157"/>
        <n v="2.2799999999999998"/>
        <n v="0.78"/>
        <n v="1.984"/>
        <n v="0.55700000000000005"/>
        <n v="2.9049999999999998"/>
        <n v="0.55900000000000005"/>
        <n v="0.55500000000000005"/>
        <n v="3.23"/>
        <n v="2.23"/>
        <n v="0.72"/>
        <n v="1.97"/>
        <n v="0.68"/>
        <n v="5.5E-2"/>
        <n v="0.22999999999999998"/>
        <n v="1.9799999999999998"/>
        <n v="2.0549999999999997"/>
      </sharedItems>
      <fieldGroup base="7">
        <rangePr autoStart="0" autoEnd="0" startNum="0" endNum="4"/>
        <groupItems count="6">
          <s v="&lt;0"/>
          <s v="0-1"/>
          <s v="1-2"/>
          <s v="2-3"/>
          <s v="3-4"/>
          <s v="&gt;4"/>
        </groupItems>
      </fieldGroup>
    </cacheField>
    <cacheField name="NoteDate" numFmtId="14">
      <sharedItems containsSemiMixedTypes="0" containsNonDate="0" containsDate="1" containsString="0" minDate="2013-06-14T00:00:00" maxDate="2020-12-24T00:00:00"/>
    </cacheField>
    <cacheField name="LoanAge" numFmtId="167">
      <sharedItems containsSemiMixedTypes="0" containsString="0" containsNumber="1" minValue="-1439.8027397260273" maxValue="93.567123287671222"/>
    </cacheField>
    <cacheField name="Maturity" numFmtId="14">
      <sharedItems containsSemiMixedTypes="0" containsNonDate="0" containsDate="1" containsString="0" minDate="2030-01-15T00:00:00" maxDate="2046-01-08T00:00:00"/>
    </cacheField>
    <cacheField name="Maturity (Mos)" numFmtId="3">
      <sharedItems containsSemiMixedTypes="0" containsString="0" containsNumber="1" minValue="121" maxValue="328.73333333333335"/>
    </cacheField>
    <cacheField name="MatMos" numFmtId="167">
      <sharedItems containsSemiMixedTypes="0" containsString="0" containsNumber="1" minValue="109" maxValue="304.97671232876712"/>
    </cacheField>
    <cacheField name="PaidTo" numFmtId="14">
      <sharedItems containsSemiMixedTypes="0" containsNonDate="0" containsDate="1" containsString="0" minDate="1899-12-30T00:00:00" maxDate="2021-03-31T00:00:00"/>
    </cacheField>
    <cacheField name="Borrower" numFmtId="0">
      <sharedItems/>
    </cacheField>
    <cacheField name="Borrow_CSZ" numFmtId="0">
      <sharedItems/>
    </cacheField>
    <cacheField name="Zip Code" numFmtId="0">
      <sharedItems containsString="0" containsBlank="1" containsNumber="1" containsInteger="1" minValue="1057" maxValue="99669"/>
    </cacheField>
    <cacheField name="State" numFmtId="0">
      <sharedItems containsBlank="1" count="47">
        <s v="TX"/>
        <s v="FL"/>
        <s v="GA"/>
        <s v="IL"/>
        <s v="MA"/>
        <s v="AZ"/>
        <s v="NC"/>
        <s v="KY"/>
        <s v="MI"/>
        <s v="OH"/>
        <s v="CA"/>
        <s v="PA"/>
        <s v="NM"/>
        <s v="NJ"/>
        <s v="WA"/>
        <s v="WI"/>
        <s v="NY"/>
        <s v="ID"/>
        <s v="DE"/>
        <s v="MD"/>
        <s v="LA"/>
        <s v="OR"/>
        <s v="SC"/>
        <s v="MS"/>
        <s v="MN"/>
        <s v="AR"/>
        <s v="AK"/>
        <s v="ND"/>
        <s v="MO"/>
        <s v="VA"/>
        <s v="TN"/>
        <s v="RI"/>
        <s v="OK"/>
        <s v="CO"/>
        <s v="UT"/>
        <s v="AL"/>
        <s v="CT"/>
        <s v="WV"/>
        <s v="IA"/>
        <s v="IN"/>
        <s v="NV"/>
        <s v="ME"/>
        <s v="NH"/>
        <s v="NE"/>
        <s v="WY"/>
        <s v="VT"/>
        <m/>
      </sharedItems>
    </cacheField>
    <cacheField name="NatureofBus" numFmtId="0">
      <sharedItems containsSemiMixedTypes="0" containsString="0" containsNumber="1" containsInteger="1" minValue="0" maxValue="814110" count="221">
        <n v="624410"/>
        <n v="713940"/>
        <n v="722410"/>
        <n v="722511"/>
        <n v="447110"/>
        <n v="332721"/>
        <n v="621210"/>
        <n v="531130"/>
        <n v="811111"/>
        <n v="623220"/>
        <n v="713990"/>
        <n v="485999"/>
        <n v="312120"/>
        <n v="713950"/>
        <n v="312130"/>
        <n v="623312"/>
        <n v="811192"/>
        <n v="541850"/>
        <n v="811191"/>
        <n v="721191"/>
        <n v="721110"/>
        <n v="441120"/>
        <n v="531390"/>
        <n v="722513"/>
        <n v="811110"/>
        <n v="812910"/>
        <n v="332710"/>
        <n v="531120"/>
        <n v="445120"/>
        <n v="541420"/>
        <n v="541940"/>
        <n v="238290"/>
        <n v="441210"/>
        <n v="722310"/>
        <n v="722320"/>
        <n v="811219"/>
        <n v="621310"/>
        <n v="541110"/>
        <n v="624120"/>
        <n v="524210"/>
        <n v="561730"/>
        <n v="611710"/>
        <n v="221310"/>
        <n v="423310"/>
        <n v="336999"/>
        <n v="713900"/>
        <n v="812112"/>
        <n v="611610"/>
        <n v="621610"/>
        <n v="447100"/>
        <n v="623990"/>
        <n v="445310"/>
        <n v="541519"/>
        <n v="311999"/>
        <n v="213112"/>
        <n v="424990"/>
        <n v="325412"/>
        <n v="531210"/>
        <n v="423140"/>
        <n v="713910"/>
        <n v="541211"/>
        <n v="423210"/>
        <n v="484110"/>
        <n v="424470"/>
        <n v="238220"/>
        <n v="551112"/>
        <n v="713930"/>
        <n v="722330"/>
        <n v="441320"/>
        <n v="111400"/>
        <n v="611620"/>
        <n v="238210"/>
        <n v="562112"/>
        <n v="621111"/>
        <n v="445110"/>
        <n v="238350"/>
        <n v="812990"/>
        <n v="339950"/>
        <n v="812210"/>
        <n v="532310"/>
        <n v="812199"/>
        <n v="453998"/>
        <n v="712310"/>
        <n v="812320"/>
        <n v="484121"/>
        <n v="522320"/>
        <n v="722515"/>
        <n v="623110"/>
        <n v="454390"/>
        <n v="532292"/>
        <n v="624190"/>
        <n v="311812"/>
        <n v="339116"/>
        <n v="621493"/>
        <n v="446120"/>
        <n v="453910"/>
        <n v="721211"/>
        <n v="327991"/>
        <n v="332111"/>
        <n v="611699"/>
        <n v="812310"/>
        <n v="621399"/>
        <n v="423910"/>
        <n v="312113"/>
        <n v="484230"/>
        <n v="442110"/>
        <n v="238910"/>
        <n v="423220"/>
        <n v="711510"/>
        <n v="238340"/>
        <n v="561611"/>
        <n v="325411"/>
        <n v="446110"/>
        <n v="323111"/>
        <n v="238990"/>
        <n v="525920"/>
        <n v="812220"/>
        <n v="621391"/>
        <n v="447190"/>
        <n v="532284"/>
        <n v="236118"/>
        <n v="811310"/>
        <n v="453310"/>
        <n v="445291"/>
        <n v="441310"/>
        <n v="524126"/>
        <n v="531311"/>
        <n v="448120"/>
        <n v="443141"/>
        <n v="621910"/>
        <n v="621420"/>
        <n v="423990"/>
        <n v="332999"/>
        <n v="541820"/>
        <n v="541320"/>
        <n v="332813"/>
        <n v="311520"/>
        <n v="523930"/>
        <n v="451110"/>
        <n v="811121"/>
        <n v="444130"/>
        <n v="722213"/>
        <n v="621330"/>
        <n v="562998"/>
        <n v="562910"/>
        <n v="541511"/>
        <n v="0"/>
        <n v="561920"/>
        <n v="561110"/>
        <n v="325211"/>
        <n v="221118"/>
        <n v="311813"/>
        <n v="333514"/>
        <n v="236115"/>
        <n v="541921"/>
        <n v="531190"/>
        <n v="445210"/>
        <n v="561510"/>
        <n v="336212"/>
        <n v="339999"/>
        <n v="425120"/>
        <n v="611692"/>
        <n v="111421"/>
        <n v="812111"/>
        <n v="485991"/>
        <n v="448310"/>
        <n v="311920"/>
        <n v="814110"/>
        <n v="445220"/>
        <n v="711320"/>
        <n v="812113"/>
        <n v="332812"/>
        <n v="522292"/>
        <n v="311824"/>
        <n v="562119"/>
        <n v="611110"/>
        <n v="424720"/>
        <n v="238110"/>
        <n v="311991"/>
        <n v="522310"/>
        <n v="238120"/>
        <n v="623210"/>
        <n v="811212"/>
        <n v="424460"/>
        <n v="621112"/>
        <n v="323113"/>
        <n v="236220"/>
        <n v="488410"/>
        <n v="531312"/>
        <n v="334310"/>
        <n v="444210"/>
        <n v="541380"/>
        <n v="451120"/>
        <n v="442291"/>
        <n v="448210"/>
        <n v="561320"/>
        <n v="454110"/>
        <n v="541810"/>
        <n v="442299"/>
        <n v="541715"/>
        <n v="448190"/>
        <n v="531110"/>
        <n v="238310"/>
        <n v="551114"/>
        <n v="541618"/>
        <n v="484210"/>
        <n v="541990"/>
        <n v="541611"/>
        <n v="237110"/>
        <n v="325413"/>
        <n v="511210"/>
        <n v="811198"/>
        <n v="424320"/>
        <n v="811112"/>
        <n v="443142"/>
        <n v="424330"/>
        <n v="112320"/>
        <n v="541219"/>
        <n v="722211" u="1"/>
        <n v="721111" u="1"/>
        <n v="722110" u="1"/>
      </sharedItems>
    </cacheField>
    <cacheField name="Adjust" numFmtId="0">
      <sharedItems containsBlank="1"/>
    </cacheField>
    <cacheField name="Net_Cap" numFmtId="0">
      <sharedItems containsBlank="1"/>
    </cacheField>
    <cacheField name="Net_Flr" numFmtId="0">
      <sharedItems containsBlank="1"/>
    </cacheField>
    <cacheField name="Gross Rate" numFmtId="173">
      <sharedItems containsSemiMixedTypes="0" containsString="0" containsNumber="1" minValue="0.5" maxValue="6" count="23">
        <n v="2.5"/>
        <n v="2.75"/>
        <n v="2.25"/>
        <n v="2"/>
        <n v="1.75"/>
        <n v="1.5"/>
        <n v="1.25"/>
        <n v="1"/>
        <n v="0.75"/>
        <n v="3.25"/>
        <n v="0.9"/>
        <n v="2.15"/>
        <n v="6"/>
        <n v="4.75"/>
        <n v="4"/>
        <n v="3.75"/>
        <n v="4.5"/>
        <n v="5"/>
        <n v="1.74"/>
        <n v="2.99"/>
        <n v="5.375"/>
        <n v="0.5"/>
        <n v="1.7500000000000002"/>
      </sharedItems>
      <fieldGroup base="22">
        <rangePr autoStart="0" autoEnd="0" startNum="1" endNum="2.75" groupInterval="0.25"/>
        <groupItems count="9">
          <s v="&lt;1"/>
          <s v="1-1.25"/>
          <s v="1.25-1.5"/>
          <s v="1.5-1.75"/>
          <s v="1.75-2"/>
          <s v="2-2.25"/>
          <s v="2.25-2.5"/>
          <s v="2.5-2.75"/>
          <s v="&gt;2.75"/>
        </groupItems>
      </fieldGroup>
    </cacheField>
    <cacheField name="Prepayment Penalty " numFmtId="10">
      <sharedItems containsSemiMixedTypes="0" containsString="0" containsNumber="1" minValue="0" maxValue="0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gkys Alizoti" refreshedDate="44748.695123611113" createdVersion="8" refreshedVersion="8" minRefreshableVersion="3" recordCount="64" xr:uid="{E9CCC422-E2C1-4F33-A29F-993505B27257}">
  <cacheSource type="worksheet">
    <worksheetSource ref="R13" sheet="Loan Tape"/>
  </cacheSource>
  <cacheFields count="25">
    <cacheField name="GP#" numFmtId="0">
      <sharedItems containsSemiMixedTypes="0" containsString="0" containsNumber="1" containsInteger="1" minValue="1347879102" maxValue="4139219102"/>
    </cacheField>
    <cacheField name="Borrower Name" numFmtId="0">
      <sharedItems/>
    </cacheField>
    <cacheField name="City" numFmtId="0">
      <sharedItems/>
    </cacheField>
    <cacheField name="State" numFmtId="167">
      <sharedItems/>
    </cacheField>
    <cacheField name="SIC /_x000a_NAICS" numFmtId="0">
      <sharedItems containsSemiMixedTypes="0" containsString="0" containsNumber="1" containsInteger="1" minValue="238210" maxValue="812990"/>
    </cacheField>
    <cacheField name="ADJ" numFmtId="0">
      <sharedItems/>
    </cacheField>
    <cacheField name="Accrual" numFmtId="0">
      <sharedItems/>
    </cacheField>
    <cacheField name="Note_x000a_ Date" numFmtId="14">
      <sharedItems containsSemiMixedTypes="0" containsNonDate="0" containsDate="1" containsString="0" minDate="2021-08-16T00:00:00" maxDate="2022-06-28T00:00:00"/>
    </cacheField>
    <cacheField name="Note _x000a_Maturity" numFmtId="14">
      <sharedItems containsSemiMixedTypes="0" containsNonDate="0" containsDate="1" containsString="0" minDate="2032-03-07T00:00:00" maxDate="2047-07-01T00:00:00"/>
    </cacheField>
    <cacheField name="Int. Paid to Date" numFmtId="14">
      <sharedItems containsSemiMixedTypes="0" containsNonDate="0" containsDate="1" containsString="0" minDate="2022-06-30T00:00:00" maxDate="2022-07-01T00:00:00"/>
    </cacheField>
    <cacheField name="Loan Spread" numFmtId="10">
      <sharedItems containsSemiMixedTypes="0" containsString="0" containsNumber="1" minValue="7.4999999999999997E-3" maxValue="2.75E-2"/>
    </cacheField>
    <cacheField name="Loan Rate" numFmtId="10">
      <sharedItems containsSemiMixedTypes="0" containsString="0" containsNumber="1" minValue="5.5E-2" maxValue="7.4999999999999997E-2"/>
    </cacheField>
    <cacheField name="Strip _x000a_Rate" numFmtId="168">
      <sharedItems containsSemiMixedTypes="0" containsString="0" containsNumber="1" minValue="1.3650000000000001E-2" maxValue="3.9550000000000002E-2"/>
    </cacheField>
    <cacheField name="Original Balance" numFmtId="43">
      <sharedItems containsSemiMixedTypes="0" containsString="0" containsNumber="1" minValue="93500" maxValue="3750000"/>
    </cacheField>
    <cacheField name="Current Balance" numFmtId="43">
      <sharedItems containsSemiMixedTypes="0" containsString="0" containsNumber="1" minValue="93500" maxValue="3750000"/>
    </cacheField>
    <cacheField name="Multiple " numFmtId="43">
      <sharedItems containsSemiMixedTypes="0" containsString="0" containsNumber="1" minValue="2.75" maxValue="3.95"/>
    </cacheField>
    <cacheField name="Proceeds " numFmtId="43">
      <sharedItems containsSemiMixedTypes="0" containsString="0" containsNumber="1" minValue="5904.5249999999996" maxValue="239260.77185850003"/>
    </cacheField>
    <cacheField name="Term" numFmtId="1">
      <sharedItems containsSemiMixedTypes="0" containsString="0" containsNumber="1" containsInteger="1" minValue="120" maxValue="300"/>
    </cacheField>
    <cacheField name="Age" numFmtId="169">
      <sharedItems containsSemiMixedTypes="0" containsString="0" containsNumber="1" minValue="9.8630136986301353E-2" maxValue="10.454794520547946"/>
    </cacheField>
    <cacheField name="Rmos" numFmtId="1">
      <sharedItems containsSemiMixedTypes="0" containsString="0" containsNumber="1" minValue="116.21917808219177" maxValue="299.90136986301371"/>
    </cacheField>
    <cacheField name="Industry" numFmtId="0">
      <sharedItems/>
    </cacheField>
    <cacheField name="Prepayment Penalty " numFmtId="10">
      <sharedItems containsSemiMixedTypes="0" containsString="0" containsNumber="1" minValue="0" maxValue="0.05"/>
    </cacheField>
    <cacheField name="Term Bucket " numFmtId="0">
      <sharedItems containsSemiMixedTypes="0" containsString="0" containsNumber="1" containsInteger="1" minValue="2" maxValue="5" count="3">
        <n v="5"/>
        <n v="4"/>
        <n v="2"/>
      </sharedItems>
    </cacheField>
    <cacheField name="Industry Bucket " numFmtId="0">
      <sharedItems containsSemiMixedTypes="0" containsString="0" containsNumber="1" containsInteger="1" minValue="0" maxValue="1" count="2">
        <n v="0"/>
        <n v="1"/>
      </sharedItems>
    </cacheField>
    <cacheField name="Lender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kys Alizoti" refreshedDate="44924.449728703701" createdVersion="8" refreshedVersion="8" minRefreshableVersion="3" recordCount="184" xr:uid="{A82F9B2C-BCC0-4E4A-B1C8-F8F2F6C86ACF}">
  <cacheSource type="worksheet">
    <worksheetSource ref="A13:AC132" sheet="Loan Tape"/>
  </cacheSource>
  <cacheFields count="29">
    <cacheField name="Pck / Deal" numFmtId="0">
      <sharedItems/>
    </cacheField>
    <cacheField name="GP#" numFmtId="0">
      <sharedItems containsSemiMixedTypes="0" containsString="0" containsNumber="1" containsInteger="1" minValue="1011189103" maxValue="9963979010"/>
    </cacheField>
    <cacheField name="Days " numFmtId="0">
      <sharedItems containsString="0" containsBlank="1" containsNumber="1" containsInteger="1" minValue="442" maxValue="902"/>
    </cacheField>
    <cacheField name="Category " numFmtId="0">
      <sharedItems containsString="0" containsBlank="1" containsNumber="1" containsInteger="1" minValue="1" maxValue="3"/>
    </cacheField>
    <cacheField name="Borrower Name" numFmtId="0">
      <sharedItems/>
    </cacheField>
    <cacheField name="City" numFmtId="0">
      <sharedItems/>
    </cacheField>
    <cacheField name="State" numFmtId="0">
      <sharedItems count="33">
        <s v="CA"/>
        <s v="TX"/>
        <s v="GA"/>
        <s v="NJ"/>
        <s v="FL"/>
        <s v="MO"/>
        <s v="WI"/>
        <s v="MI"/>
        <s v="NM"/>
        <s v="OR"/>
        <s v="OH"/>
        <s v="AZ"/>
        <s v="TN"/>
        <s v="UT"/>
        <s v="WA"/>
        <s v="AL"/>
        <s v="NY"/>
        <s v="IL"/>
        <s v="VA"/>
        <s v="MD"/>
        <s v="OK"/>
        <s v="CO"/>
        <s v="IN"/>
        <s v="MS"/>
        <s v="PA"/>
        <s v="ME"/>
        <s v="NC"/>
        <s v="NV"/>
        <s v="SC"/>
        <s v="CT"/>
        <s v="ID"/>
        <s v="LA"/>
        <s v="DC"/>
      </sharedItems>
    </cacheField>
    <cacheField name="SIC /_x000a_NAICS" numFmtId="0">
      <sharedItems containsMixedTypes="1" containsNumber="1" containsInteger="1" minValue="112390" maxValue="812910"/>
    </cacheField>
    <cacheField name="ADJ" numFmtId="0">
      <sharedItems/>
    </cacheField>
    <cacheField name="Accrual" numFmtId="0">
      <sharedItems/>
    </cacheField>
    <cacheField name="Note_x000a_ Date" numFmtId="14">
      <sharedItems containsSemiMixedTypes="0" containsNonDate="0" containsDate="1" containsString="0" minDate="2021-03-12T00:00:00" maxDate="2022-11-03T00:00:00"/>
    </cacheField>
    <cacheField name="Note _x000a_Maturity" numFmtId="14">
      <sharedItems containsSemiMixedTypes="0" containsNonDate="0" containsDate="1" containsString="0" minDate="2031-08-11T00:00:00" maxDate="2048-08-26T00:00:00"/>
    </cacheField>
    <cacheField name="Int. Paid to Date" numFmtId="14">
      <sharedItems containsSemiMixedTypes="0" containsNonDate="0" containsDate="1" containsString="0" minDate="2023-01-01T00:00:00" maxDate="2023-01-02T00:00:00"/>
    </cacheField>
    <cacheField name="Loan Spread" numFmtId="10">
      <sharedItems containsSemiMixedTypes="0" containsString="0" containsNumber="1" minValue="5.0000000000000001E-3" maxValue="0.03"/>
    </cacheField>
    <cacheField name="Loan Rate" numFmtId="10">
      <sharedItems containsSemiMixedTypes="0" containsString="0" containsNumber="1" minValue="0.08" maxValue="0.105"/>
    </cacheField>
    <cacheField name="Strip _x000a_Rate" numFmtId="168">
      <sharedItems containsSemiMixedTypes="0" containsString="0" containsNumber="1" minValue="2.8999999999999998E-3" maxValue="4.4050000000000006E-2"/>
    </cacheField>
    <cacheField name="Original Balance" numFmtId="0">
      <sharedItems containsSemiMixedTypes="0" containsString="0" containsNumber="1" minValue="45475" maxValue="3744613.98"/>
    </cacheField>
    <cacheField name="Current Balance" numFmtId="0">
      <sharedItems containsSemiMixedTypes="0" containsString="0" containsNumber="1" minValue="45475" maxValue="3744613.98"/>
    </cacheField>
    <cacheField name="Multiple" numFmtId="43">
      <sharedItems containsSemiMixedTypes="0" containsString="0" containsNumber="1" minValue="3.2748311069733056" maxValue="3.2748311069733056"/>
    </cacheField>
    <cacheField name="Proceeds " numFmtId="43">
      <sharedItems containsSemiMixedTypes="0" containsString="0" containsNumber="1" minValue="2643.6115046430846" maxValue="469178.03801602143"/>
    </cacheField>
    <cacheField name="Term" numFmtId="1">
      <sharedItems containsSemiMixedTypes="0" containsString="0" containsNumber="1" containsInteger="1" minValue="119" maxValue="312"/>
    </cacheField>
    <cacheField name="Age" numFmtId="169">
      <sharedItems containsSemiMixedTypes="0" containsString="0" containsNumber="1" minValue="1.9726027397260273" maxValue="21.698630136986299"/>
    </cacheField>
    <cacheField name="Rmos" numFmtId="1">
      <sharedItems containsSemiMixedTypes="0" containsString="0" containsNumber="1" minValue="103.2986301369863" maxValue="307.75890410958903"/>
    </cacheField>
    <cacheField name="Industry" numFmtId="0">
      <sharedItems count="92">
        <s v="Interior Design Services"/>
        <s v="Commercial and Institutional Building Construction"/>
        <s v="Other Personal Care Services"/>
        <s v="Fitness and Recreational Sports Centers"/>
        <s v="Child Day Care Services"/>
        <s v="Hotels (except Casino Hotels) and Motels"/>
        <s v="Offices of Dentists"/>
        <s v="Gasoline Stations with Convenience Stores"/>
        <s v="Offices of Chiropractors"/>
        <s v="Other Personal and Household Goods Repair and Maintenance"/>
        <s v="General Automotive Repair"/>
        <s v="Unknown"/>
        <s v="Other Poultry Production"/>
        <s v="Limited-Service Restaurants"/>
        <s v="Motion Picture and Video Production"/>
        <s v="Site Preparation Contractors"/>
        <s v="Other Gasoline Stations"/>
        <s v="All Other Amusement and Recreation Industries"/>
        <s v="Tire Dealers"/>
        <s v="All Other Miscellaneous Schools and Instruction"/>
        <s v="Insurance Agencies and Brokerages"/>
        <s v="Car Washes"/>
        <s v="Concrete Block and Brick Manufacturing"/>
        <s v="Offices of All Other Miscellaneous Health Practitioners"/>
        <s v="Automotive Oil Change and Lubrication Shops"/>
        <s v="Used Car Dealers"/>
        <s v="Electronic Shopping and Mail-Order Houses"/>
        <s v="Full-Service Restaurants"/>
        <s v="Offices of Physical, Occupational and Speech Therapists, and Audiologists"/>
        <s v="Offices of Lawyers"/>
        <s v="Supermarkets and Other Grocery (except Convenience) Stores"/>
        <s v="Other Direct Selling Establishments"/>
        <s v="Landscaping Services"/>
        <s v="Pet Care (except Veterinary) Services"/>
        <s v="Drycleaning and Laundry Services (except Coin-Operated)"/>
        <s v="Offices of Physicians (except Mental Health Specialists)"/>
        <s v="Offices of Real Estate Appraisers"/>
        <s v="Other Management Consulting Services"/>
        <s v="Beer, Wine, and Liquor Stores"/>
        <s v="Retail Bakeries"/>
        <s v="Amusement and Theme Parks"/>
        <s v="Jewelry Stores"/>
        <s v="Plumbing, Heating, and Air-Conditioning Contractors"/>
        <s v="Cosmetics, Beauty Supplies, and Perfume Stores"/>
        <s v="Women's, Children's, and Infants' Clothing and Accessories Merchant Wholesalers"/>
        <s v="Remediation Services"/>
        <s v="Other Accounting Services"/>
        <s v="RV (Recreational Vehicle) Parks and Campgrounds"/>
        <s v="Electrical Contractors and Other Wiring Installation Contractors"/>
        <s v="Electrical Apparatus and Equipment, Wiring Supplies, and Related Equipment Merchant Wholesalers"/>
        <s v="Convenience Stores"/>
        <s v="Coin-Operated Laundries and Drycleaners"/>
        <s v="All Other General Merchandise Stores"/>
        <s v="Food Service Contractors"/>
        <s v="Outdoor Power Equipment Stores"/>
        <s v="Sports and Recreation Instruction"/>
        <s v="Snack and Nonalcoholic Beverage Bars"/>
        <s v="Caterers"/>
        <s v="Assisted Living Facilities for the Elderly"/>
        <s v="Architectural Services"/>
        <s v="Meat Processed from Carcasses"/>
        <s v="Miscellaneous Intermediation"/>
        <s v="Lessors of Miniwarehouses and Self-Storage Units"/>
        <s v="Carpet and Upholstery Cleaning Services"/>
        <s v="Sporting and Recreational Goods and Supplies Merchant Wholesalers"/>
        <s v="Upholstered Household Furniture Manufacturing"/>
        <s v="Painting and Wall Covering Contractors"/>
        <s v="Other Technical and Trade Schools"/>
        <s v="Other Scientific and Technical Consulting Services"/>
        <s v="Drinking Places (Alcoholic Beverages)"/>
        <s v="All Other Miscellaneous Store Retailers (except Tobacco Stores)"/>
        <s v="Cemeteries and Crematories"/>
        <s v="Marketing Consulting Services"/>
        <s v="Offices of Certified Public Accountants"/>
        <s v="Mobile Food Services"/>
        <s v="New Multifamily Housing Construction (except For-Sale Builders)"/>
        <s v="Wholesale Trade Agents and Brokers"/>
        <s v="General Freight Trucking, Local"/>
        <s v="Other Computer Related Services"/>
        <s v="Recreational Goods Rental"/>
        <s v="Residential Property Managers"/>
        <s v="Fine Arts Schools"/>
        <s v="Services for the Elderly and Persons with Disabilities"/>
        <s v="Apparel Accessories and Other Apparel Manufacturing"/>
        <s v="Beauty Salons"/>
        <s v="Women's Clothing Stores"/>
        <s v="Other Chemical and Allied Products Merchant Wholesalers"/>
        <s v="General Freight Trucking, Long-Distance, Truckload"/>
        <s v="Motor Vehicle Towing"/>
        <s v="Residential Remodelers"/>
        <s v="Nursery, Garden Center, and Farm Supply Stores"/>
        <s v="Commercial Bakeries"/>
      </sharedItems>
    </cacheField>
    <cacheField name="Prepayment Penalty " numFmtId="10">
      <sharedItems containsSemiMixedTypes="0" containsString="0" containsNumber="1" minValue="0" maxValue="0.05"/>
    </cacheField>
    <cacheField name="Term Bucket " numFmtId="0">
      <sharedItems containsSemiMixedTypes="0" containsString="0" containsNumber="1" containsInteger="1" minValue="2" maxValue="5"/>
    </cacheField>
    <cacheField name="Industry Bucket " numFmtId="0">
      <sharedItems containsString="0" containsBlank="1" containsNumber="1" containsInteger="1" minValue="0" maxValue="1"/>
    </cacheField>
    <cacheField name="Lender " numFmtId="0">
      <sharedItems count="64">
        <s v="SUMMIT STATE BANK"/>
        <s v="AMERICAN CONTINENTAL BANK"/>
        <s v="WILMINGTON SAVINGS FUND SOCIETY, FS"/>
        <s v="NEWBANK"/>
        <s v="AMERICAN MOMENTUM BANK"/>
        <s v="UNITED MIDWEST SAVINGS BANK"/>
        <s v="OPEN BANK"/>
        <s v="OAKSTAR BANK"/>
        <s v="BANK FIVE NINE"/>
        <s v="CITIZENS BANK"/>
        <s v="CBB BANK"/>
        <s v="NEWTEK SMALL BUSINESS FINANCE LLC"/>
        <s v="HUNTINGTON NATIONAL BANK"/>
        <s v="LIVE OAK BANKING COMPANY"/>
        <s v="BANK OF HOPE"/>
        <s v="THE PROVIDENT BANK"/>
        <s v="HERITAGE SOUTHEAST BANK"/>
        <s v="MERCHANTS BANK OF INDIANA"/>
        <s v="FIRST BANK"/>
        <s v="FIRST UTAH BANK"/>
        <s v="READYCAP LENDING LLC"/>
        <s v="UNITED COMMUNITY BANK INC"/>
        <s v="BELGRADE STATE BANK"/>
        <s v="MISSION VALLEY BANK"/>
        <s v="FINWISE BANK"/>
        <s v="SOUTHPOINT BANK"/>
        <s v="REPUBLIC BANK"/>
        <s v="GULF COAST BANK AND TRUST COMPANY"/>
        <s v="CADENCE BANK, N.A."/>
        <s v="BUSEY BANK"/>
        <s v="HANMI BANK"/>
        <s v="BLUE RIDGE BANK NA"/>
        <s v="PINNACLE BANK"/>
        <s v="PROMISEONE BANK"/>
        <s v="B1BANK"/>
        <s v="UNITED BUSINESS BANK, FSB"/>
        <s v="FIRST INTERNET BANK OF INDIANA"/>
        <s v="KEYBANK N.A."/>
        <s v="NEW MILLENIUM BANK"/>
        <s v="CENTERSTATE BANK, N.A."/>
        <s v="BANK OF GEORGE"/>
        <s v="HARVEST SMALL BUSINESS FINANCE. LLC"/>
        <s v="FIRST SAVINGS BANK FSB"/>
        <s v="FIRST INTERCONTINENTAL BANK"/>
        <s v="VELOCITYSBA, LLC"/>
        <s v="UMPQUA BANK"/>
        <s v="CAPITAL COMMUNITY BANK"/>
        <s v="FIRST COMMONWEALTH BANK"/>
        <s v="PLUMAS BANK"/>
        <s v="MIDWEST REGIONAL BANK"/>
        <s v="WESTERN STATE BANK"/>
        <s v="VININGS BANK"/>
        <s v="FREMONT BANK"/>
        <s v="USAMERIBANK"/>
        <s v="PARAGON BANK"/>
        <s v="AMERICAN BANK AND TRUST COMPANY"/>
        <s v="PEAPACK-GLADSTONE BANK"/>
        <s v="PARADISE BANK"/>
        <s v="NORTHWEST BANK"/>
        <s v="GRASSHOPPER BANK"/>
        <s v="BERKSHIRE BANK"/>
        <s v="DOGWOOD STATE BANK"/>
        <s v="METRO CITY BANK"/>
        <s v="THE PIEDMONT BANK"/>
      </sharedItems>
    </cacheField>
    <cacheField name="Prepayment Noti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9">
  <r>
    <n v="306747.11"/>
    <n v="9343515005"/>
    <s v="Actual"/>
    <s v="Long Maturity"/>
    <n v="402"/>
    <x v="0"/>
    <n v="2666579.38"/>
    <x v="0"/>
    <d v="2017-03-31T00:00:00"/>
    <n v="41.095890410958901"/>
    <d v="2043-03-15T00:00:00"/>
    <n v="312"/>
    <n v="267"/>
    <d v="2020-09-01T00:00:00"/>
    <s v="Tutelage Holdings, LLC and Zoomba, LLC dba The Goddard School"/>
    <s v="Sugar Land, TX 77479"/>
    <n v="77479"/>
    <x v="0"/>
    <x v="0"/>
    <s v="Q"/>
    <s v=""/>
    <s v=""/>
    <x v="0"/>
    <n v="0"/>
    <s v="First Chatham Bank"/>
    <s v="Child Day Care Services"/>
  </r>
  <r>
    <n v="309139.11"/>
    <n v="8521345001"/>
    <s v="Actual"/>
    <s v="Long Maturity"/>
    <n v="402"/>
    <x v="1"/>
    <n v="724078.12"/>
    <x v="1"/>
    <d v="2017-02-06T00:00:00"/>
    <n v="42.838356164383562"/>
    <d v="2042-03-15T00:00:00"/>
    <n v="301"/>
    <n v="255"/>
    <d v="2020-10-15T00:00:00"/>
    <s v="BNBSOCCER LLC dba Fast 5 Soccer"/>
    <s v="Largo, FL 33771"/>
    <n v="33771"/>
    <x v="1"/>
    <x v="1"/>
    <s v="Q"/>
    <s v=""/>
    <s v=""/>
    <x v="0"/>
    <n v="0"/>
    <s v="Valley National Bank"/>
    <s v="Fitness and Recreational Sports Centers"/>
  </r>
  <r>
    <n v="310284.11"/>
    <n v="4126027004"/>
    <s v="Actual"/>
    <s v="Long Maturity"/>
    <n v="402"/>
    <x v="2"/>
    <n v="1853339.01"/>
    <x v="2"/>
    <d v="2019-12-20T00:00:00"/>
    <n v="8.3666666666666671"/>
    <d v="2045-01-15T00:00:00"/>
    <n v="301"/>
    <n v="289"/>
    <d v="2020-09-01T00:00:00"/>
    <s v="Macon Arts Center LLC"/>
    <s v="Macon, GA 31206"/>
    <n v="31206"/>
    <x v="2"/>
    <x v="2"/>
    <s v="Q"/>
    <s v=""/>
    <s v=""/>
    <x v="1"/>
    <n v="0.05"/>
    <s v="Newtek Small Business Finance, Inc."/>
    <s v="Drinking Places (Alcoholic Beverages)"/>
  </r>
  <r>
    <n v="310737.11"/>
    <n v="4032217001"/>
    <s v="Actual"/>
    <s v="Long Maturity"/>
    <n v="402"/>
    <x v="3"/>
    <n v="369795.79"/>
    <x v="3"/>
    <d v="2019-10-31T00:00:00"/>
    <n v="11.333333333333332"/>
    <d v="2044-11-15T00:00:00"/>
    <n v="301"/>
    <n v="287"/>
    <d v="2020-11-20T00:00:00"/>
    <s v="Mariscos El Oceano, Inc."/>
    <s v="Chicago, IL 60638"/>
    <n v="60638"/>
    <x v="3"/>
    <x v="3"/>
    <s v="Q"/>
    <s v=""/>
    <s v=""/>
    <x v="1"/>
    <n v="0.05"/>
    <s v="Newtek Small Business Finance, Inc."/>
    <s v="Full-Service Restaurants"/>
  </r>
  <r>
    <n v="311171.11"/>
    <n v="3931827006"/>
    <s v="Actual"/>
    <s v="Long Maturity"/>
    <n v="402"/>
    <x v="4"/>
    <n v="1010965.36"/>
    <x v="4"/>
    <d v="2019-10-18T00:00:00"/>
    <n v="10.433333333333334"/>
    <d v="2045-04-15T00:00:00"/>
    <n v="306"/>
    <n v="292"/>
    <d v="2020-09-01T00:00:00"/>
    <s v="BROPOD LLC (EPC) &amp; FitClub, LLC (OC)"/>
    <s v="Monson, MA 01057"/>
    <n v="1057"/>
    <x v="4"/>
    <x v="1"/>
    <s v="Q"/>
    <s v=""/>
    <s v=""/>
    <x v="2"/>
    <n v="0.05"/>
    <s v="Berkshire Bank"/>
    <s v="Fitness and Recreational Sports Centers"/>
  </r>
  <r>
    <n v="310773.11"/>
    <n v="3991307005"/>
    <s v="Actual"/>
    <s v="Long Maturity"/>
    <n v="402"/>
    <x v="5"/>
    <n v="435414.42"/>
    <x v="5"/>
    <d v="2019-09-27T00:00:00"/>
    <n v="14.700000000000001"/>
    <d v="2044-10-15T00:00:00"/>
    <n v="301"/>
    <n v="286"/>
    <d v="2020-12-18T00:00:00"/>
    <s v="WestCoast of Florida Mgmt LLC DBA Snack  Food Mart"/>
    <s v="North Fort Myers, FL 33903"/>
    <n v="33903"/>
    <x v="1"/>
    <x v="4"/>
    <s v="Q"/>
    <s v=""/>
    <s v=""/>
    <x v="3"/>
    <n v="0.03"/>
    <s v="Cadence Bank"/>
    <s v="Gasoline Stations with Convenience Stores"/>
  </r>
  <r>
    <n v="308778.11"/>
    <n v="3764797001"/>
    <s v="Actual"/>
    <s v="Long Maturity"/>
    <n v="402"/>
    <x v="6"/>
    <n v="246099.78"/>
    <x v="6"/>
    <d v="2019-06-04T00:00:00"/>
    <n v="15"/>
    <d v="2044-07-15T00:00:00"/>
    <n v="301"/>
    <n v="283"/>
    <d v="2020-10-16T00:00:00"/>
    <s v="R&amp;D Precision, LLC"/>
    <s v="Lake Havasu City, AZ 86403"/>
    <n v="86403"/>
    <x v="5"/>
    <x v="5"/>
    <s v="Q"/>
    <s v=""/>
    <s v=""/>
    <x v="3"/>
    <n v="0.03"/>
    <s v="Horizon Community Bank"/>
    <s v="Precision Turned Product Manufacturing"/>
  </r>
  <r>
    <n v="304368.11"/>
    <n v="8677745010"/>
    <s v="Actual"/>
    <s v="Long Maturity"/>
    <n v="402"/>
    <x v="7"/>
    <n v="923684.48"/>
    <x v="7"/>
    <d v="2016-08-26T00:00:00"/>
    <n v="48.361643835616441"/>
    <d v="2042-09-15T00:00:00"/>
    <n v="313"/>
    <n v="261"/>
    <d v="2020-10-21T00:00:00"/>
    <s v="All Needz Dental"/>
    <s v="Kountze, TX 77625"/>
    <n v="77625"/>
    <x v="0"/>
    <x v="6"/>
    <s v="Q"/>
    <s v=""/>
    <s v=""/>
    <x v="4"/>
    <n v="0"/>
    <s v="Live Oak Banking Co."/>
    <s v="Offices of Dentists"/>
  </r>
  <r>
    <n v="305196.11"/>
    <n v="9677055009"/>
    <s v="Actual"/>
    <s v="Long Maturity"/>
    <n v="402"/>
    <x v="8"/>
    <n v="3330338.2"/>
    <x v="8"/>
    <d v="2017-08-28T00:00:00"/>
    <n v="36.295890410958904"/>
    <d v="2042-09-15T00:00:00"/>
    <n v="301"/>
    <n v="261"/>
    <d v="2020-10-22T00:00:00"/>
    <s v="Primrose School of South Charlotte"/>
    <s v="Matthews, NC 28104"/>
    <n v="28104"/>
    <x v="6"/>
    <x v="0"/>
    <s v="Q"/>
    <s v=""/>
    <s v=""/>
    <x v="5"/>
    <n v="0"/>
    <s v="Live Oak Banking Co."/>
    <s v="Child Day Care Services"/>
  </r>
  <r>
    <n v="305879.11"/>
    <n v="9371905001"/>
    <s v="Actual"/>
    <s v="Long Maturity"/>
    <n v="402"/>
    <x v="9"/>
    <n v="726138.21"/>
    <x v="9"/>
    <d v="2017-04-20T00:00:00"/>
    <n v="40.56986301369863"/>
    <d v="2043-05-15T00:00:00"/>
    <n v="313"/>
    <n v="269"/>
    <d v="2020-10-19T00:00:00"/>
    <s v="Cherokee Storage"/>
    <s v="Independence, KY 41051"/>
    <n v="41051"/>
    <x v="7"/>
    <x v="7"/>
    <s v="Q"/>
    <s v=""/>
    <s v=""/>
    <x v="3"/>
    <n v="0"/>
    <s v="Live Oak Banking Co."/>
    <s v="Lessors of Miniwarehouses and Self-Storage Units"/>
  </r>
  <r>
    <n v="308915.11"/>
    <n v="2949607003"/>
    <s v="Actual"/>
    <s v="Long Maturity"/>
    <n v="402"/>
    <x v="10"/>
    <n v="749164.5"/>
    <x v="10"/>
    <d v="2018-09-21T00:00:00"/>
    <n v="23.506849315068493"/>
    <d v="2043-10-15T00:00:00"/>
    <n v="301"/>
    <n v="274"/>
    <d v="2020-09-05T00:00:00"/>
    <s v="National Realty Holdings LLC"/>
    <s v="Dearborn, MI 48126"/>
    <n v="48126"/>
    <x v="8"/>
    <x v="8"/>
    <s v="Q"/>
    <s v=""/>
    <s v=""/>
    <x v="1"/>
    <n v="0.03"/>
    <s v="The Huntington National Bank"/>
    <s v="General Automotive Repair"/>
  </r>
  <r>
    <n v="309548.11"/>
    <n v="2522477002"/>
    <s v="Actual"/>
    <s v="Long Maturity"/>
    <n v="402"/>
    <x v="11"/>
    <n v="958843.86"/>
    <x v="11"/>
    <d v="2019-03-27T00:00:00"/>
    <n v="17.358904109589041"/>
    <d v="2044-09-15T00:00:00"/>
    <n v="306"/>
    <n v="285"/>
    <d v="2020-10-16T00:00:00"/>
    <s v="Emerge Savannah LLC"/>
    <s v="Garden City, GA 31405"/>
    <n v="31405"/>
    <x v="2"/>
    <x v="9"/>
    <s v="Q"/>
    <s v=""/>
    <s v=""/>
    <x v="2"/>
    <n v="0.03"/>
    <s v="Ameris Bank"/>
    <s v="Residential Mental Health and Substance Abuse Facilities"/>
  </r>
  <r>
    <n v="309641.11"/>
    <n v="2957477001"/>
    <s v="Actual"/>
    <s v="Long Maturity"/>
    <n v="402"/>
    <x v="12"/>
    <n v="930480.07"/>
    <x v="5"/>
    <d v="2018-10-03T00:00:00"/>
    <n v="23.112328767123287"/>
    <d v="2044-05-15T00:00:00"/>
    <n v="307"/>
    <n v="281"/>
    <d v="2020-10-17T00:00:00"/>
    <s v="Inside the Lines Sports, LLC"/>
    <s v="Friendswood, TX 77546"/>
    <n v="77546"/>
    <x v="0"/>
    <x v="10"/>
    <s v="Q"/>
    <s v=""/>
    <s v=""/>
    <x v="3"/>
    <n v="0.03"/>
    <s v="Texas Citizens Bank"/>
    <s v="All Other Amusement and Recreation Industries"/>
  </r>
  <r>
    <n v="309750.11"/>
    <n v="3614677005"/>
    <s v="Actual"/>
    <s v="Long Maturity"/>
    <n v="402"/>
    <x v="13"/>
    <n v="624780.97"/>
    <x v="12"/>
    <d v="2019-04-08T00:00:00"/>
    <n v="16.964383561643835"/>
    <d v="2044-05-15T00:00:00"/>
    <n v="301"/>
    <n v="281"/>
    <d v="2020-10-20T00:00:00"/>
    <s v="Old Charlotte Properties LLC"/>
    <s v="Monroe, NC 28110"/>
    <n v="28110"/>
    <x v="6"/>
    <x v="8"/>
    <s v="Q"/>
    <s v=""/>
    <s v=""/>
    <x v="5"/>
    <n v="0.03"/>
    <s v="Live Oak Banking Co."/>
    <s v="General Automotive Repair"/>
  </r>
  <r>
    <n v="309944.11"/>
    <n v="3725647010"/>
    <s v="Actual"/>
    <s v="Long Maturity"/>
    <n v="402"/>
    <x v="14"/>
    <n v="2153785.5699999998"/>
    <x v="13"/>
    <d v="2019-05-30T00:00:00"/>
    <n v="15.254794520547946"/>
    <d v="2044-06-15T00:00:00"/>
    <n v="301"/>
    <n v="282"/>
    <d v="2020-10-20T00:00:00"/>
    <s v="Ryker Ellis Development Inc."/>
    <s v="Matthews, NC 28105"/>
    <n v="28105"/>
    <x v="6"/>
    <x v="0"/>
    <s v="Q"/>
    <s v=""/>
    <s v=""/>
    <x v="5"/>
    <n v="0.03"/>
    <s v="Live Oak Banking Co."/>
    <s v="Child Day Care Services"/>
  </r>
  <r>
    <n v="310780.11"/>
    <n v="3977747001"/>
    <s v="Actual"/>
    <s v="Long Maturity"/>
    <n v="402"/>
    <x v="15"/>
    <n v="734819.88"/>
    <x v="14"/>
    <d v="2019-09-18T00:00:00"/>
    <n v="11.605479452054794"/>
    <d v="2044-10-15T00:00:00"/>
    <n v="301"/>
    <n v="286"/>
    <d v="2020-09-05T00:00:00"/>
    <s v="2700 National LLC"/>
    <s v="Vandalia, OH 45377"/>
    <n v="45377"/>
    <x v="9"/>
    <x v="11"/>
    <s v="Q"/>
    <s v=""/>
    <s v=""/>
    <x v="0"/>
    <n v="0.05"/>
    <s v="The Huntington National Bank"/>
    <s v="All Other Transit and Ground Passenger Transportation"/>
  </r>
  <r>
    <n v="310918.11"/>
    <n v="2151617007"/>
    <s v="Actual"/>
    <s v="Long Maturity"/>
    <n v="402"/>
    <x v="16"/>
    <n v="2751060.3"/>
    <x v="15"/>
    <d v="2018-04-20T00:00:00"/>
    <n v="28.56986301369863"/>
    <d v="2045-05-15T00:00:00"/>
    <n v="325"/>
    <n v="293"/>
    <d v="2020-10-15T00:00:00"/>
    <s v="Carmen M. Villipoto and TMG Adventures Park, Inc."/>
    <s v="Dublin, OH 43016"/>
    <n v="43016"/>
    <x v="9"/>
    <x v="10"/>
    <s v="Q"/>
    <s v=""/>
    <s v=""/>
    <x v="0"/>
    <n v="0.01"/>
    <s v="First Commonwealth Bank"/>
    <s v="All Other Amusement and Recreation Industries"/>
  </r>
  <r>
    <n v="310952.11"/>
    <n v="3784797009"/>
    <s v="Actual"/>
    <s v="Long Maturity"/>
    <n v="402"/>
    <x v="17"/>
    <n v="309330.03999999998"/>
    <x v="4"/>
    <d v="2019-06-25T00:00:00"/>
    <n v="14.399999999999999"/>
    <d v="2035-01-15T00:00:00"/>
    <n v="187"/>
    <n v="169"/>
    <d v="2020-11-01T00:00:00"/>
    <s v="Corralitos Brewing Company LLC"/>
    <s v="Watsonville, CA 95076"/>
    <n v="95076"/>
    <x v="10"/>
    <x v="12"/>
    <s v="Q"/>
    <s v=""/>
    <s v=""/>
    <x v="2"/>
    <n v="0.03"/>
    <s v="Live Oak Banking Co."/>
    <s v="Breweries"/>
  </r>
  <r>
    <n v="310953.11"/>
    <n v="3674537000"/>
    <s v="Actual"/>
    <s v="Long Maturity"/>
    <n v="402"/>
    <x v="18"/>
    <n v="872668.49"/>
    <x v="4"/>
    <d v="2019-05-10T00:00:00"/>
    <n v="15.912328767123288"/>
    <d v="2034-12-15T00:00:00"/>
    <n v="187"/>
    <n v="168"/>
    <d v="2020-09-05T00:00:00"/>
    <s v="North Bowl Lanes"/>
    <s v="North Attleboro, MA 02760"/>
    <n v="2760"/>
    <x v="4"/>
    <x v="13"/>
    <s v="Q"/>
    <s v=""/>
    <s v=""/>
    <x v="2"/>
    <n v="0.03"/>
    <s v="Live Oak Banking Co."/>
    <s v="Bowling Centers"/>
  </r>
  <r>
    <n v="310955.11"/>
    <n v="3546097005"/>
    <s v="Actual"/>
    <s v="Long Maturity"/>
    <n v="402"/>
    <x v="19"/>
    <n v="1035380.74"/>
    <x v="13"/>
    <d v="2019-05-02T00:00:00"/>
    <n v="16.175342465753424"/>
    <d v="2035-02-15T00:00:00"/>
    <n v="189"/>
    <n v="170"/>
    <d v="2020-09-05T00:00:00"/>
    <s v="J&amp;L Eppig Brewing LLC"/>
    <s v="Vista, CA 92081"/>
    <n v="92081"/>
    <x v="10"/>
    <x v="12"/>
    <s v="Q"/>
    <s v=""/>
    <s v=""/>
    <x v="3"/>
    <n v="0.03"/>
    <s v="Live Oak Banking Co."/>
    <s v="Breweries"/>
  </r>
  <r>
    <n v="311045.11"/>
    <n v="2588497000"/>
    <s v="Actual"/>
    <s v="Long Maturity"/>
    <n v="402"/>
    <x v="20"/>
    <n v="333717.09999999998"/>
    <x v="16"/>
    <d v="2018-05-24T00:00:00"/>
    <n v="27.452054794520546"/>
    <d v="2033-06-15T00:00:00"/>
    <n v="181"/>
    <n v="150"/>
    <d v="2020-11-06T00:00:00"/>
    <s v="Hidden River Brewing Company"/>
    <s v="Douglassville, PA 19518"/>
    <n v="19518"/>
    <x v="11"/>
    <x v="12"/>
    <s v="Q"/>
    <s v=""/>
    <s v=""/>
    <x v="2"/>
    <n v="0.01"/>
    <s v="Live Oak Banking Co."/>
    <s v="Breweries"/>
  </r>
  <r>
    <n v="311065.11"/>
    <n v="1049717001"/>
    <s v="Actual"/>
    <s v="Long Maturity"/>
    <n v="402"/>
    <x v="21"/>
    <n v="908478.78"/>
    <x v="16"/>
    <d v="2017-10-26T00:00:00"/>
    <n v="34.356164383561641"/>
    <d v="2033-11-15T00:00:00"/>
    <n v="193"/>
    <n v="155"/>
    <d v="2020-11-04T00:00:00"/>
    <s v="Urban Orchard Cider Company"/>
    <s v="Asheville, NC 28806"/>
    <n v="28806"/>
    <x v="6"/>
    <x v="14"/>
    <s v="Q"/>
    <s v=""/>
    <s v=""/>
    <x v="2"/>
    <n v="0.01"/>
    <s v="Live Oak Banking Co."/>
    <s v="Wineries"/>
  </r>
  <r>
    <n v="311067.11"/>
    <n v="2634187003"/>
    <s v="Actual"/>
    <s v="Long Maturity"/>
    <n v="402"/>
    <x v="22"/>
    <n v="324110.81"/>
    <x v="17"/>
    <d v="2018-06-12T00:00:00"/>
    <n v="26.827397260273976"/>
    <d v="2033-07-15T00:00:00"/>
    <n v="181"/>
    <n v="151"/>
    <d v="2020-11-02T00:00:00"/>
    <s v="Fruition Brewing"/>
    <s v="Santa Cruz, CA 95062"/>
    <n v="95062"/>
    <x v="10"/>
    <x v="12"/>
    <s v="Q"/>
    <s v=""/>
    <s v=""/>
    <x v="1"/>
    <n v="0.01"/>
    <s v="Live Oak Banking Co."/>
    <s v="Breweries"/>
  </r>
  <r>
    <n v="311077.11"/>
    <n v="2694317007"/>
    <s v="Actual"/>
    <s v="Long Maturity"/>
    <n v="402"/>
    <x v="23"/>
    <n v="2289281.8199999998"/>
    <x v="18"/>
    <d v="2018-07-02T00:00:00"/>
    <n v="26.169863013698631"/>
    <d v="2043-08-15T00:00:00"/>
    <n v="301"/>
    <n v="272"/>
    <d v="2020-10-19T00:00:00"/>
    <s v="Ex Novo Brewing LLC"/>
    <s v="Corrales, NM 87048"/>
    <n v="87048"/>
    <x v="12"/>
    <x v="12"/>
    <s v="Q"/>
    <s v=""/>
    <s v=""/>
    <x v="3"/>
    <n v="0.01"/>
    <s v="Live Oak Banking Co."/>
    <s v="Breweries"/>
  </r>
  <r>
    <n v="311123.11"/>
    <n v="4089227005"/>
    <s v="Actual"/>
    <s v="Long Maturity"/>
    <n v="402"/>
    <x v="24"/>
    <n v="2141171.1"/>
    <x v="19"/>
    <d v="2019-11-20T00:00:00"/>
    <n v="9.5342465753424648"/>
    <d v="2044-12-15T00:00:00"/>
    <n v="301"/>
    <n v="288"/>
    <d v="2020-10-20T00:00:00"/>
    <s v="Sweetwater Adult Care, LLC"/>
    <s v="Scottsdale, AZ 85254"/>
    <n v="85254"/>
    <x v="5"/>
    <x v="15"/>
    <s v="Q"/>
    <s v=""/>
    <s v=""/>
    <x v="5"/>
    <n v="0.05"/>
    <s v="Live Oak Banking Co."/>
    <s v="Assisted Living Facilities for the Elderly"/>
  </r>
  <r>
    <n v="310726.11"/>
    <n v="4054677000"/>
    <s v="Actual"/>
    <s v="Long Maturity"/>
    <n v="402"/>
    <x v="25"/>
    <n v="198764.88"/>
    <x v="3"/>
    <d v="2019-11-11T00:00:00"/>
    <n v="9.9945205479452053"/>
    <d v="2044-12-15T00:00:00"/>
    <n v="301"/>
    <n v="288"/>
    <d v="2020-10-19T00:00:00"/>
    <s v="Kinder Korner Daycare Inc."/>
    <s v="Country Club Hills, IL 60478"/>
    <n v="60478"/>
    <x v="3"/>
    <x v="0"/>
    <s v="Q"/>
    <s v=""/>
    <s v=""/>
    <x v="1"/>
    <n v="0.05"/>
    <s v="CRF Small Business Loan Co"/>
    <s v="Child Day Care Services"/>
  </r>
  <r>
    <n v="310834.11"/>
    <n v="4221747006"/>
    <s v="Actual"/>
    <s v="Long Maturity"/>
    <n v="402"/>
    <x v="26"/>
    <n v="574267.73"/>
    <x v="11"/>
    <d v="2020-02-20T00:00:00"/>
    <n v="6.8712328767123285"/>
    <d v="2045-03-15T00:00:00"/>
    <n v="301"/>
    <n v="291"/>
    <d v="2020-09-16T00:00:00"/>
    <s v="Fox River Petro LLC"/>
    <s v="South Elgin, IL 30177"/>
    <n v="30177"/>
    <x v="3"/>
    <x v="4"/>
    <s v="Q"/>
    <s v=""/>
    <s v=""/>
    <x v="1"/>
    <n v="0.05"/>
    <s v="ByLine Bank"/>
    <s v="Gasoline Stations with Convenience Stores"/>
  </r>
  <r>
    <n v="305230.11"/>
    <n v="9519975008"/>
    <s v="Actual"/>
    <s v="Long Maturity"/>
    <n v="402"/>
    <x v="27"/>
    <n v="2498258.87"/>
    <x v="18"/>
    <d v="2017-06-28T00:00:00"/>
    <n v="38.69589041095891"/>
    <d v="2043-01-15T00:00:00"/>
    <n v="307"/>
    <n v="265"/>
    <d v="2020-09-17T00:00:00"/>
    <s v="Maquella Management LLC"/>
    <s v="Chicago, IL 60608"/>
    <n v="60608"/>
    <x v="3"/>
    <x v="16"/>
    <s v="Q"/>
    <s v=""/>
    <s v=""/>
    <x v="1"/>
    <n v="0"/>
    <s v="ByLine Bank"/>
    <s v="Car Washes"/>
  </r>
  <r>
    <n v="311417.11"/>
    <n v="3969347010"/>
    <s v="Actual"/>
    <s v="Long Maturity"/>
    <n v="402"/>
    <x v="28"/>
    <n v="462952.7"/>
    <x v="4"/>
    <d v="2019-09-20T00:00:00"/>
    <n v="12.032876712328768"/>
    <d v="2044-10-15T00:00:00"/>
    <n v="301"/>
    <n v="286"/>
    <d v="2020-09-20T00:00:00"/>
    <s v="813 Sumner LLC / Yee's Sax Corp."/>
    <s v="Tacoma, WA 98403"/>
    <n v="98403"/>
    <x v="13"/>
    <x v="3"/>
    <s v="Q"/>
    <s v=""/>
    <s v=""/>
    <x v="5"/>
    <n v="0.03"/>
    <s v="KeyBank - West"/>
    <s v="Full-Service Restaurants"/>
  </r>
  <r>
    <n v="311611.11"/>
    <n v="1394737803"/>
    <s v="Actual"/>
    <s v="Long Maturity"/>
    <n v="402"/>
    <x v="29"/>
    <n v="540000"/>
    <x v="13"/>
    <d v="2020-06-03T00:00:00"/>
    <n v="3.6333333333333329"/>
    <d v="2045-07-15T00:00:00"/>
    <n v="301"/>
    <n v="295"/>
    <d v="2020-09-22T00:00:00"/>
    <s v="M.L.S. Automotive, LLC"/>
    <s v="Warminster, PA 18974"/>
    <n v="18974"/>
    <x v="11"/>
    <x v="8"/>
    <s v="Q"/>
    <s v=""/>
    <s v=""/>
    <x v="4"/>
    <n v="0.05"/>
    <s v="Quaint Oak Bank"/>
    <s v="General Automotive Repair"/>
  </r>
  <r>
    <n v="309697.11"/>
    <n v="2973467009"/>
    <s v="Actual"/>
    <s v="Long Maturity"/>
    <n v="402"/>
    <x v="30"/>
    <n v="915081.16"/>
    <x v="15"/>
    <d v="2018-12-18T00:00:00"/>
    <n v="21.205479452054796"/>
    <d v="2044-04-15T00:00:00"/>
    <n v="304"/>
    <n v="280"/>
    <d v="2020-11-02T00:00:00"/>
    <s v="Smith + Louise LLC"/>
    <s v="Milwaukee, WI 53222"/>
    <n v="53222"/>
    <x v="14"/>
    <x v="3"/>
    <s v="Q"/>
    <s v=""/>
    <s v=""/>
    <x v="1"/>
    <n v="0.03"/>
    <s v="First Business Bank"/>
    <s v="Full-Service Restaurants"/>
  </r>
  <r>
    <n v="310693.11"/>
    <n v="4174207004"/>
    <s v="Actual"/>
    <s v="Long Maturity"/>
    <n v="402"/>
    <x v="31"/>
    <n v="1700695.64"/>
    <x v="19"/>
    <d v="2020-02-11T00:00:00"/>
    <n v="7.397260273972603"/>
    <d v="2045-03-15T00:00:00"/>
    <n v="301"/>
    <n v="291"/>
    <d v="2020-11-06T00:00:00"/>
    <s v="TTM Capital Resources, LLC &amp; ETM Capital Resources, LLC &amp; Terrence T M"/>
    <s v="Jarrell, TX 76537"/>
    <n v="76537"/>
    <x v="0"/>
    <x v="17"/>
    <s v="Q"/>
    <s v=""/>
    <s v=""/>
    <x v="5"/>
    <n v="0.05"/>
    <s v="Citizens Bank FAO Acclivity Financia"/>
    <s v="Automotive Oil Change and Lubrication Shops"/>
  </r>
  <r>
    <n v="305354.11"/>
    <n v="9542525000"/>
    <s v="Actual"/>
    <s v="Long Maturity"/>
    <n v="402"/>
    <x v="32"/>
    <n v="1790062.66"/>
    <x v="19"/>
    <d v="2017-06-23T00:00:00"/>
    <n v="39.090410958904108"/>
    <d v="2043-07-15T00:00:00"/>
    <n v="313"/>
    <n v="271"/>
    <d v="2020-09-24T00:00:00"/>
    <s v="The Greenhouses Hotel LLC"/>
    <s v="Wallkill, NY 12589"/>
    <n v="12589"/>
    <x v="15"/>
    <x v="18"/>
    <s v="Q"/>
    <s v=""/>
    <s v=""/>
    <x v="3"/>
    <n v="0"/>
    <s v="Celtic Bank"/>
    <s v="Bed-and-Breakfast Inns"/>
  </r>
  <r>
    <n v="309489.11"/>
    <n v="3875697009"/>
    <s v="Actual"/>
    <s v="Long Maturity"/>
    <n v="402"/>
    <x v="33"/>
    <n v="3418180.1"/>
    <x v="19"/>
    <d v="2019-08-01T00:00:00"/>
    <n v="13.80821917808219"/>
    <d v="2044-09-15T00:00:00"/>
    <n v="301"/>
    <n v="285"/>
    <d v="2020-11-10T00:00:00"/>
    <s v="HSB Hotels, LLC dba Clarion Inn Pocatello"/>
    <s v="Pocatello, ID 83201"/>
    <n v="83201"/>
    <x v="16"/>
    <x v="19"/>
    <s v="Q"/>
    <s v=""/>
    <s v=""/>
    <x v="6"/>
    <n v="0.03"/>
    <s v="Royal Business Bank"/>
    <s v="Hotels (except Casino Hotels) and Motels"/>
  </r>
  <r>
    <n v="310160.11"/>
    <n v="4097317008"/>
    <s v="Actual"/>
    <s v="Long Maturity"/>
    <n v="402"/>
    <x v="34"/>
    <n v="3558732.13"/>
    <x v="13"/>
    <d v="2019-11-26T00:00:00"/>
    <n v="11.375342465753425"/>
    <d v="2044-12-15T00:00:00"/>
    <n v="301"/>
    <n v="288"/>
    <d v="2020-11-06T00:00:00"/>
    <s v="Kash Holding Properties, LLC (EPC), Kash Holding Restaurants, LLC,"/>
    <s v="Green Bay, WI 54302"/>
    <n v="54302"/>
    <x v="14"/>
    <x v="3"/>
    <s v="Q"/>
    <s v=""/>
    <s v=""/>
    <x v="4"/>
    <n v="0.05"/>
    <s v="First Bank"/>
    <s v="Full-Service Restaurants"/>
  </r>
  <r>
    <n v="310179.11"/>
    <n v="2833287001"/>
    <s v="Actual"/>
    <s v="Long Maturity"/>
    <n v="402"/>
    <x v="35"/>
    <n v="962471.27"/>
    <x v="18"/>
    <d v="2018-09-06T00:00:00"/>
    <n v="24.624657534246577"/>
    <d v="2044-08-15T00:00:00"/>
    <n v="311"/>
    <n v="284"/>
    <d v="2020-11-08T00:00:00"/>
    <s v="1107 Wallace LLC"/>
    <s v="Delray Beach, FL 33487"/>
    <n v="33487"/>
    <x v="1"/>
    <x v="20"/>
    <s v="Q"/>
    <s v=""/>
    <s v=""/>
    <x v="4"/>
    <n v="0.01"/>
    <s v="Paradise Bank"/>
    <s v="Used Car Dealers"/>
  </r>
  <r>
    <n v="311216.11"/>
    <n v="1846397004"/>
    <s v="Actual"/>
    <s v="Long Maturity"/>
    <n v="402"/>
    <x v="36"/>
    <n v="285483.75"/>
    <x v="20"/>
    <d v="2018-01-24T00:00:00"/>
    <n v="32.021917808219179"/>
    <d v="2033-02-15T00:00:00"/>
    <n v="181"/>
    <n v="146"/>
    <d v="2020-11-29T00:00:00"/>
    <s v="Bholebaba Inc"/>
    <s v="Jacksonville, NC 28546"/>
    <n v="28546"/>
    <x v="6"/>
    <x v="19"/>
    <s v="Q"/>
    <s v=""/>
    <s v=""/>
    <x v="4"/>
    <n v="0.01"/>
    <s v="First Bank"/>
    <s v="Hotels (except Casino Hotels) and Motels"/>
  </r>
  <r>
    <n v="311927.11"/>
    <n v="4035827002"/>
    <s v="Actual"/>
    <s v="Long Maturity"/>
    <n v="402"/>
    <x v="37"/>
    <n v="433373.27"/>
    <x v="4"/>
    <d v="2019-10-23T00:00:00"/>
    <n v="12.854794520547944"/>
    <d v="2039-11-15T00:00:00"/>
    <n v="241"/>
    <n v="227"/>
    <d v="2021-01-01T00:00:00"/>
    <s v="Majack Bag Ventures Inc."/>
    <s v="Bethlehem, PA 18018"/>
    <n v="18018"/>
    <x v="11"/>
    <x v="21"/>
    <s v="Q"/>
    <s v=""/>
    <s v=""/>
    <x v="2"/>
    <n v="0.03"/>
    <s v="Community First Capital Corp"/>
    <s v="Other Activities Related to Real Estate"/>
  </r>
  <r>
    <n v="309470.11"/>
    <n v="3692817005"/>
    <s v="Actual"/>
    <s v="Long Maturity"/>
    <n v="402"/>
    <x v="38"/>
    <n v="2976488.81"/>
    <x v="21"/>
    <d v="2019-05-08T00:00:00"/>
    <n v="16.635616438356166"/>
    <d v="2044-06-15T00:00:00"/>
    <n v="301"/>
    <n v="282"/>
    <d v="2020-11-10T00:00:00"/>
    <s v="Cheers Beers and Wine, Inc dba Osaka Sushi &amp; Grill"/>
    <s v="Addison, TX 75001"/>
    <n v="75001"/>
    <x v="0"/>
    <x v="22"/>
    <s v="Q"/>
    <s v=""/>
    <s v=""/>
    <x v="6"/>
    <n v="0.03"/>
    <s v="MetroCity Bank"/>
    <s v="Limited-Service Restaurants"/>
  </r>
  <r>
    <n v="309472.11"/>
    <n v="3176857010"/>
    <s v="Actual"/>
    <s v="Long Maturity"/>
    <n v="402"/>
    <x v="39"/>
    <n v="1013442.3"/>
    <x v="19"/>
    <d v="2018-11-20T00:00:00"/>
    <n v="22.19178082191781"/>
    <d v="2043-12-15T00:00:00"/>
    <n v="301"/>
    <n v="276"/>
    <d v="2020-11-11T00:00:00"/>
    <s v="DSJW LLC and Cafe Mixx GA LLC"/>
    <s v="Suwanee, GA 30024"/>
    <n v="30024"/>
    <x v="2"/>
    <x v="3"/>
    <s v="Q"/>
    <s v=""/>
    <s v=""/>
    <x v="6"/>
    <n v="0.03"/>
    <s v="MetroCity Bank"/>
    <s v="Full-Service Restaurants"/>
  </r>
  <r>
    <n v="310054.11"/>
    <n v="3790747001"/>
    <s v="Actual"/>
    <s v="Long Maturity"/>
    <n v="402"/>
    <x v="40"/>
    <n v="1276430.42"/>
    <x v="4"/>
    <d v="2019-07-25T00:00:00"/>
    <n v="14.169863013698629"/>
    <d v="2044-08-15T00:00:00"/>
    <n v="301"/>
    <n v="284"/>
    <d v="2020-11-10T00:00:00"/>
    <s v="92 Route 34 LLC"/>
    <s v="Matawan, NJ 07747"/>
    <n v="7747"/>
    <x v="17"/>
    <x v="23"/>
    <s v="Q"/>
    <s v=""/>
    <s v=""/>
    <x v="5"/>
    <n v="0.03"/>
    <s v="MINT National Bank"/>
    <s v="Automotive Mechanical and Electrical Repair and Maintenance"/>
  </r>
  <r>
    <n v="305780.11"/>
    <n v="9633005003"/>
    <s v="Actual"/>
    <s v="Long Maturity"/>
    <n v="402"/>
    <x v="41"/>
    <n v="2169868.61"/>
    <x v="22"/>
    <d v="2017-08-04T00:00:00"/>
    <n v="37.906849315068492"/>
    <d v="2043-06-15T00:00:00"/>
    <n v="310"/>
    <n v="270"/>
    <d v="2020-11-10T00:00:00"/>
    <s v="Doyle Holdings LLC &amp; Tap Rack Bang Indoor Shooting Range"/>
    <s v="Killeen, TX 76549"/>
    <n v="76549"/>
    <x v="0"/>
    <x v="10"/>
    <s v="Q"/>
    <s v=""/>
    <s v=""/>
    <x v="1"/>
    <n v="0"/>
    <s v="Citizens Bank FAO Acclivity Financia"/>
    <s v="All Other Amusement and Recreation Industries"/>
  </r>
  <r>
    <n v="309705.11"/>
    <n v="4015787006"/>
    <s v="Actual"/>
    <s v="Long Maturity"/>
    <n v="402"/>
    <x v="42"/>
    <n v="3093132.76"/>
    <x v="19"/>
    <d v="2019-10-21T00:00:00"/>
    <n v="13.347945205479453"/>
    <d v="2044-11-15T00:00:00"/>
    <n v="301"/>
    <n v="287"/>
    <d v="2020-12-31T00:00:00"/>
    <s v="Classio Hospitality, LLC"/>
    <s v="Greensboro, NC 27407"/>
    <n v="27407"/>
    <x v="6"/>
    <x v="19"/>
    <s v="Q"/>
    <s v=""/>
    <s v=""/>
    <x v="6"/>
    <n v="0.03"/>
    <s v="HomeTrust Bank"/>
    <s v="Hotels (except Casino Hotels) and Motels"/>
  </r>
  <r>
    <n v="309730.11"/>
    <n v="2864077000"/>
    <s v="Actual"/>
    <s v="Long Maturity"/>
    <n v="402"/>
    <x v="43"/>
    <n v="3322934.73"/>
    <x v="13"/>
    <d v="2018-11-16T00:00:00"/>
    <n v="22.566666666666666"/>
    <d v="2044-03-15T00:00:00"/>
    <n v="304"/>
    <n v="279"/>
    <d v="2020-10-14T00:00:00"/>
    <s v="Mountain Laurel Resort Holdings, LLC &amp; The New Mountain Laurel Resort "/>
    <s v="White Haven, PA 18661"/>
    <n v="18661"/>
    <x v="11"/>
    <x v="19"/>
    <s v="Q"/>
    <s v=""/>
    <s v=""/>
    <x v="6"/>
    <n v="0.03"/>
    <s v="Savoy Bank"/>
    <s v="Hotels (except Casino Hotels) and Motels"/>
  </r>
  <r>
    <n v="310761.11"/>
    <n v="3934267010"/>
    <s v="Actual"/>
    <s v="Long Maturity"/>
    <n v="402"/>
    <x v="44"/>
    <n v="435999.18"/>
    <x v="3"/>
    <d v="2019-10-04T00:00:00"/>
    <n v="11.866666666666667"/>
    <d v="2044-11-15T00:00:00"/>
    <n v="301"/>
    <n v="287"/>
    <d v="2020-09-30T00:00:00"/>
    <s v="Bellawood Farm LLC and Bellawood Kennels LLC"/>
    <s v="Newark, DE 17902"/>
    <n v="17902"/>
    <x v="18"/>
    <x v="24"/>
    <s v="Q"/>
    <s v=""/>
    <s v=""/>
    <x v="1"/>
    <n v="0.05"/>
    <s v="Berkshire Bank"/>
    <s v="Pet Care (except Veterinary) Services"/>
  </r>
  <r>
    <n v="308236.11"/>
    <n v="2915267010"/>
    <s v="Actual"/>
    <s v="Long Maturity"/>
    <n v="402"/>
    <x v="45"/>
    <n v="820192.65"/>
    <x v="23"/>
    <d v="2019-03-20T00:00:00"/>
    <n v="20.449315068493153"/>
    <d v="2044-04-15T00:00:00"/>
    <n v="301"/>
    <n v="280"/>
    <d v="2021-01-01T00:00:00"/>
    <s v="Hanin Hawatmeh, D.C."/>
    <s v="La Habra, CA 90631"/>
    <n v="90631"/>
    <x v="10"/>
    <x v="6"/>
    <s v="Q"/>
    <s v=""/>
    <s v=""/>
    <x v="0"/>
    <n v="0.03"/>
    <s v="ReadyCap Lending, LLC"/>
    <s v="Offices of Dentists"/>
  </r>
  <r>
    <n v="308619.11"/>
    <n v="3487537005"/>
    <s v="Actual"/>
    <s v="Long Maturity"/>
    <n v="402"/>
    <x v="46"/>
    <n v="137345.31"/>
    <x v="18"/>
    <d v="2019-02-14T00:00:00"/>
    <n v="21.567123287671233"/>
    <d v="2044-06-15T00:00:00"/>
    <n v="304"/>
    <n v="282"/>
    <d v="2021-01-01T00:00:00"/>
    <s v="Fuse Fabrication, LLC"/>
    <s v="Mulberry, FL 33860"/>
    <n v="33860"/>
    <x v="1"/>
    <x v="25"/>
    <s v="Q"/>
    <s v=""/>
    <s v=""/>
    <x v="3"/>
    <n v="0.03"/>
    <s v="ReadyCap Lending, LLC"/>
    <s v="Machine Shops"/>
  </r>
  <r>
    <n v="308901.11"/>
    <n v="3727227006"/>
    <s v="Actual"/>
    <s v="Long Maturity"/>
    <n v="402"/>
    <x v="47"/>
    <n v="322685.07"/>
    <x v="23"/>
    <d v="2019-06-03T00:00:00"/>
    <n v="17.983561643835614"/>
    <d v="2044-07-15T00:00:00"/>
    <n v="301"/>
    <n v="283"/>
    <d v="2020-12-01T00:00:00"/>
    <s v="Verko, LLC"/>
    <s v="Gaithersburg, MD 20879"/>
    <n v="20879"/>
    <x v="19"/>
    <x v="26"/>
    <s v="Q"/>
    <s v=""/>
    <s v=""/>
    <x v="0"/>
    <n v="0.03"/>
    <s v="M&amp;T Bank"/>
    <s v="Lessors of Nonresidential Buildings (except Miniwarehouses)"/>
  </r>
  <r>
    <n v="309587.11"/>
    <n v="2451537009"/>
    <s v="Actual"/>
    <s v="Long Maturity"/>
    <n v="402"/>
    <x v="48"/>
    <n v="685681.89"/>
    <x v="11"/>
    <d v="2018-06-13T00:00:00"/>
    <n v="29.654794520547945"/>
    <d v="2044-10-15T00:00:00"/>
    <n v="316"/>
    <n v="286"/>
    <d v="2021-01-01T00:00:00"/>
    <s v="Tuxedo Hospitality Corporation "/>
    <s v="Tuxedo, NY 10987"/>
    <n v="10987"/>
    <x v="15"/>
    <x v="22"/>
    <s v="Q"/>
    <s v=""/>
    <s v=""/>
    <x v="2"/>
    <n v="0.01"/>
    <s v="ReadyCap Lending, LLC"/>
    <s v="Limited-Service Restaurants"/>
  </r>
  <r>
    <n v="309633.11"/>
    <n v="9346405002"/>
    <s v="Actual"/>
    <s v="Long Maturity"/>
    <n v="402"/>
    <x v="49"/>
    <n v="362952.31"/>
    <x v="24"/>
    <d v="2017-06-29T00:00:00"/>
    <n v="41.128767123287673"/>
    <d v="2039-09-15T00:00:00"/>
    <n v="267"/>
    <n v="225"/>
    <d v="2021-01-01T00:00:00"/>
    <s v="JNN Real Estate LLC"/>
    <s v="Fort Lee, NJ 07024"/>
    <n v="7024"/>
    <x v="17"/>
    <x v="26"/>
    <s v="Q"/>
    <s v=""/>
    <s v=""/>
    <x v="1"/>
    <n v="0"/>
    <s v="ReadyCap Lending, LLC"/>
    <s v="Lessors of Nonresidential Buildings (except Miniwarehouses)"/>
  </r>
  <r>
    <n v="309765.11"/>
    <n v="3286577010"/>
    <s v="Actual"/>
    <s v="Long Maturity"/>
    <n v="402"/>
    <x v="50"/>
    <n v="305417.45"/>
    <x v="25"/>
    <d v="2018-12-26T00:00:00"/>
    <n v="23.210958904109589"/>
    <d v="2044-11-15T00:00:00"/>
    <n v="311"/>
    <n v="287"/>
    <d v="2021-01-01T00:00:00"/>
    <s v="Tundavia Investments, LLC"/>
    <s v="Shreveport, LA 71129"/>
    <n v="71129"/>
    <x v="20"/>
    <x v="19"/>
    <s v="Q"/>
    <s v=""/>
    <s v=""/>
    <x v="5"/>
    <n v="0.03"/>
    <s v="ReadyCap Lending, LLC"/>
    <s v="Hotels (except Casino Hotels) and Motels"/>
  </r>
  <r>
    <n v="310011.11"/>
    <n v="3923327009"/>
    <s v="Actual"/>
    <s v="Long Maturity"/>
    <n v="402"/>
    <x v="51"/>
    <n v="759765.84"/>
    <x v="4"/>
    <d v="2019-08-21T00:00:00"/>
    <n v="15.386301369863014"/>
    <d v="2044-09-15T00:00:00"/>
    <n v="301"/>
    <n v="285"/>
    <d v="2021-01-01T00:00:00"/>
    <s v="Baba Deep Singh Inc 7"/>
    <s v="Independence, OR 97351"/>
    <n v="97351"/>
    <x v="21"/>
    <x v="27"/>
    <s v="Q"/>
    <s v=""/>
    <s v=""/>
    <x v="5"/>
    <n v="0.03"/>
    <s v="ReadyCap Lending, LLC"/>
    <s v="Convenience Stores"/>
  </r>
  <r>
    <n v="310334.11"/>
    <n v="4102507001"/>
    <s v="Actual"/>
    <s v="Long Maturity"/>
    <n v="402"/>
    <x v="52"/>
    <n v="389979.05"/>
    <x v="26"/>
    <d v="2019-12-20T00:00:00"/>
    <n v="11.441095890410958"/>
    <d v="2045-01-15T00:00:00"/>
    <n v="301"/>
    <n v="289"/>
    <d v="2021-01-01T00:00:00"/>
    <s v="MD Hospitality, LLC"/>
    <s v="Raton, NM 87740"/>
    <n v="87740"/>
    <x v="12"/>
    <x v="19"/>
    <s v="Q"/>
    <s v=""/>
    <s v=""/>
    <x v="3"/>
    <n v="0.05"/>
    <s v="ReadyCap Lending, LLC"/>
    <s v="Hotels (except Casino Hotels) and Motels"/>
  </r>
  <r>
    <n v="310502.11"/>
    <n v="4198157007"/>
    <s v="Actual"/>
    <s v="Long Maturity"/>
    <n v="402"/>
    <x v="53"/>
    <n v="782454.44"/>
    <x v="18"/>
    <d v="2020-01-24T00:00:00"/>
    <n v="9.8999999999999986"/>
    <d v="2045-02-15T00:00:00"/>
    <n v="301"/>
    <n v="290"/>
    <d v="2020-12-29T00:00:00"/>
    <s v="Sparks &amp; Sparks, LLC"/>
    <s v="Fort Pierce, FL 34982"/>
    <n v="34982"/>
    <x v="1"/>
    <x v="3"/>
    <s v="Q"/>
    <s v=""/>
    <s v=""/>
    <x v="2"/>
    <n v="0.05"/>
    <s v="CenterState Bank, National Associati"/>
    <s v="Full-Service Restaurants"/>
  </r>
  <r>
    <n v="310755.11"/>
    <n v="3489157002"/>
    <s v="Actual"/>
    <s v="Long Maturity"/>
    <n v="402"/>
    <x v="54"/>
    <n v="143095.1"/>
    <x v="3"/>
    <d v="2019-10-09T00:00:00"/>
    <n v="13.775342465753425"/>
    <d v="2044-11-15T00:00:00"/>
    <n v="301"/>
    <n v="287"/>
    <d v="2021-01-01T00:00:00"/>
    <s v="Lucas Packaging Group Inc"/>
    <s v="Franklin, NJ 07416"/>
    <n v="7416"/>
    <x v="17"/>
    <x v="28"/>
    <s v="Q"/>
    <s v=""/>
    <s v=""/>
    <x v="1"/>
    <n v="0.03"/>
    <s v="ReadyCap Lending, LLC"/>
    <s v="Industrial Design Services"/>
  </r>
  <r>
    <n v="310888.11"/>
    <n v="4238147010"/>
    <s v="Actual"/>
    <s v="Long Maturity"/>
    <n v="402"/>
    <x v="55"/>
    <n v="1837273.65"/>
    <x v="4"/>
    <d v="2020-02-24T00:00:00"/>
    <n v="9.5013698630136982"/>
    <d v="2045-03-15T00:00:00"/>
    <n v="301"/>
    <n v="291"/>
    <d v="2021-01-22T00:00:00"/>
    <s v="Rushi Investment Corporation"/>
    <s v="Weatherford, TX 76087"/>
    <n v="76087"/>
    <x v="0"/>
    <x v="19"/>
    <s v="Q"/>
    <s v=""/>
    <s v=""/>
    <x v="5"/>
    <n v="0.05"/>
    <s v="ReadyCap Lending, LLC"/>
    <s v="Hotels (except Casino Hotels) and Motels"/>
  </r>
  <r>
    <n v="311350.11"/>
    <n v="4307267005"/>
    <s v="Actual"/>
    <s v="Long Maturity"/>
    <n v="402"/>
    <x v="56"/>
    <n v="1003289.14"/>
    <x v="4"/>
    <d v="2020-03-25T00:00:00"/>
    <n v="6.2000000000000011"/>
    <d v="2045-04-15T00:00:00"/>
    <n v="301"/>
    <n v="292"/>
    <d v="2020-10-01T00:00:00"/>
    <s v="Josie Kelly's Public House"/>
    <s v="Somers Point, NJ 08244"/>
    <n v="8244"/>
    <x v="17"/>
    <x v="3"/>
    <s v="Q"/>
    <s v=""/>
    <s v=""/>
    <x v="2"/>
    <n v="0.05"/>
    <s v="Berkshire Bank"/>
    <s v="Full-Service Restaurants"/>
  </r>
  <r>
    <n v="311438.11"/>
    <n v="3693627009"/>
    <s v="Actual"/>
    <s v="Long Maturity"/>
    <n v="402"/>
    <x v="57"/>
    <n v="594393.96"/>
    <x v="18"/>
    <d v="2019-05-13T00:00:00"/>
    <n v="18.673972602739727"/>
    <d v="2044-06-15T00:00:00"/>
    <n v="301"/>
    <n v="282"/>
    <d v="2021-01-01T00:00:00"/>
    <s v="Broken Ivories, LLC"/>
    <s v="Greensboro, NC 27403"/>
    <n v="27403"/>
    <x v="6"/>
    <x v="18"/>
    <s v="Q"/>
    <s v=""/>
    <s v=""/>
    <x v="3"/>
    <n v="0.03"/>
    <s v="HomeTrust Bank"/>
    <s v="Bed-and-Breakfast Inns"/>
  </r>
  <r>
    <n v="311929.11"/>
    <n v="2801487008"/>
    <s v="Actual"/>
    <s v="Long Maturity"/>
    <n v="402"/>
    <x v="58"/>
    <n v="3378182.49"/>
    <x v="19"/>
    <d v="2019-05-02T00:00:00"/>
    <n v="19.035616438356165"/>
    <d v="2045-06-15T00:00:00"/>
    <n v="313"/>
    <n v="294"/>
    <d v="2020-12-29T00:00:00"/>
    <s v="19th Hole Enterprises, LLC and Hill Country Express Wash, Inc."/>
    <s v="San Antonio, TX 78258"/>
    <n v="78258"/>
    <x v="0"/>
    <x v="16"/>
    <s v="Q"/>
    <s v=""/>
    <s v=""/>
    <x v="5"/>
    <n v="0.03"/>
    <s v="Farmers State Bank of Alto Pass"/>
    <s v="Car Washes"/>
  </r>
  <r>
    <n v="309862.11"/>
    <n v="3930847010"/>
    <s v="Actual"/>
    <s v="Long Maturity"/>
    <n v="402"/>
    <x v="59"/>
    <n v="770149.35"/>
    <x v="4"/>
    <d v="2019-10-29T00:00:00"/>
    <n v="13.3"/>
    <d v="2044-11-15T00:00:00"/>
    <n v="301"/>
    <n v="287"/>
    <d v="2021-01-08T00:00:00"/>
    <s v="All Pets Animal Hospital"/>
    <s v="Clovis, NM 88101"/>
    <n v="88101"/>
    <x v="12"/>
    <x v="29"/>
    <s v="Q"/>
    <s v=""/>
    <s v=""/>
    <x v="5"/>
    <n v="0.03"/>
    <s v="Firstrust Bank"/>
    <s v="Veterinary Services"/>
  </r>
  <r>
    <n v="311221.11"/>
    <n v="4242427003"/>
    <s v="Actual"/>
    <s v="Long Maturity"/>
    <n v="402"/>
    <x v="60"/>
    <n v="555347.39"/>
    <x v="13"/>
    <d v="2020-03-06T00:00:00"/>
    <n v="9.1726027397260275"/>
    <d v="2045-04-15T00:00:00"/>
    <n v="301"/>
    <n v="292"/>
    <d v="2021-01-11T00:00:00"/>
    <s v="JADVA Investment, LLC dba Palmetto Inn"/>
    <s v="Orangeburg,SC 29115"/>
    <n v="29115"/>
    <x v="22"/>
    <x v="19"/>
    <s v="Q"/>
    <s v=""/>
    <s v=""/>
    <x v="3"/>
    <n v="0.05"/>
    <s v="First IC Bank"/>
    <s v="Hotels (except Casino Hotels) and Motels"/>
  </r>
  <r>
    <n v="311956.11"/>
    <n v="9032317903"/>
    <s v="Actual"/>
    <s v="Long Maturity"/>
    <n v="402"/>
    <x v="61"/>
    <n v="286701.99"/>
    <x v="18"/>
    <d v="2020-07-16T00:00:00"/>
    <n v="2.5972602739726027"/>
    <d v="2045-08-15T00:00:00"/>
    <n v="301"/>
    <n v="296"/>
    <d v="2020-11-03T00:00:00"/>
    <s v="Leach Road LLC &amp; J&amp;B Doors Inc. as Co-Borrowers"/>
    <s v="Rochester Hills, MI 48309"/>
    <n v="48309"/>
    <x v="8"/>
    <x v="30"/>
    <s v="Q"/>
    <s v=""/>
    <s v=""/>
    <x v="0"/>
    <n v="0.05"/>
    <s v="Oxford Bank"/>
    <s v="Other Building Equipment Contractors"/>
  </r>
  <r>
    <n v="304779.11"/>
    <n v="9862105002"/>
    <s v="Actual"/>
    <s v="Long Maturity"/>
    <n v="402"/>
    <x v="62"/>
    <n v="152444.79999999999"/>
    <x v="27"/>
    <d v="2017-12-19T00:00:00"/>
    <n v="34.487671232876707"/>
    <d v="2043-05-15T00:00:00"/>
    <n v="305"/>
    <n v="269"/>
    <d v="2020-12-06T00:00:00"/>
    <s v="Marker Oil Company, Inc."/>
    <s v="Alturas, CA 96101"/>
    <n v="96101"/>
    <x v="10"/>
    <x v="31"/>
    <s v="Q"/>
    <s v=""/>
    <s v=""/>
    <x v="1"/>
    <n v="0.01"/>
    <s v="Harvest Small Business Finance, LLC"/>
    <s v="Recreational Vehicle Dealers"/>
  </r>
  <r>
    <n v="309741.11"/>
    <n v="4022827003"/>
    <s v="Actual"/>
    <s v="Long Maturity"/>
    <n v="402"/>
    <x v="63"/>
    <n v="779489.87"/>
    <x v="23"/>
    <d v="2019-10-25T00:00:00"/>
    <n v="13.709589041095892"/>
    <d v="2044-11-15T00:00:00"/>
    <n v="301"/>
    <n v="287"/>
    <d v="2021-01-16T00:00:00"/>
    <s v="PARI, LLC"/>
    <s v="Vicksburg, MS 39180"/>
    <n v="39180"/>
    <x v="23"/>
    <x v="19"/>
    <s v="Q"/>
    <s v=""/>
    <s v=""/>
    <x v="0"/>
    <n v="0.03"/>
    <s v="Peoples Bank "/>
    <s v="Hotels (except Casino Hotels) and Motels"/>
  </r>
  <r>
    <n v="309908.11"/>
    <n v="3206887010"/>
    <s v="Actual"/>
    <s v="Long Maturity"/>
    <n v="402"/>
    <x v="64"/>
    <n v="1238165.8"/>
    <x v="28"/>
    <d v="2019-11-20T00:00:00"/>
    <n v="10.520547945205479"/>
    <d v="2039-12-15T00:00:00"/>
    <n v="241"/>
    <n v="228"/>
    <d v="2020-10-19T00:00:00"/>
    <s v="RYS Properties, LLC"/>
    <s v="Hanover Park, IL 60133"/>
    <n v="60133"/>
    <x v="3"/>
    <x v="32"/>
    <s v="Q"/>
    <s v=""/>
    <s v=""/>
    <x v="1"/>
    <n v="0.05"/>
    <s v="The Huntington National Bank"/>
    <s v="Food Service Contractors"/>
  </r>
  <r>
    <n v="310495.11"/>
    <n v="3192397003"/>
    <s v="Actual"/>
    <s v="Long Maturity"/>
    <n v="402"/>
    <x v="65"/>
    <n v="144067.07"/>
    <x v="2"/>
    <d v="2019-09-12T00:00:00"/>
    <n v="14.794520547945206"/>
    <d v="2044-10-15T00:00:00"/>
    <n v="301"/>
    <n v="286"/>
    <d v="2021-01-05T00:00:00"/>
    <s v="Semaan Marketing, Inc."/>
    <s v="Cleveland, OH 44104"/>
    <n v="44104"/>
    <x v="9"/>
    <x v="27"/>
    <s v="Q"/>
    <s v=""/>
    <s v=""/>
    <x v="1"/>
    <n v="0.03"/>
    <s v="West Town Bank &amp; Trust"/>
    <s v="Convenience Stores"/>
  </r>
  <r>
    <n v="310500.11"/>
    <n v="4135897009"/>
    <s v="Actual"/>
    <s v="Long Maturity"/>
    <n v="402"/>
    <x v="66"/>
    <n v="3288119.17"/>
    <x v="13"/>
    <d v="2020-01-02T00:00:00"/>
    <n v="9.1068493150684926"/>
    <d v="2045-02-15T00:00:00"/>
    <n v="301"/>
    <n v="290"/>
    <d v="2020-10-05T00:00:00"/>
    <s v="AMZ Real Estate LLC"/>
    <s v="Steamwood, IL 60107"/>
    <n v="60107"/>
    <x v="3"/>
    <x v="33"/>
    <s v="Q"/>
    <s v=""/>
    <s v=""/>
    <x v="3"/>
    <n v="0.05"/>
    <s v="The Huntington National Bank"/>
    <s v="Caterers"/>
  </r>
  <r>
    <n v="310762.11"/>
    <n v="3935957007"/>
    <s v="Actual"/>
    <s v="Long Maturity"/>
    <n v="402"/>
    <x v="67"/>
    <n v="535640.16"/>
    <x v="3"/>
    <d v="2019-10-03T00:00:00"/>
    <n v="13.117808219178084"/>
    <d v="2044-11-15T00:00:00"/>
    <n v="301"/>
    <n v="287"/>
    <d v="2020-11-05T00:00:00"/>
    <s v="A Salute 79, LLC  (EPC) &amp;Salute 74 Main LLC (OC)"/>
    <s v="Matawan, NJ 07747"/>
    <n v="7747"/>
    <x v="17"/>
    <x v="3"/>
    <s v="Q"/>
    <s v=""/>
    <s v=""/>
    <x v="1"/>
    <n v="0.03"/>
    <s v="BCB Community Bank"/>
    <s v="Full-Service Restaurants"/>
  </r>
  <r>
    <n v="311334.11"/>
    <n v="4166837005"/>
    <s v="Actual"/>
    <s v="Long Maturity"/>
    <n v="402"/>
    <x v="68"/>
    <n v="670436.99"/>
    <x v="4"/>
    <d v="2019-12-31T00:00:00"/>
    <n v="10.586301369863014"/>
    <d v="2045-02-15T00:00:00"/>
    <n v="302"/>
    <n v="290"/>
    <d v="2020-12-30T00:00:00"/>
    <s v="Omkar Persaud"/>
    <s v="Inwood, NY 11096"/>
    <n v="11096"/>
    <x v="15"/>
    <x v="8"/>
    <s v="Q"/>
    <s v=""/>
    <s v=""/>
    <x v="3"/>
    <n v="0.05"/>
    <s v="First Bank"/>
    <s v="General Automotive Repair"/>
  </r>
  <r>
    <n v="308359.11"/>
    <n v="3499277007"/>
    <s v="Actual"/>
    <s v="Long Maturity"/>
    <n v="402"/>
    <x v="69"/>
    <n v="2000965.81"/>
    <x v="11"/>
    <d v="2019-03-12T00:00:00"/>
    <n v="20.843835616438355"/>
    <d v="2034-04-15T00:00:00"/>
    <n v="181"/>
    <n v="160"/>
    <d v="2021-01-05T00:00:00"/>
    <s v="Vanguard Utility Service Inc."/>
    <s v="Owensboro, KY 42304"/>
    <n v="42304"/>
    <x v="7"/>
    <x v="34"/>
    <s v="Q"/>
    <s v=""/>
    <s v=""/>
    <x v="1"/>
    <n v="0.03"/>
    <s v="The Huntington National Bank"/>
    <s v="Other Electronic and Precision Equipment Repair and Maintenance"/>
  </r>
  <r>
    <n v="310216.11"/>
    <n v="4127937008"/>
    <s v="Actual"/>
    <s v="Long Maturity"/>
    <n v="402"/>
    <x v="70"/>
    <n v="2383791.12"/>
    <x v="4"/>
    <d v="2019-12-16T00:00:00"/>
    <n v="9.7315068493150676"/>
    <d v="2045-01-15T00:00:00"/>
    <n v="301"/>
    <n v="289"/>
    <d v="2020-10-08T00:00:00"/>
    <s v="JSK Lakes LLC"/>
    <s v="Johnson City, NY  13790"/>
    <n v="13790"/>
    <x v="15"/>
    <x v="19"/>
    <s v="Q"/>
    <s v=""/>
    <s v=""/>
    <x v="3"/>
    <n v="0.05"/>
    <s v="Peapack Gladstone Bank"/>
    <s v="Hotels (except Casino Hotels) and Motels"/>
  </r>
  <r>
    <n v="309035.11"/>
    <n v="3828217002"/>
    <s v="Actual"/>
    <s v="Long Maturity"/>
    <n v="402"/>
    <x v="71"/>
    <n v="2596942.34"/>
    <x v="29"/>
    <d v="2019-07-24T00:00:00"/>
    <n v="15.466666666666669"/>
    <d v="2044-08-15T00:00:00"/>
    <n v="301"/>
    <n v="284"/>
    <d v="2020-11-23T00:00:00"/>
    <s v="Clearfield RE LLC &amp; Manas Management LLC"/>
    <s v="Clearfield, PA 16830"/>
    <n v="16830"/>
    <x v="11"/>
    <x v="19"/>
    <s v="Q"/>
    <s v=""/>
    <s v=""/>
    <x v="5"/>
    <n v="0.03"/>
    <s v="Savoy Bank"/>
    <s v="Hotels (except Casino Hotels) and Motels"/>
  </r>
  <r>
    <n v="310736.11"/>
    <n v="4050047002"/>
    <s v="Actual"/>
    <s v="Long Maturity"/>
    <n v="402"/>
    <x v="72"/>
    <n v="493065.59"/>
    <x v="5"/>
    <d v="2019-10-31T00:00:00"/>
    <n v="12.69041095890411"/>
    <d v="2044-11-15T00:00:00"/>
    <n v="301"/>
    <n v="287"/>
    <d v="2021-01-01T00:00:00"/>
    <s v="33 Merz Holdings LLC"/>
    <s v="Fairlawn, OH 44333"/>
    <n v="44333"/>
    <x v="9"/>
    <x v="11"/>
    <s v="Q"/>
    <s v=""/>
    <s v=""/>
    <x v="3"/>
    <n v="0.03"/>
    <s v="The Huntington National Bank"/>
    <s v="All Other Transit and Ground Passenger Transportation"/>
  </r>
  <r>
    <n v="311936.11"/>
    <n v="4052167007"/>
    <s v="Actual"/>
    <s v="Long Maturity"/>
    <n v="402"/>
    <x v="73"/>
    <n v="531955.55000000005"/>
    <x v="11"/>
    <d v="2020-03-20T00:00:00"/>
    <n v="8.2191780821917799"/>
    <d v="2045-04-15T00:00:00"/>
    <n v="301"/>
    <n v="292"/>
    <d v="2020-12-31T00:00:00"/>
    <s v="Cornerstone Commercial Properties L.L.C. &amp; Cornerstone Chiropractic II"/>
    <s v="Aubrey, TX 76227"/>
    <n v="76227"/>
    <x v="0"/>
    <x v="35"/>
    <s v="Q"/>
    <s v=""/>
    <s v=""/>
    <x v="0"/>
    <n v="0.05"/>
    <s v="Spirit of Texas Bank"/>
    <s v="Offices of Chiropractors"/>
  </r>
  <r>
    <n v="309247.11"/>
    <n v="3873037006"/>
    <s v="Actual"/>
    <s v="Long Maturity"/>
    <n v="402"/>
    <x v="74"/>
    <n v="186936.37"/>
    <x v="18"/>
    <d v="2019-07-31T00:00:00"/>
    <n v="16.033333333333331"/>
    <d v="2044-08-15T00:00:00"/>
    <n v="301"/>
    <n v="284"/>
    <d v="2021-01-05T00:00:00"/>
    <s v="The Law Offices of Crystal Magee, P.L.L.C."/>
    <s v="Spring, TX 77389"/>
    <n v="77389"/>
    <x v="0"/>
    <x v="36"/>
    <s v="Q"/>
    <s v=""/>
    <s v=""/>
    <x v="3"/>
    <n v="0.03"/>
    <s v="Firstrust Bank"/>
    <s v="Offices of Lawyers"/>
  </r>
  <r>
    <n v="309600.11"/>
    <n v="2324407002"/>
    <s v="Actual"/>
    <s v="Long Maturity"/>
    <n v="402"/>
    <x v="75"/>
    <n v="1785764.11"/>
    <x v="19"/>
    <d v="2018-05-17T00:00:00"/>
    <n v="30.80547945205479"/>
    <d v="2043-06-15T00:00:00"/>
    <n v="301"/>
    <n v="270"/>
    <d v="2021-01-11T00:00:00"/>
    <s v="M.J. Property LLC"/>
    <s v="Paramount, CA  90723"/>
    <n v="90723"/>
    <x v="10"/>
    <x v="16"/>
    <s v="Q"/>
    <s v=""/>
    <s v=""/>
    <x v="6"/>
    <n v="0.01"/>
    <s v="First IC Bank"/>
    <s v="Car Washes"/>
  </r>
  <r>
    <n v="311455.11"/>
    <n v="1471237103"/>
    <s v="Actual"/>
    <s v="Long Maturity"/>
    <n v="402"/>
    <x v="76"/>
    <n v="757565.34"/>
    <x v="18"/>
    <d v="2020-04-17T00:00:00"/>
    <n v="5.7666666666666666"/>
    <d v="2045-05-15T00:00:00"/>
    <n v="301"/>
    <n v="293"/>
    <d v="2020-10-10T00:00:00"/>
    <s v="Shalom Cottage LLC"/>
    <s v="Springfield, OR 97478"/>
    <n v="97478"/>
    <x v="21"/>
    <x v="37"/>
    <s v="Q"/>
    <s v=""/>
    <s v=""/>
    <x v="0"/>
    <n v="0.05"/>
    <s v="SaviBank"/>
    <s v="Services for the Elderly and Persons with Disabilities"/>
  </r>
  <r>
    <n v="310541.11"/>
    <n v="4142767003"/>
    <s v="Actual"/>
    <s v="Long Maturity"/>
    <n v="402"/>
    <x v="77"/>
    <n v="49860.54"/>
    <x v="26"/>
    <d v="2019-12-13T00:00:00"/>
    <n v="10.980821917808219"/>
    <d v="2045-01-15T00:00:00"/>
    <n v="301"/>
    <n v="289"/>
    <d v="2020-11-11T00:00:00"/>
    <s v="Garden View, LLC"/>
    <s v="Montevideo, MN 56265"/>
    <n v="56265"/>
    <x v="24"/>
    <x v="19"/>
    <s v="Q"/>
    <s v=""/>
    <s v=""/>
    <x v="3"/>
    <n v="0.05"/>
    <s v="Minnwest Bank"/>
    <s v="Hotels (except Casino Hotels) and Motels"/>
  </r>
  <r>
    <n v="310833.11"/>
    <n v="4152907001"/>
    <s v="Actual"/>
    <s v="Long Maturity"/>
    <n v="402"/>
    <x v="78"/>
    <n v="265628.06"/>
    <x v="11"/>
    <d v="2020-01-22T00:00:00"/>
    <n v="10.61917808219178"/>
    <d v="2045-02-15T00:00:00"/>
    <n v="301"/>
    <n v="290"/>
    <d v="2021-01-10T00:00:00"/>
    <s v="New England Family Insurance &amp; Financial Solutions Inc."/>
    <s v="Fall River, MA 02721"/>
    <n v="2721"/>
    <x v="4"/>
    <x v="38"/>
    <s v="Q"/>
    <s v=""/>
    <s v=""/>
    <x v="1"/>
    <n v="0.05"/>
    <s v="Crestmark, a division of MetaBank"/>
    <s v="Insurance Agencies and Brokerages"/>
  </r>
  <r>
    <n v="309492.11"/>
    <n v="3791957007"/>
    <s v="Actual"/>
    <s v="Long Maturity"/>
    <n v="402"/>
    <x v="79"/>
    <n v="121803.85"/>
    <x v="18"/>
    <d v="2019-09-13T00:00:00"/>
    <n v="14.07123287671233"/>
    <d v="2044-10-15T00:00:00"/>
    <n v="301"/>
    <n v="286"/>
    <d v="2020-12-14T00:00:00"/>
    <s v="Jet Green Tree Services, LLC"/>
    <s v="Upland, PA 19013"/>
    <n v="19013"/>
    <x v="11"/>
    <x v="39"/>
    <s v="Q"/>
    <s v=""/>
    <s v=""/>
    <x v="3"/>
    <n v="0.03"/>
    <s v="WSFS Bank"/>
    <s v="Landscaping Services"/>
  </r>
  <r>
    <n v="310333.11"/>
    <n v="3992577007"/>
    <s v="Actual"/>
    <s v="Long Maturity"/>
    <n v="402"/>
    <x v="80"/>
    <n v="1712289.6"/>
    <x v="19"/>
    <d v="2019-12-06T00:00:00"/>
    <n v="12.065753424657533"/>
    <d v="2045-01-15T00:00:00"/>
    <n v="301"/>
    <n v="289"/>
    <d v="2021-01-01T00:00:00"/>
    <s v="Jay Jalaram Tupelo LLC"/>
    <s v="Tupelo, MS 38804"/>
    <n v="38804"/>
    <x v="23"/>
    <x v="19"/>
    <s v="Q"/>
    <s v=""/>
    <s v=""/>
    <x v="4"/>
    <n v="0.03"/>
    <s v="ReadyCap Lending, LLC"/>
    <s v="Hotels (except Casino Hotels) and Motels"/>
  </r>
  <r>
    <n v="308125.11"/>
    <n v="9694095001"/>
    <s v="Actual"/>
    <s v="Long Maturity"/>
    <n v="402"/>
    <x v="81"/>
    <n v="2780736.76"/>
    <x v="22"/>
    <d v="2017-10-13T00:00:00"/>
    <n v="38.104109589041101"/>
    <d v="2043-08-15T00:00:00"/>
    <n v="310"/>
    <n v="272"/>
    <d v="2021-01-15T00:00:00"/>
    <s v="Zenith Landings, LLC &amp; The Apple of Gods Eye, Inc."/>
    <s v="Little Rock, AR 72211"/>
    <n v="72211"/>
    <x v="25"/>
    <x v="40"/>
    <s v="Q"/>
    <s v=""/>
    <s v=""/>
    <x v="0"/>
    <n v="0"/>
    <s v="First Chatham Bank"/>
    <s v="Educational Support Services"/>
  </r>
  <r>
    <n v="311497.11"/>
    <n v="4149627010"/>
    <s v="Actual"/>
    <s v="Long Maturity"/>
    <n v="402"/>
    <x v="82"/>
    <n v="2212844.9700000002"/>
    <x v="4"/>
    <d v="2020-04-10T00:00:00"/>
    <n v="7.5287671232876709"/>
    <d v="2045-05-15T00:00:00"/>
    <n v="301"/>
    <n v="293"/>
    <d v="2021-01-15T00:00:00"/>
    <s v="Shiv Shakti Hospitality LLC dba Comfort Suites"/>
    <s v="Columbus, OH 43232"/>
    <n v="43232"/>
    <x v="9"/>
    <x v="19"/>
    <s v="Q"/>
    <s v=""/>
    <s v=""/>
    <x v="2"/>
    <n v="0.05"/>
    <s v="First Chatham Bank"/>
    <s v="Hotels (except Casino Hotels) and Motels"/>
  </r>
  <r>
    <n v="307818.11"/>
    <n v="9861395006"/>
    <s v="Actual"/>
    <s v="Long Maturity"/>
    <n v="402"/>
    <x v="83"/>
    <n v="1544607.6"/>
    <x v="30"/>
    <d v="2017-10-18T00:00:00"/>
    <n v="37.512328767123293"/>
    <d v="2043-01-15T00:00:00"/>
    <n v="303"/>
    <n v="265"/>
    <d v="2021-01-12T00:00:00"/>
    <s v="Vista Palm Springs Investments LLC"/>
    <s v="El Segundo, CA 90245"/>
    <n v="90245"/>
    <x v="10"/>
    <x v="19"/>
    <s v="Q"/>
    <s v=""/>
    <s v=""/>
    <x v="4"/>
    <n v="0"/>
    <s v="First Choice Bank"/>
    <s v="Hotels (except Casino Hotels) and Motels"/>
  </r>
  <r>
    <n v="309958.11"/>
    <n v="3969617008"/>
    <s v="Actual"/>
    <s v="Long Maturity"/>
    <n v="402"/>
    <x v="84"/>
    <n v="184374.73"/>
    <x v="13"/>
    <d v="2019-10-08T00:00:00"/>
    <n v="12.328767123287673"/>
    <d v="2044-11-15T00:00:00"/>
    <n v="301"/>
    <n v="287"/>
    <d v="2020-10-17T00:00:00"/>
    <s v="Microtel Inn &amp; Suites "/>
    <s v="Anchorage, AK 99507"/>
    <n v="99507"/>
    <x v="26"/>
    <x v="19"/>
    <s v="Q"/>
    <s v=""/>
    <s v=""/>
    <x v="6"/>
    <n v="0.03"/>
    <s v="Open Bank"/>
    <s v="Hotels (except Casino Hotels) and Motels"/>
  </r>
  <r>
    <n v="308497.11"/>
    <n v="9485735007"/>
    <s v="Actual"/>
    <s v="Long Maturity"/>
    <n v="402"/>
    <x v="85"/>
    <n v="617942.54"/>
    <x v="31"/>
    <d v="2017-05-31T00:00:00"/>
    <n v="42.049315068493151"/>
    <d v="2043-04-15T00:00:00"/>
    <n v="311"/>
    <n v="268"/>
    <d v="2021-01-05T00:00:00"/>
    <s v="So Hot Right Now, LLC and Either Way You're Right, LLC."/>
    <s v="Savannah, GA 31410"/>
    <n v="31410"/>
    <x v="2"/>
    <x v="3"/>
    <s v="Q"/>
    <s v=""/>
    <s v=""/>
    <x v="0"/>
    <n v="0"/>
    <s v="Synovus Bank"/>
    <s v="Full-Service Restaurants"/>
  </r>
  <r>
    <n v="310768.11"/>
    <n v="3956407005"/>
    <s v="Actual"/>
    <s v="Long Maturity"/>
    <n v="402"/>
    <x v="86"/>
    <n v="722237.93"/>
    <x v="3"/>
    <d v="2019-09-30T00:00:00"/>
    <n v="12.657534246575342"/>
    <d v="2044-10-15T00:00:00"/>
    <n v="301"/>
    <n v="286"/>
    <d v="2020-10-19T00:00:00"/>
    <s v="Galway Inn Ltd"/>
    <s v="Elmhurst, IL 60126"/>
    <n v="60126"/>
    <x v="3"/>
    <x v="2"/>
    <s v="Q"/>
    <s v=""/>
    <s v=""/>
    <x v="1"/>
    <n v="0.03"/>
    <s v="ByLine Bank"/>
    <s v="Drinking Places (Alcoholic Beverages)"/>
  </r>
  <r>
    <n v="308334.11"/>
    <n v="3680957004"/>
    <s v="Actual"/>
    <s v="Long Maturity"/>
    <n v="402"/>
    <x v="87"/>
    <n v="2241543.5099999998"/>
    <x v="23"/>
    <d v="2019-04-26T00:00:00"/>
    <n v="19.166666666666668"/>
    <d v="2044-05-15T00:00:00"/>
    <n v="301"/>
    <n v="281"/>
    <d v="2021-01-12T00:00:00"/>
    <s v="Sonmar of Bullhead City LLC"/>
    <s v="Fargo, ND 58104"/>
    <n v="58104"/>
    <x v="27"/>
    <x v="19"/>
    <s v="Q"/>
    <s v=""/>
    <s v=""/>
    <x v="0"/>
    <n v="0.03"/>
    <s v="Horizon Community Bank"/>
    <s v="Hotels (except Casino Hotels) and Motels"/>
  </r>
  <r>
    <n v="310910.11"/>
    <n v="4247217009"/>
    <s v="Actual"/>
    <s v="Long Maturity"/>
    <n v="402"/>
    <x v="88"/>
    <n v="1234855.92"/>
    <x v="11"/>
    <d v="2020-03-02T00:00:00"/>
    <n v="9"/>
    <d v="2035-04-15T00:00:00"/>
    <n v="181"/>
    <n v="172"/>
    <d v="2021-01-02T00:00:00"/>
    <s v="Stevice Investments Inc. dba ProWater Irrigation &amp; Supply"/>
    <s v="Prescott, AZ 86301"/>
    <n v="86301"/>
    <x v="5"/>
    <x v="41"/>
    <s v="Q"/>
    <s v=""/>
    <s v=""/>
    <x v="1"/>
    <n v="0.05"/>
    <s v="St. Louis Bank"/>
    <s v="Water Supply and Irrigation Systems"/>
  </r>
  <r>
    <n v="302807.11"/>
    <n v="9628155008"/>
    <s v="Actual"/>
    <s v="Long Maturity"/>
    <n v="402"/>
    <x v="89"/>
    <n v="2078669.03"/>
    <x v="32"/>
    <d v="2017-09-20T00:00:00"/>
    <n v="38.366666666666667"/>
    <d v="2033-01-15T00:00:00"/>
    <n v="184"/>
    <n v="145"/>
    <d v="2021-01-04T00:00:00"/>
    <s v="Sam &amp; Danilyn Holdings LLC Deval Life Cycle Support LLC"/>
    <s v="Philadelphia, PA 19136"/>
    <n v="19136"/>
    <x v="11"/>
    <x v="42"/>
    <s v="Q"/>
    <s v=""/>
    <s v=""/>
    <x v="0"/>
    <n v="0"/>
    <s v="Berkshire Bank"/>
    <s v="All Other Transportation Equipment Manufacturing"/>
  </r>
  <r>
    <n v="312739.11"/>
    <n v="3699837003"/>
    <s v="Actual"/>
    <s v="Long Maturity"/>
    <n v="402"/>
    <x v="90"/>
    <n v="969442.18"/>
    <x v="15"/>
    <d v="2019-05-10T00:00:00"/>
    <n v="18.7"/>
    <d v="2037-06-15T00:00:00"/>
    <n v="217"/>
    <n v="198"/>
    <d v="2021-01-01T00:00:00"/>
    <s v="Sand Beach Volleyball LLC"/>
    <s v="Aberdeen Township, NJ 07747"/>
    <n v="7747"/>
    <x v="17"/>
    <x v="43"/>
    <s v="Q"/>
    <s v=""/>
    <s v=""/>
    <x v="1"/>
    <n v="0.03"/>
    <s v="Berkshire Bank"/>
    <s v="Other Amusement and Recreation Industries"/>
  </r>
  <r>
    <n v="306862.11"/>
    <n v="3024207004"/>
    <s v="Actual"/>
    <s v="Long Maturity"/>
    <n v="402"/>
    <x v="91"/>
    <n v="25779.47"/>
    <x v="33"/>
    <d v="2018-10-19T00:00:00"/>
    <n v="25.775342465753425"/>
    <d v="2038-11-15T00:00:00"/>
    <n v="241"/>
    <n v="215"/>
    <d v="2021-01-19T00:00:00"/>
    <s v="Amanda's Hair Studio LLC"/>
    <s v="Melrose, WI 54642"/>
    <n v="54642"/>
    <x v="14"/>
    <x v="44"/>
    <s v="Q"/>
    <s v=""/>
    <s v=""/>
    <x v="2"/>
    <n v="0.01"/>
    <s v="State Bank Financial"/>
    <s v="Beauty Salons"/>
  </r>
  <r>
    <n v="309304.11"/>
    <n v="3806977006"/>
    <s v="Actual"/>
    <s v="Long Maturity"/>
    <n v="402"/>
    <x v="92"/>
    <n v="256600.46"/>
    <x v="23"/>
    <d v="2019-08-06T00:00:00"/>
    <n v="16.767123287671232"/>
    <d v="2044-09-15T00:00:00"/>
    <n v="301"/>
    <n v="285"/>
    <d v="2021-01-20T00:00:00"/>
    <s v="Tiffany's School of Dance &amp; Performing Arts Center LLC"/>
    <s v="Syracuse, NY 13219"/>
    <n v="13219"/>
    <x v="15"/>
    <x v="45"/>
    <s v="Q"/>
    <s v=""/>
    <s v=""/>
    <x v="0"/>
    <n v="0.03"/>
    <s v="KeyBank - East"/>
    <s v="Fine Arts Schools"/>
  </r>
  <r>
    <n v="312047.11"/>
    <n v="3694328109"/>
    <s v="Actual"/>
    <s v="Long Maturity"/>
    <n v="402"/>
    <x v="93"/>
    <n v="353482.74"/>
    <x v="4"/>
    <d v="2020-07-15T00:00:00"/>
    <n v="5.3917808219178083"/>
    <d v="2045-08-15T00:00:00"/>
    <n v="301"/>
    <n v="296"/>
    <d v="2021-01-20T00:00:00"/>
    <s v="D.C.J.S. Enterprises, LLC"/>
    <s v="New Brighton, MN 55112"/>
    <n v="55112"/>
    <x v="24"/>
    <x v="26"/>
    <s v="Q"/>
    <s v=""/>
    <s v=""/>
    <x v="2"/>
    <n v="0.05"/>
    <s v="Highland Bank"/>
    <s v="Lessors of Nonresidential Buildings (except Miniwarehouses)"/>
  </r>
  <r>
    <n v="310784.11"/>
    <n v="3733787006"/>
    <s v="Actual"/>
    <s v="Long Maturity"/>
    <n v="402"/>
    <x v="94"/>
    <n v="201376.85"/>
    <x v="3"/>
    <d v="2019-05-29T00:00:00"/>
    <n v="19"/>
    <d v="2044-06-15T00:00:00"/>
    <n v="301"/>
    <n v="282"/>
    <d v="2021-01-04T00:00:00"/>
    <s v="Alexora Inv."/>
    <s v="Nixa, MO 65714"/>
    <n v="65714"/>
    <x v="28"/>
    <x v="22"/>
    <s v="Q"/>
    <s v=""/>
    <s v=""/>
    <x v="1"/>
    <n v="0.03"/>
    <s v="Guaranty Bank"/>
    <s v="Limited-Service Restaurants"/>
  </r>
  <r>
    <n v="310887.11"/>
    <n v="4223847005"/>
    <s v="Actual"/>
    <s v="Long Maturity"/>
    <n v="402"/>
    <x v="95"/>
    <n v="1226450.69"/>
    <x v="4"/>
    <d v="2020-02-18T00:00:00"/>
    <n v="8.2333333333333343"/>
    <d v="2034-03-15T00:00:00"/>
    <n v="169"/>
    <n v="159"/>
    <d v="2020-10-25T00:00:00"/>
    <s v="MBML Holdings LLC Nurse One Home Health LLC"/>
    <s v="Boynton Beach, FL 33435"/>
    <n v="33435"/>
    <x v="1"/>
    <x v="46"/>
    <s v="Q"/>
    <s v=""/>
    <s v=""/>
    <x v="2"/>
    <n v="0"/>
    <s v="Berkshire Bank"/>
    <s v="Home Health Care Services"/>
  </r>
  <r>
    <n v="311170.11"/>
    <n v="2865367006"/>
    <s v="Actual"/>
    <s v="Long Maturity"/>
    <n v="402"/>
    <x v="96"/>
    <n v="664257.12"/>
    <x v="23"/>
    <d v="2019-03-25T00:00:00"/>
    <n v="20.054794520547944"/>
    <d v="2044-10-15T00:00:00"/>
    <n v="307"/>
    <n v="286"/>
    <d v="2020-12-22T00:00:00"/>
    <s v="SSMJ Solon LLC &amp; RNR Solon Inc"/>
    <s v="Solon, OH 44139"/>
    <n v="44139"/>
    <x v="9"/>
    <x v="47"/>
    <s v="Q"/>
    <s v=""/>
    <s v=""/>
    <x v="2"/>
    <n v="0.03"/>
    <s v="MINT National Bank"/>
    <s v="Gasoline Stations"/>
  </r>
  <r>
    <n v="311249.11"/>
    <n v="4287557000"/>
    <s v="Actual"/>
    <s v="Long Maturity"/>
    <n v="402"/>
    <x v="97"/>
    <n v="950453.22"/>
    <x v="23"/>
    <d v="2020-04-09T00:00:00"/>
    <n v="6.5424657534246577"/>
    <d v="2045-05-15T00:00:00"/>
    <n v="301"/>
    <n v="293"/>
    <d v="2020-10-25T00:00:00"/>
    <s v="Highline Vault Inc."/>
    <s v="Oconomowoc, WI 53066"/>
    <n v="53066"/>
    <x v="14"/>
    <x v="3"/>
    <s v="Q"/>
    <s v=""/>
    <s v=""/>
    <x v="1"/>
    <n v="0.05"/>
    <s v="ByLine Bank"/>
    <s v="Full-Service Restaurants"/>
  </r>
  <r>
    <n v="311638.11"/>
    <n v="4298857002"/>
    <s v="Actual"/>
    <s v="Long Maturity"/>
    <n v="402"/>
    <x v="98"/>
    <n v="967737.86"/>
    <x v="19"/>
    <d v="2020-04-22T00:00:00"/>
    <n v="8.1863013698630134"/>
    <d v="2045-05-15T00:00:00"/>
    <n v="301"/>
    <n v="293"/>
    <d v="2021-01-27T00:00:00"/>
    <s v="Asisla Olayao"/>
    <s v="Bellevue, WA 98008"/>
    <n v="98008"/>
    <x v="13"/>
    <x v="48"/>
    <s v="Q"/>
    <s v=""/>
    <s v=""/>
    <x v="4"/>
    <n v="0.05"/>
    <s v="Umpqua Bank – La Mesa    "/>
    <s v="Other Residential Care Facilities"/>
  </r>
  <r>
    <n v="311642.11"/>
    <n v="4286207009"/>
    <s v="Actual"/>
    <s v="Long Maturity"/>
    <n v="402"/>
    <x v="99"/>
    <n v="1285954.8799999999"/>
    <x v="19"/>
    <d v="2020-04-24T00:00:00"/>
    <n v="8.087671232876712"/>
    <d v="2045-05-15T00:00:00"/>
    <n v="301"/>
    <n v="293"/>
    <d v="2021-01-24T00:00:00"/>
    <s v="Alpha Cottage LLC and Prestige Estate Property Inc"/>
    <s v="Tacoma, WA 98445"/>
    <n v="98445"/>
    <x v="13"/>
    <x v="48"/>
    <s v="Q"/>
    <s v=""/>
    <s v=""/>
    <x v="4"/>
    <n v="0.05"/>
    <s v="Umpqua Bank – La Mesa    "/>
    <s v="Other Residential Care Facilities"/>
  </r>
  <r>
    <n v="310056.11"/>
    <n v="4001307001"/>
    <s v="Actual"/>
    <s v="Long Maturity"/>
    <n v="402"/>
    <x v="100"/>
    <n v="635749.6"/>
    <x v="23"/>
    <d v="2019-11-22T00:00:00"/>
    <n v="12.131506849315068"/>
    <d v="2044-12-15T00:00:00"/>
    <n v="301"/>
    <n v="288"/>
    <d v="2020-12-23T00:00:00"/>
    <s v="AMNN Holdings 2 LLC"/>
    <s v="Orlando, FL 32805"/>
    <n v="32805"/>
    <x v="1"/>
    <x v="49"/>
    <s v="Q"/>
    <s v=""/>
    <s v=""/>
    <x v="2"/>
    <n v="0.03"/>
    <s v="MINT National Bank"/>
    <s v="Beer, Wine, and Liquor Stores"/>
  </r>
  <r>
    <n v="305216.11"/>
    <n v="9461835008"/>
    <s v="Actual"/>
    <s v="Long Maturity"/>
    <n v="402"/>
    <x v="101"/>
    <n v="272740.27"/>
    <x v="19"/>
    <d v="2017-06-29T00:00:00"/>
    <n v="41.166666666666664"/>
    <d v="2043-04-15T00:00:00"/>
    <n v="310"/>
    <n v="268"/>
    <d v="2021-01-01T00:00:00"/>
    <s v="SRI Lakshmi Prasanna LLC"/>
    <s v="Bridgewater Township, NJ 08807"/>
    <n v="8807"/>
    <x v="17"/>
    <x v="50"/>
    <s v="Q"/>
    <s v=""/>
    <s v=""/>
    <x v="3"/>
    <n v="0"/>
    <s v="Unity Bank"/>
    <s v="Other Computer Related Services"/>
  </r>
  <r>
    <n v="305871.11"/>
    <n v="9485595002"/>
    <s v="Actual"/>
    <s v="Long Maturity"/>
    <n v="402"/>
    <x v="102"/>
    <n v="1755609.14"/>
    <x v="0"/>
    <d v="2017-06-07T00:00:00"/>
    <n v="41.753424657534246"/>
    <d v="2043-01-15T00:00:00"/>
    <n v="307"/>
    <n v="265"/>
    <d v="2020-11-28T00:00:00"/>
    <s v="Veer Hanuman Hospitality Inc. DBA Crystal Inn"/>
    <s v="Porter, TX 77365"/>
    <n v="77365"/>
    <x v="0"/>
    <x v="19"/>
    <s v="Q"/>
    <s v=""/>
    <s v=""/>
    <x v="2"/>
    <n v="0"/>
    <s v="Transpecos Banks"/>
    <s v="Hotels (except Casino Hotels) and Motels"/>
  </r>
  <r>
    <n v="308275.11"/>
    <n v="3388447007"/>
    <s v="Actual"/>
    <s v="Long Maturity"/>
    <n v="402"/>
    <x v="103"/>
    <n v="144514.74"/>
    <x v="13"/>
    <d v="2019-03-28T00:00:00"/>
    <n v="21"/>
    <d v="2044-04-15T00:00:00"/>
    <n v="301"/>
    <n v="280"/>
    <d v="2021-01-28T00:00:00"/>
    <s v="Kim &amp; S Building LLC"/>
    <s v="Edison, NJ 08817"/>
    <n v="8817"/>
    <x v="17"/>
    <x v="51"/>
    <s v="Q"/>
    <s v=""/>
    <s v=""/>
    <x v="5"/>
    <n v="0.03"/>
    <s v="New Millennium Bank"/>
    <s v="All Other Miscellaneous Food Manufacturing"/>
  </r>
  <r>
    <n v="308893.11"/>
    <n v="3052307007"/>
    <s v="Actual"/>
    <s v="Long Maturity"/>
    <n v="402"/>
    <x v="104"/>
    <n v="1076177.26"/>
    <x v="29"/>
    <d v="2018-10-29T00:00:00"/>
    <n v="24.953424657534242"/>
    <d v="2043-11-15T00:00:00"/>
    <n v="301"/>
    <n v="275"/>
    <d v="2020-12-30T00:00:00"/>
    <s v="BGPT Investments Corporation"/>
    <s v="San Antonio, TX 78228"/>
    <n v="78228"/>
    <x v="0"/>
    <x v="4"/>
    <s v="Q"/>
    <s v=""/>
    <s v=""/>
    <x v="5"/>
    <n v="0.01"/>
    <s v="Plains State Bank"/>
    <s v="Gasoline Stations with Convenience Stores"/>
  </r>
  <r>
    <n v="308894.11"/>
    <n v="2495597007"/>
    <s v="Actual"/>
    <s v="Long Maturity"/>
    <n v="402"/>
    <x v="105"/>
    <n v="929625.76"/>
    <x v="5"/>
    <d v="2018-06-06T00:00:00"/>
    <n v="29.720547945205482"/>
    <d v="2038-07-15T00:00:00"/>
    <n v="241"/>
    <n v="211"/>
    <d v="2020-12-30T00:00:00"/>
    <s v="Ferromar Trading Inc"/>
    <s v="Spring, TX 77379"/>
    <n v="77379"/>
    <x v="0"/>
    <x v="52"/>
    <s v="Q"/>
    <s v=""/>
    <s v=""/>
    <x v="3"/>
    <n v="0.01"/>
    <s v="Plains State Bank"/>
    <s v="Support Activities for Oil and Gas Operations"/>
  </r>
  <r>
    <n v="309420.11"/>
    <n v="2730797009"/>
    <s v="Actual"/>
    <s v="Long Maturity"/>
    <n v="402"/>
    <x v="106"/>
    <n v="975708.3"/>
    <x v="18"/>
    <d v="2018-08-03T00:00:00"/>
    <n v="26.860273972602737"/>
    <d v="2044-06-15T00:00:00"/>
    <n v="310"/>
    <n v="282"/>
    <d v="2020-11-28T00:00:00"/>
    <s v="Waterford Smoothie, LLC; Building 59, LLC"/>
    <s v="Waterford, MI 48327"/>
    <n v="48327"/>
    <x v="8"/>
    <x v="22"/>
    <s v="Q"/>
    <s v=""/>
    <s v=""/>
    <x v="3"/>
    <n v="0.01"/>
    <s v="Oxford Bank"/>
    <s v="Limited-Service Restaurants"/>
  </r>
  <r>
    <n v="304901.11"/>
    <n v="9568905005"/>
    <s v="Actual"/>
    <s v="Long Maturity"/>
    <n v="402"/>
    <x v="107"/>
    <n v="947128.01"/>
    <x v="27"/>
    <d v="2017-07-13T00:00:00"/>
    <n v="40.533333333333331"/>
    <d v="2042-08-15T00:00:00"/>
    <n v="301"/>
    <n v="260"/>
    <d v="2020-12-29T00:00:00"/>
    <s v="Max Automotive 2, Inc."/>
    <s v="Surprise, AZ 85378"/>
    <n v="85378"/>
    <x v="5"/>
    <x v="8"/>
    <s v="Q"/>
    <s v=""/>
    <s v=""/>
    <x v="1"/>
    <n v="0"/>
    <s v="BankUnited, N.A."/>
    <s v="General Automotive Repair"/>
  </r>
  <r>
    <n v="305089.11"/>
    <n v="9578795002"/>
    <s v="Actual"/>
    <s v="Long Maturity"/>
    <n v="402"/>
    <x v="108"/>
    <n v="600352.05000000005"/>
    <x v="34"/>
    <d v="2017-07-03T00:00:00"/>
    <n v="41.030136986301372"/>
    <d v="2042-08-15T00:00:00"/>
    <n v="301"/>
    <n v="260"/>
    <d v="2021-01-06T00:00:00"/>
    <s v="Jianping Huang, Cheng Sui Yu  (EPC) Hopeful Enterprise, Inc. (OC)"/>
    <s v="Arcadia, CA 91006"/>
    <n v="91006"/>
    <x v="10"/>
    <x v="53"/>
    <s v="Q"/>
    <s v=""/>
    <s v=""/>
    <x v="6"/>
    <n v="0"/>
    <s v="United Pacific Bank"/>
    <s v="Other Miscellaneous Nondurable Goods Merchant Wholesalers"/>
  </r>
  <r>
    <n v="306916.11"/>
    <n v="9609985004"/>
    <s v="Actual"/>
    <s v="Long Maturity"/>
    <n v="402"/>
    <x v="109"/>
    <n v="2438826.75"/>
    <x v="35"/>
    <d v="2017-08-10T00:00:00"/>
    <n v="39.633333333333333"/>
    <d v="2042-09-15T00:00:00"/>
    <n v="301"/>
    <n v="261"/>
    <d v="2020-12-29T00:00:00"/>
    <s v="Olde Town Hotels LLC"/>
    <s v="Portsmouth, VA 23704"/>
    <n v="23704"/>
    <x v="29"/>
    <x v="19"/>
    <s v="Q"/>
    <s v=""/>
    <s v=""/>
    <x v="3"/>
    <n v="0"/>
    <s v="BankUnited, N.A."/>
    <s v="Hotels (except Casino Hotels) and Motels"/>
  </r>
  <r>
    <n v="312115.11"/>
    <n v="3454077209"/>
    <s v="Actual"/>
    <s v="Long Maturity"/>
    <n v="402"/>
    <x v="110"/>
    <n v="462065.04"/>
    <x v="4"/>
    <d v="2020-08-06T00:00:00"/>
    <n v="0"/>
    <d v="2045-09-15T00:00:00"/>
    <n v="301"/>
    <n v="297"/>
    <d v="2021-01-01T00:00:00"/>
    <s v="Kelly Anne's Salon Inc. dba Bombshell Uptown Studio"/>
    <s v="Delmar, NY 12054"/>
    <n v="12054"/>
    <x v="15"/>
    <x v="44"/>
    <s v="Q"/>
    <s v=""/>
    <s v=""/>
    <x v="2"/>
    <n v="0.05"/>
    <s v="Berkshire Bank"/>
    <s v="Car Washes"/>
  </r>
  <r>
    <n v="308822.11"/>
    <n v="2487337010"/>
    <s v="Actual"/>
    <s v="Long Maturity"/>
    <n v="402"/>
    <x v="111"/>
    <n v="3661625.71"/>
    <x v="36"/>
    <d v="2018-06-21T00:00:00"/>
    <n v="29.523287671232875"/>
    <d v="2044-09-15T00:00:00"/>
    <n v="315"/>
    <n v="285"/>
    <d v="2021-01-05T00:00:00"/>
    <s v="Emerald Hospitality LLC"/>
    <s v="Miramar Beach, FL 32550"/>
    <n v="32550"/>
    <x v="1"/>
    <x v="19"/>
    <s v="Q"/>
    <s v=""/>
    <s v=""/>
    <x v="6"/>
    <n v="0.01"/>
    <s v="Ameris Bank"/>
    <s v="Hotels (except Casino Hotels) and Motels"/>
  </r>
  <r>
    <n v="309839.11"/>
    <n v="3999747002"/>
    <s v="Actual"/>
    <s v="Long Maturity"/>
    <n v="402"/>
    <x v="112"/>
    <n v="1470525.4399999999"/>
    <x v="26"/>
    <d v="2019-11-13T00:00:00"/>
    <n v="12.887671232876713"/>
    <d v="2044-12-15T00:00:00"/>
    <n v="301"/>
    <n v="288"/>
    <d v="2021-01-03T00:00:00"/>
    <s v="Pleasantville Motor Inn Corporation dba Homestead Lodge Apart - Hotel"/>
    <s v="Pleasantville, NJ 08232"/>
    <n v="8232"/>
    <x v="17"/>
    <x v="19"/>
    <s v="Q"/>
    <s v=""/>
    <s v=""/>
    <x v="3"/>
    <n v="0.03"/>
    <s v="Peapack Gladstone Bank"/>
    <s v="Hotels (except Casino Hotels) and Motels"/>
  </r>
  <r>
    <n v="309883.11"/>
    <n v="3981587004"/>
    <s v="Actual"/>
    <s v="Long Maturity"/>
    <n v="402"/>
    <x v="113"/>
    <n v="356530.51"/>
    <x v="4"/>
    <d v="2019-10-25T00:00:00"/>
    <n v="14.235616438356164"/>
    <d v="2044-12-15T00:00:00"/>
    <n v="302"/>
    <n v="288"/>
    <d v="2021-01-29T00:00:00"/>
    <s v="Auto Team Service Center LLC"/>
    <s v="Salem, OR 97302"/>
    <n v="97302"/>
    <x v="21"/>
    <x v="8"/>
    <s v="Q"/>
    <s v=""/>
    <s v=""/>
    <x v="5"/>
    <n v="0.03"/>
    <s v="Umpqua Bank – La Mesa    "/>
    <s v="General Automotive Repair"/>
  </r>
  <r>
    <n v="309927.11"/>
    <n v="4061497003"/>
    <s v="Actual"/>
    <s v="Long Maturity"/>
    <n v="402"/>
    <x v="114"/>
    <n v="1152381.7"/>
    <x v="11"/>
    <d v="2019-11-06T00:00:00"/>
    <n v="12.933333333333334"/>
    <d v="2037-06-15T00:00:00"/>
    <n v="211"/>
    <n v="198"/>
    <d v="2021-01-01T00:00:00"/>
    <s v="WOAT Fitness Holdings LLC and WOAT Calhoun LLC and WOAT Chatsworth LLC"/>
    <s v="Cookeville, TN 38501"/>
    <n v="38501"/>
    <x v="30"/>
    <x v="1"/>
    <s v="Q"/>
    <s v=""/>
    <s v=""/>
    <x v="2"/>
    <n v="0.03"/>
    <s v="Cadence Bank"/>
    <s v="Fitness and Recreational Sports Centers"/>
  </r>
  <r>
    <n v="310195.11"/>
    <n v="4065297010"/>
    <s v="Actual"/>
    <s v="Long Maturity"/>
    <n v="402"/>
    <x v="115"/>
    <n v="399838.75"/>
    <x v="37"/>
    <d v="2019-11-13T00:00:00"/>
    <n v="13.545205479452054"/>
    <d v="2044-12-15T00:00:00"/>
    <n v="301"/>
    <n v="288"/>
    <d v="2020-12-29T00:00:00"/>
    <s v="Sangeeta Liquors LLC &amp; Urvi Real Estate LLC"/>
    <s v="Vineland, NJ 08030"/>
    <n v="8030"/>
    <x v="17"/>
    <x v="49"/>
    <s v="Q"/>
    <s v=""/>
    <s v=""/>
    <x v="4"/>
    <n v="0.03"/>
    <s v="Meridian Bank"/>
    <s v="Beer, Wine, and Liquor Stores"/>
  </r>
  <r>
    <n v="310217.11"/>
    <n v="4127967006"/>
    <s v="Actual"/>
    <s v="Long Maturity"/>
    <n v="402"/>
    <x v="116"/>
    <n v="2738311.49"/>
    <x v="4"/>
    <d v="2019-12-16T00:00:00"/>
    <n v="11.473972602739725"/>
    <d v="2045-01-15T00:00:00"/>
    <n v="301"/>
    <n v="289"/>
    <d v="2021-01-02T00:00:00"/>
    <s v="Steel City Hotels LLC"/>
    <s v="Pittsburgh, PA 15205"/>
    <n v="15205"/>
    <x v="11"/>
    <x v="19"/>
    <s v="Q"/>
    <s v=""/>
    <s v=""/>
    <x v="3"/>
    <n v="0.05"/>
    <s v="Peapack Gladstone Bank"/>
    <s v="Hotels (except Casino Hotels) and Motels"/>
  </r>
  <r>
    <n v="310374.11"/>
    <n v="4137357004"/>
    <s v="Actual"/>
    <s v="Long Maturity"/>
    <n v="402"/>
    <x v="117"/>
    <n v="3236998.5"/>
    <x v="13"/>
    <d v="2019-12-23T00:00:00"/>
    <n v="12.230136986301371"/>
    <d v="2045-01-15T00:00:00"/>
    <n v="301"/>
    <n v="289"/>
    <d v="2020-12-29T00:00:00"/>
    <s v="Mila Hospitality LLC"/>
    <s v="Brooklawn, NJ  08030"/>
    <n v="8030"/>
    <x v="17"/>
    <x v="19"/>
    <s v="Q"/>
    <s v=""/>
    <s v=""/>
    <x v="3"/>
    <n v="0.03"/>
    <s v="Peapack Gladstone Bank"/>
    <s v="Hotels (except Casino Hotels) and Motels"/>
  </r>
  <r>
    <n v="304917.11"/>
    <n v="9319985006"/>
    <s v="Actual"/>
    <s v="Long Maturity"/>
    <n v="402"/>
    <x v="118"/>
    <n v="1504892.61"/>
    <x v="38"/>
    <d v="2017-05-12T00:00:00"/>
    <n v="42.599999999999994"/>
    <d v="2043-06-15T00:00:00"/>
    <n v="313"/>
    <n v="270"/>
    <d v="2020-11-30T00:00:00"/>
    <s v="Molecular Pharmagroup LLC"/>
    <s v="New Providence, NJ 07974"/>
    <n v="7974"/>
    <x v="17"/>
    <x v="54"/>
    <s v="Q"/>
    <s v=""/>
    <s v=""/>
    <x v="2"/>
    <n v="0"/>
    <s v="Two River Community Bank"/>
    <s v="Pharmaceutical Preparation Manufacturing"/>
  </r>
  <r>
    <n v="308923.11"/>
    <n v="2719817001"/>
    <s v="Actual"/>
    <s v="Long Maturity"/>
    <n v="402"/>
    <x v="119"/>
    <n v="818393.25"/>
    <x v="3"/>
    <d v="2018-06-29T00:00:00"/>
    <n v="29.326027397260276"/>
    <d v="2044-03-15T00:00:00"/>
    <n v="309"/>
    <n v="279"/>
    <d v="2021-01-07T00:00:00"/>
    <s v="Tony's Breakfast Café LLC"/>
    <s v="Brookfield, IL 60513"/>
    <n v="60513"/>
    <x v="3"/>
    <x v="3"/>
    <s v="Q"/>
    <s v=""/>
    <s v=""/>
    <x v="1"/>
    <n v="0.01"/>
    <s v="ByLine Bank"/>
    <s v="Full-Service Restaurants"/>
  </r>
  <r>
    <n v="309138.11"/>
    <n v="9704135005"/>
    <s v="Actual"/>
    <s v="Long Maturity"/>
    <n v="402"/>
    <x v="120"/>
    <n v="2044650.08"/>
    <x v="24"/>
    <d v="2017-09-11T00:00:00"/>
    <n v="38.794520547945204"/>
    <d v="2044-04-15T00:00:00"/>
    <n v="319"/>
    <n v="280"/>
    <d v="2021-01-06T00:00:00"/>
    <s v="V.E.M. Star, LLC and Lucky Pearl Restaurant, Inc."/>
    <s v="Anaheim, CA 92801"/>
    <n v="92801"/>
    <x v="10"/>
    <x v="3"/>
    <s v="Q"/>
    <s v=""/>
    <s v=""/>
    <x v="4"/>
    <n v="0"/>
    <s v="Royal Business Bank"/>
    <s v="Full-Service Restaurants"/>
  </r>
  <r>
    <n v="309940.11"/>
    <n v="3762137009"/>
    <s v="Actual"/>
    <s v="Long Maturity"/>
    <n v="402"/>
    <x v="121"/>
    <n v="845763.45"/>
    <x v="23"/>
    <d v="2019-06-14T00:00:00"/>
    <n v="18.566666666666666"/>
    <d v="2044-07-15T00:00:00"/>
    <n v="301"/>
    <n v="283"/>
    <d v="2021-01-01T00:00:00"/>
    <s v="Symposium of Tampa, LLC "/>
    <s v="Indian Shores, FL 33785"/>
    <n v="33785"/>
    <x v="1"/>
    <x v="49"/>
    <s v="Q"/>
    <s v=""/>
    <s v=""/>
    <x v="0"/>
    <n v="0.03"/>
    <s v="Aquesta Bank"/>
    <s v="Beer, Wine, and Liquor Stores"/>
  </r>
  <r>
    <n v="310753.11"/>
    <n v="4016987009"/>
    <s v="Actual"/>
    <s v="Long Maturity"/>
    <n v="402"/>
    <x v="122"/>
    <n v="1330645.24"/>
    <x v="5"/>
    <d v="2019-10-15T00:00:00"/>
    <n v="14.531506849315068"/>
    <d v="2044-11-15T00:00:00"/>
    <n v="301"/>
    <n v="287"/>
    <d v="2020-12-30T00:00:00"/>
    <s v="Bella Vista Wniery, LLC"/>
    <s v="Maryville, IL 62062"/>
    <n v="62062"/>
    <x v="3"/>
    <x v="14"/>
    <s v="Q"/>
    <s v=""/>
    <s v=""/>
    <x v="3"/>
    <n v="0.03"/>
    <s v="New Buffalo Savings Bank"/>
    <s v="Wineries"/>
  </r>
  <r>
    <n v="311620.11"/>
    <n v="3799827008"/>
    <s v="Actual"/>
    <s v="Long Maturity"/>
    <n v="402"/>
    <x v="123"/>
    <n v="3254036.56"/>
    <x v="19"/>
    <d v="2019-07-01T00:00:00"/>
    <n v="15.966666666666665"/>
    <d v="2045-07-15T00:00:00"/>
    <n v="312"/>
    <n v="295"/>
    <d v="2020-10-30T00:00:00"/>
    <s v="Taya Properties LLC"/>
    <s v="Carol Stream, IL 60188"/>
    <n v="60188"/>
    <x v="3"/>
    <x v="16"/>
    <s v="Q"/>
    <s v=""/>
    <s v=""/>
    <x v="4"/>
    <n v="0.03"/>
    <s v="Millennium Bank"/>
    <s v="Car Washes"/>
  </r>
  <r>
    <n v="311637.11"/>
    <n v="4284837006"/>
    <s v="Actual"/>
    <s v="Long Maturity"/>
    <n v="402"/>
    <x v="124"/>
    <n v="612744.27"/>
    <x v="19"/>
    <d v="2020-03-26T00:00:00"/>
    <n v="9.205479452054794"/>
    <d v="2045-04-15T00:00:00"/>
    <n v="301"/>
    <n v="292"/>
    <d v="2020-12-31T00:00:00"/>
    <s v="Law Investments LLC (Law Auto)"/>
    <s v="Portland, OR 97266"/>
    <n v="97266"/>
    <x v="21"/>
    <x v="20"/>
    <s v="Q"/>
    <s v=""/>
    <s v=""/>
    <x v="5"/>
    <n v="0.05"/>
    <s v="Umpqua Bank – La Mesa    "/>
    <s v="Used Car Dealers"/>
  </r>
  <r>
    <n v="311685.11"/>
    <n v="3845367003"/>
    <s v="Actual"/>
    <s v="Long Maturity"/>
    <n v="402"/>
    <x v="125"/>
    <n v="1484770.74"/>
    <x v="19"/>
    <d v="2019-07-11T00:00:00"/>
    <n v="17.720547945205482"/>
    <d v="2044-08-15T00:00:00"/>
    <n v="301"/>
    <n v="284"/>
    <d v="2020-12-31T00:00:00"/>
    <s v="Redpoint Realty"/>
    <s v="Buena Park, CA 90621"/>
    <n v="90621"/>
    <x v="10"/>
    <x v="55"/>
    <s v="Q"/>
    <s v=""/>
    <s v=""/>
    <x v="7"/>
    <n v="0.03"/>
    <s v="Pacific City Bank"/>
    <s v="Offices of Real Estate Agents and Brokers"/>
  </r>
  <r>
    <n v="312266.11"/>
    <n v="3945167010"/>
    <s v="Actual"/>
    <s v="Long Maturity"/>
    <n v="402"/>
    <x v="126"/>
    <n v="3689594.85"/>
    <x v="11"/>
    <d v="2019-10-23T00:00:00"/>
    <n v="13.233333333333334"/>
    <d v="2044-11-15T00:00:00"/>
    <n v="301"/>
    <n v="287"/>
    <d v="2021-01-03T00:00:00"/>
    <s v="General Auto Recycling Inc."/>
    <s v="Tiverton, RI 02878"/>
    <n v="2878"/>
    <x v="31"/>
    <x v="56"/>
    <s v="Q"/>
    <s v=""/>
    <s v=""/>
    <x v="1"/>
    <n v="0.03"/>
    <s v="Patriot Bank, N.A."/>
    <s v="Motor Vehicle Parts (Used) Merchant Wholesalers"/>
  </r>
  <r>
    <n v="312431.11"/>
    <n v="3453567201"/>
    <s v="Actual"/>
    <s v="Long Maturity"/>
    <n v="402"/>
    <x v="127"/>
    <n v="343998.38"/>
    <x v="16"/>
    <d v="2020-06-08T00:00:00"/>
    <n v="5.7333333333333334"/>
    <d v="2034-07-15T00:00:00"/>
    <n v="169"/>
    <n v="163"/>
    <d v="2020-12-30T00:00:00"/>
    <s v="THM LLC                                 "/>
    <s v="Phillipsburg, NJ 08865"/>
    <n v="8865"/>
    <x v="17"/>
    <x v="57"/>
    <s v="Q"/>
    <s v=""/>
    <s v=""/>
    <x v="2"/>
    <n v="0"/>
    <s v="Unity Bank"/>
    <s v="Golf Courses and Country Clubs"/>
  </r>
  <r>
    <n v="304074.11"/>
    <n v="9909185002"/>
    <s v="Actual"/>
    <s v="Long Maturity"/>
    <n v="402"/>
    <x v="128"/>
    <n v="129125.01"/>
    <x v="39"/>
    <d v="2017-10-13T00:00:00"/>
    <n v="37.610958904109587"/>
    <d v="2042-11-15T00:00:00"/>
    <n v="301"/>
    <n v="263"/>
    <d v="2021-01-11T00:00:00"/>
    <s v="JJ &amp; Miko, LLC"/>
    <s v="San Mateo, CA 94403"/>
    <n v="94403"/>
    <x v="10"/>
    <x v="58"/>
    <s v="Q"/>
    <s v=""/>
    <s v=""/>
    <x v="7"/>
    <n v="0"/>
    <s v="East West Bank"/>
    <s v="Offices of Certified Public Accountants"/>
  </r>
  <r>
    <n v="304530.11"/>
    <n v="9390355008"/>
    <s v="Actual"/>
    <s v="Long Maturity"/>
    <n v="402"/>
    <x v="129"/>
    <n v="620537.85"/>
    <x v="22"/>
    <d v="2017-08-22T00:00:00"/>
    <n v="40.339726027397262"/>
    <d v="2037-09-15T00:00:00"/>
    <n v="241"/>
    <n v="201"/>
    <d v="2020-12-31T00:00:00"/>
    <s v="Ray and Deborah Pikulski, LLC"/>
    <s v="Cypress, TX 77429"/>
    <n v="77429"/>
    <x v="0"/>
    <x v="3"/>
    <s v="Q"/>
    <s v=""/>
    <s v=""/>
    <x v="3"/>
    <n v="0"/>
    <s v="Spirit of Texas Bank"/>
    <s v="Full-Service Restaurants"/>
  </r>
  <r>
    <n v="308413.11"/>
    <n v="2954237004"/>
    <s v="Actual"/>
    <s v="Long Maturity"/>
    <n v="402"/>
    <x v="130"/>
    <n v="470980.19"/>
    <x v="40"/>
    <d v="2018-10-26T00:00:00"/>
    <n v="25.150684931506849"/>
    <d v="2043-11-15T00:00:00"/>
    <n v="301"/>
    <n v="275"/>
    <d v="2021-01-02T00:00:00"/>
    <s v="Cueva Contract Inc"/>
    <s v="Syracuse, NY 13210"/>
    <n v="13210"/>
    <x v="15"/>
    <x v="59"/>
    <s v="Q"/>
    <s v=""/>
    <s v=""/>
    <x v="8"/>
    <n v="0.01"/>
    <s v="Grow America Fund, Inc."/>
    <s v="Furniture Merchant Wholesalers"/>
  </r>
  <r>
    <n v="308926.11"/>
    <n v="2951277010"/>
    <s v="Actual"/>
    <s v="Long Maturity"/>
    <n v="402"/>
    <x v="131"/>
    <n v="975931.1"/>
    <x v="25"/>
    <d v="2018-10-29T00:00:00"/>
    <n v="25.347945205479455"/>
    <d v="2043-11-15T00:00:00"/>
    <n v="301"/>
    <n v="275"/>
    <d v="2020-12-31T00:00:00"/>
    <s v="Haslet Elite Learning Center, LLC."/>
    <s v="Haslet, OK 76052"/>
    <n v="76052"/>
    <x v="32"/>
    <x v="0"/>
    <s v="Q"/>
    <s v=""/>
    <s v=""/>
    <x v="0"/>
    <n v="0.01"/>
    <s v="Peoples Bank and Trust Company"/>
    <s v="Child Day Care Services"/>
  </r>
  <r>
    <n v="309465.11"/>
    <n v="3949607008"/>
    <s v="Actual"/>
    <s v="Long Maturity"/>
    <n v="402"/>
    <x v="132"/>
    <n v="184020.35"/>
    <x v="18"/>
    <d v="2019-09-12T00:00:00"/>
    <n v="15.64931506849315"/>
    <d v="2044-10-15T00:00:00"/>
    <n v="301"/>
    <n v="286"/>
    <d v="2020-12-31T00:00:00"/>
    <s v="Lam Hoang Tran and Hien Thi Ngo dba Drippy Car Wash"/>
    <s v="Houston,TX 77031"/>
    <n v="77031"/>
    <x v="0"/>
    <x v="16"/>
    <s v="Q"/>
    <s v=""/>
    <s v=""/>
    <x v="3"/>
    <n v="0.03"/>
    <s v="Southwestern National Bank"/>
    <s v="Car Washes"/>
  </r>
  <r>
    <n v="309789.11"/>
    <n v="4029047008"/>
    <s v="Actual"/>
    <s v="Long Maturity"/>
    <n v="402"/>
    <x v="133"/>
    <n v="180806.94"/>
    <x v="23"/>
    <d v="2019-11-01T00:00:00"/>
    <n v="12.953424657534246"/>
    <d v="2044-12-15T00:00:00"/>
    <n v="301"/>
    <n v="288"/>
    <d v="2021-01-03T00:00:00"/>
    <s v="E&amp;J Transportation Inc"/>
    <s v="Pasadena, TX 77505"/>
    <n v="77505"/>
    <x v="0"/>
    <x v="60"/>
    <s v="Q"/>
    <s v=""/>
    <s v=""/>
    <x v="2"/>
    <n v="0.03"/>
    <s v="Community Bank of Texas, NA"/>
    <s v="General Freight Trucking, Local"/>
  </r>
  <r>
    <n v="309870.11"/>
    <n v="3979757008"/>
    <s v="Actual"/>
    <s v="Long Maturity"/>
    <n v="402"/>
    <x v="134"/>
    <n v="171078.38"/>
    <x v="23"/>
    <d v="2019-11-12T00:00:00"/>
    <n v="12.624657534246573"/>
    <d v="2044-12-15T00:00:00"/>
    <n v="301"/>
    <n v="288"/>
    <d v="2020-12-31T00:00:00"/>
    <s v="HSDB, LLC DBA Heebner Meats and HSDL, LLC"/>
    <s v="Harleysville, PA 19438"/>
    <n v="19438"/>
    <x v="11"/>
    <x v="61"/>
    <s v="Q"/>
    <s v=""/>
    <s v=""/>
    <x v="2"/>
    <n v="0.03"/>
    <s v="Univest Bank and Trust Co."/>
    <s v="Meat and Meat Product Merchant Wholesalers"/>
  </r>
  <r>
    <n v="309962.11"/>
    <n v="4099587001"/>
    <s v="Actual"/>
    <s v="Long Maturity"/>
    <n v="402"/>
    <x v="135"/>
    <n v="1020593.13"/>
    <x v="4"/>
    <d v="2019-11-25T00:00:00"/>
    <n v="13.216438356164382"/>
    <d v="2044-12-15T00:00:00"/>
    <n v="301"/>
    <n v="288"/>
    <d v="2020-12-31T00:00:00"/>
    <s v="Dhani Group LLC dba Regency Inn"/>
    <s v="Houston, TX 77083"/>
    <n v="77083"/>
    <x v="0"/>
    <x v="19"/>
    <s v="Q"/>
    <s v=""/>
    <s v=""/>
    <x v="5"/>
    <n v="0.03"/>
    <s v="Southwestern National Bank"/>
    <s v="Hotels (except Casino Hotels) and Motels"/>
  </r>
  <r>
    <n v="310648.11"/>
    <n v="4174967009"/>
    <s v="Actual"/>
    <s v="Long Maturity"/>
    <n v="402"/>
    <x v="136"/>
    <n v="1453557.46"/>
    <x v="18"/>
    <d v="2020-01-30T00:00:00"/>
    <n v="10.06027397260274"/>
    <d v="2045-02-15T00:00:00"/>
    <n v="301"/>
    <n v="290"/>
    <d v="2021-01-02T00:00:00"/>
    <s v="Brighton Golf Partners LLC"/>
    <s v="Riverview, FL 33579"/>
    <n v="33579"/>
    <x v="1"/>
    <x v="43"/>
    <s v="Q"/>
    <s v=""/>
    <s v=""/>
    <x v="2"/>
    <n v="0.05"/>
    <s v="First Citrus Bank"/>
    <s v="Other Amusement and Recreation Industries"/>
  </r>
  <r>
    <n v="310872.11"/>
    <n v="4196567008"/>
    <s v="Actual"/>
    <s v="Long Maturity"/>
    <n v="402"/>
    <x v="137"/>
    <n v="1342511.2"/>
    <x v="13"/>
    <d v="2020-01-23T00:00:00"/>
    <n v="10.224657534246576"/>
    <d v="2045-02-15T00:00:00"/>
    <n v="301"/>
    <n v="290"/>
    <d v="2021-01-02T00:00:00"/>
    <s v="Co Weekly LLC dba Weekly Inn"/>
    <s v="Lakewood, CO 80214"/>
    <n v="80214"/>
    <x v="33"/>
    <x v="19"/>
    <s v="Q"/>
    <s v=""/>
    <s v=""/>
    <x v="6"/>
    <n v="0.05"/>
    <s v="Open Bank"/>
    <s v="Hotels (except Casino Hotels) and Motels"/>
  </r>
  <r>
    <n v="303871.11"/>
    <n v="9414625001"/>
    <s v="Actual"/>
    <s v="Long Maturity"/>
    <n v="402"/>
    <x v="138"/>
    <n v="977266.75"/>
    <x v="41"/>
    <d v="2017-04-14T00:00:00"/>
    <n v="43.566666666666663"/>
    <d v="2037-05-15T00:00:00"/>
    <n v="241"/>
    <n v="197"/>
    <d v="2021-01-01T00:00:00"/>
    <s v="Orlando Preowned LLC &amp; AMB Property Management LLC"/>
    <s v="Orlando, FL 32808"/>
    <n v="32808"/>
    <x v="1"/>
    <x v="20"/>
    <s v="Q"/>
    <s v=""/>
    <s v=""/>
    <x v="2"/>
    <n v="0"/>
    <s v="BankUnited, N.A."/>
    <s v="Used Car Dealers"/>
  </r>
  <r>
    <n v="304331.11"/>
    <n v="9514815007"/>
    <s v="Actual"/>
    <s v="Long Maturity"/>
    <n v="402"/>
    <x v="139"/>
    <n v="1963059.24"/>
    <x v="8"/>
    <d v="2017-06-09T00:00:00"/>
    <n v="41.786301369863011"/>
    <d v="2039-07-15T00:00:00"/>
    <n v="265"/>
    <n v="223"/>
    <d v="2021-01-01T00:00:00"/>
    <s v="KK USA Properties LLC and KK USA Chevron Inc dba Holcomb Chevron Food "/>
    <s v="Alpharetta, GA  30022"/>
    <n v="30022"/>
    <x v="2"/>
    <x v="4"/>
    <s v="Q"/>
    <s v=""/>
    <s v=""/>
    <x v="5"/>
    <n v="0"/>
    <s v="MetroCity Bank"/>
    <s v="Gasoline Stations with Convenience Stores"/>
  </r>
  <r>
    <n v="305279.11"/>
    <n v="9378855002"/>
    <s v="Actual"/>
    <s v="Long Maturity"/>
    <n v="402"/>
    <x v="140"/>
    <n v="242757.55"/>
    <x v="42"/>
    <d v="2017-04-20T00:00:00"/>
    <n v="43.43013698630137"/>
    <d v="2037-05-15T00:00:00"/>
    <n v="241"/>
    <n v="197"/>
    <d v="2021-01-01T00:00:00"/>
    <s v="Airus Inc."/>
    <s v="Tampla, FL 33610"/>
    <n v="33610"/>
    <x v="1"/>
    <x v="62"/>
    <s v="Q"/>
    <s v=""/>
    <s v=""/>
    <x v="5"/>
    <n v="0"/>
    <s v="MetroCity Bank"/>
    <s v="Plumbing, Heating, and Air-Conditioning Contractors"/>
  </r>
  <r>
    <n v="305282.11"/>
    <n v="9702945008"/>
    <s v="Actual"/>
    <s v="Long Maturity"/>
    <n v="402"/>
    <x v="141"/>
    <n v="1249094.24"/>
    <x v="42"/>
    <d v="2017-09-28T00:00:00"/>
    <n v="38.136986301369859"/>
    <d v="2037-10-15T00:00:00"/>
    <n v="241"/>
    <n v="202"/>
    <d v="2021-01-01T00:00:00"/>
    <s v="Ashar Properties LLC and Ashar Enterprises USA Inc"/>
    <s v="Decatur, GA 30035"/>
    <n v="30035"/>
    <x v="2"/>
    <x v="4"/>
    <s v="Q"/>
    <s v=""/>
    <s v=""/>
    <x v="5"/>
    <n v="0"/>
    <s v="MetroCity Bank"/>
    <s v="Gasoline Stations with Convenience Stores"/>
  </r>
  <r>
    <n v="306883.11"/>
    <n v="9566785002"/>
    <s v="Actual"/>
    <s v="Long Maturity"/>
    <n v="402"/>
    <x v="142"/>
    <n v="1586071.77"/>
    <x v="35"/>
    <d v="2017-08-24T00:00:00"/>
    <n v="39.254794520547946"/>
    <d v="2042-09-15T00:00:00"/>
    <n v="301"/>
    <n v="261"/>
    <d v="2021-01-03T00:00:00"/>
    <s v="MHM Hotels, Inc."/>
    <s v="Houston, TX 77040"/>
    <n v="77040"/>
    <x v="0"/>
    <x v="19"/>
    <s v="Q"/>
    <s v=""/>
    <s v=""/>
    <x v="3"/>
    <n v="0"/>
    <s v="Spirit of Texas Bank"/>
    <s v="Hotels (except Casino Hotels) and Motels"/>
  </r>
  <r>
    <n v="306944.11"/>
    <n v="3145427007"/>
    <s v="Actual"/>
    <s v="Long Maturity"/>
    <n v="402"/>
    <x v="143"/>
    <n v="35290.339999999997"/>
    <x v="18"/>
    <d v="2018-11-07T00:00:00"/>
    <n v="24.821917808219176"/>
    <d v="2043-12-15T00:00:00"/>
    <n v="301"/>
    <n v="276"/>
    <d v="2021-01-01T00:00:00"/>
    <s v="2023 West LLC"/>
    <s v="Duluth, MN 55806"/>
    <n v="55806"/>
    <x v="24"/>
    <x v="63"/>
    <s v="Q"/>
    <s v=""/>
    <s v=""/>
    <x v="1"/>
    <n v="0.01"/>
    <s v="Northeast Entrepreneur Fund, Inc."/>
    <s v="Offices of Other Holding Companies"/>
  </r>
  <r>
    <n v="307408.11"/>
    <n v="2907707000"/>
    <s v="Actual"/>
    <s v="Long Maturity"/>
    <n v="402"/>
    <x v="144"/>
    <n v="161517.25"/>
    <x v="18"/>
    <d v="2018-12-13T00:00:00"/>
    <n v="23.599999999999998"/>
    <d v="2044-02-15T00:00:00"/>
    <n v="302"/>
    <n v="278"/>
    <d v="2021-01-01T00:00:00"/>
    <s v="Mustard Seed Development, Inc. dba Grace Academy"/>
    <s v="Ludowici, GA 31316"/>
    <n v="31316"/>
    <x v="2"/>
    <x v="0"/>
    <s v="Q"/>
    <s v=""/>
    <s v=""/>
    <x v="1"/>
    <n v="0.03"/>
    <s v="Small Business Assistance Corporatio"/>
    <s v="Child Day Care Services"/>
  </r>
  <r>
    <n v="308164.11"/>
    <n v="9543095004"/>
    <s v="Actual"/>
    <s v="Long Maturity"/>
    <n v="402"/>
    <x v="145"/>
    <n v="1336877.1299999999"/>
    <x v="43"/>
    <d v="2017-08-25T00:00:00"/>
    <n v="39.254794520547946"/>
    <d v="2042-09-15T00:00:00"/>
    <n v="301"/>
    <n v="261"/>
    <d v="2021-01-01T00:00:00"/>
    <s v="Vuong Management Corporation and Vuong Dim Sum Corporation"/>
    <s v="Doraville, GA  30340"/>
    <n v="30340"/>
    <x v="2"/>
    <x v="53"/>
    <s v="Q"/>
    <s v=""/>
    <s v=""/>
    <x v="7"/>
    <n v="0"/>
    <s v="MetroCity Bank"/>
    <s v="Other Miscellaneous Nondurable Goods Merchant Wholesalers"/>
  </r>
  <r>
    <n v="308551.11"/>
    <n v="9634305001"/>
    <s v="Actual"/>
    <s v="Long Maturity"/>
    <n v="402"/>
    <x v="146"/>
    <n v="1457081.19"/>
    <x v="42"/>
    <d v="2017-07-28T00:00:00"/>
    <n v="40.1"/>
    <d v="2043-06-15T00:00:00"/>
    <n v="311"/>
    <n v="270"/>
    <d v="2021-01-01T00:00:00"/>
    <s v="Nottoway, LLC"/>
    <s v="Acworth, GA 30102"/>
    <n v="30102"/>
    <x v="2"/>
    <x v="64"/>
    <s v="Q"/>
    <s v=""/>
    <s v=""/>
    <x v="3"/>
    <n v="0"/>
    <s v="Renasant Bank"/>
    <s v="Marinas"/>
  </r>
  <r>
    <n v="308684.11"/>
    <n v="3688707004"/>
    <s v="Actual"/>
    <s v="Long Maturity"/>
    <n v="402"/>
    <x v="147"/>
    <n v="204666.73"/>
    <x v="11"/>
    <d v="2019-05-07T00:00:00"/>
    <n v="19.06849315068493"/>
    <d v="2044-06-15T00:00:00"/>
    <n v="301"/>
    <n v="282"/>
    <d v="2021-01-07T00:00:00"/>
    <s v="One Round At A Time LLC dba Dominics NY Pizza"/>
    <s v="Ball Ground, GA 30107"/>
    <n v="30107"/>
    <x v="2"/>
    <x v="65"/>
    <s v="Q"/>
    <s v=""/>
    <s v=""/>
    <x v="2"/>
    <n v="0.03"/>
    <s v="Citizens Bank FAO Acclivity Financia"/>
    <s v="Mobile Food Services"/>
  </r>
  <r>
    <n v="308851.11"/>
    <n v="2303847006"/>
    <s v="Actual"/>
    <s v="Long Maturity"/>
    <n v="402"/>
    <x v="148"/>
    <n v="3670379.71"/>
    <x v="11"/>
    <d v="2018-05-11T00:00:00"/>
    <n v="30.706849315068492"/>
    <d v="2044-06-15T00:00:00"/>
    <n v="313"/>
    <n v="282"/>
    <d v="2021-01-02T00:00:00"/>
    <s v="Jay Mahadev, LLC"/>
    <s v="Denver, PA  17517"/>
    <n v="17517"/>
    <x v="11"/>
    <x v="19"/>
    <s v="Q"/>
    <s v=""/>
    <s v=""/>
    <x v="3"/>
    <n v="0.01"/>
    <s v="Centric Bank"/>
    <s v="Hotels (except Casino Hotels) and Motels"/>
  </r>
  <r>
    <n v="308857.11"/>
    <n v="3073567003"/>
    <s v="Actual"/>
    <s v="Long Maturity"/>
    <n v="402"/>
    <x v="149"/>
    <n v="3585909.37"/>
    <x v="13"/>
    <d v="2018-10-24T00:00:00"/>
    <n v="25.282191780821918"/>
    <d v="2043-11-15T00:00:00"/>
    <n v="301"/>
    <n v="275"/>
    <d v="2021-01-01T00:00:00"/>
    <s v="MVNS Hospitality Group, Inc."/>
    <s v="Ontario, CA  91761"/>
    <n v="91761"/>
    <x v="10"/>
    <x v="19"/>
    <s v="Q"/>
    <s v=""/>
    <s v=""/>
    <x v="5"/>
    <n v="0.01"/>
    <s v="Commercial Bank of California"/>
    <s v="Hotels (except Casino Hotels) and Motels"/>
  </r>
  <r>
    <n v="308902.11"/>
    <n v="3706237010"/>
    <s v="Actual"/>
    <s v="Long Maturity"/>
    <n v="402"/>
    <x v="150"/>
    <n v="233938.95"/>
    <x v="15"/>
    <d v="2019-06-25T00:00:00"/>
    <n v="17.260273972602739"/>
    <d v="2044-07-15T00:00:00"/>
    <n v="301"/>
    <n v="283"/>
    <d v="2021-01-01T00:00:00"/>
    <s v="Bene Holding, LLC"/>
    <s v="Jacksonville, FL 32254"/>
    <n v="32254"/>
    <x v="1"/>
    <x v="66"/>
    <s v="Q"/>
    <s v=""/>
    <s v=""/>
    <x v="1"/>
    <n v="0.03"/>
    <s v="Fidelity Bank, a division of Ameris "/>
    <s v="Tire Dealers"/>
  </r>
  <r>
    <n v="308921.11"/>
    <n v="3756897007"/>
    <s v="Actual"/>
    <s v="Long Maturity"/>
    <n v="402"/>
    <x v="151"/>
    <n v="114130.15"/>
    <x v="44"/>
    <d v="2019-07-08T00:00:00"/>
    <n v="16.766666666666666"/>
    <d v="2044-08-15T00:00:00"/>
    <n v="301"/>
    <n v="284"/>
    <d v="2021-01-01T00:00:00"/>
    <s v="A Tree 4 Me LLC "/>
    <s v="Sebastian, FL 32958"/>
    <n v="32958"/>
    <x v="1"/>
    <x v="67"/>
    <s v="Q"/>
    <s v=""/>
    <s v=""/>
    <x v="2"/>
    <n v="0.03"/>
    <s v="IBM Southeast Employees' CU"/>
    <s v="Unknown"/>
  </r>
  <r>
    <n v="308954.11"/>
    <n v="3545707007"/>
    <s v="Actual"/>
    <s v="Long Maturity"/>
    <n v="402"/>
    <x v="152"/>
    <n v="513440.85"/>
    <x v="10"/>
    <d v="2019-04-15T00:00:00"/>
    <n v="19.56164383561644"/>
    <d v="2044-05-15T00:00:00"/>
    <n v="301"/>
    <n v="281"/>
    <d v="2021-01-03T00:00:00"/>
    <s v="Jbauer Holdings LLC"/>
    <s v="New Berlin, WI 53151"/>
    <n v="53151"/>
    <x v="14"/>
    <x v="68"/>
    <s v="Q"/>
    <s v=""/>
    <s v=""/>
    <x v="1"/>
    <n v="0.03"/>
    <s v="ByLine Bank"/>
    <s v="Sports and Recreation Instruction"/>
  </r>
  <r>
    <n v="309110.11"/>
    <n v="3824527004"/>
    <s v="Actual"/>
    <s v="Long Maturity"/>
    <n v="402"/>
    <x v="153"/>
    <n v="774339.68"/>
    <x v="13"/>
    <d v="2019-08-06T00:00:00"/>
    <n v="15.846575342465751"/>
    <d v="2044-09-15T00:00:00"/>
    <n v="301"/>
    <n v="285"/>
    <d v="2021-01-03T00:00:00"/>
    <s v="OM2588 Inc."/>
    <s v="Atlanta, GA 30316"/>
    <n v="30316"/>
    <x v="2"/>
    <x v="4"/>
    <s v="Q"/>
    <s v=""/>
    <s v=""/>
    <x v="5"/>
    <n v="0.03"/>
    <s v="Citizens Bank FAO Acclivity Financia"/>
    <s v="Gasoline Stations with Convenience Stores"/>
  </r>
  <r>
    <n v="309130.11"/>
    <n v="3889807006"/>
    <s v="Actual"/>
    <s v="Long Maturity"/>
    <n v="402"/>
    <x v="154"/>
    <n v="1630740.73"/>
    <x v="11"/>
    <d v="2019-08-05T00:00:00"/>
    <n v="15.87945205479452"/>
    <d v="2044-09-15T00:00:00"/>
    <n v="301"/>
    <n v="285"/>
    <d v="2021-01-03T00:00:00"/>
    <s v="The Reign Company LLC and Liberty Electric Inc"/>
    <s v="West Jordan, UT 84088"/>
    <n v="84088"/>
    <x v="34"/>
    <x v="69"/>
    <s v="Q"/>
    <s v=""/>
    <s v=""/>
    <x v="2"/>
    <n v="0.03"/>
    <s v="Citizens Bank FAO Acclivity Financia"/>
    <s v="Electrical Contractors and Other Wiring Installation Contractors"/>
  </r>
  <r>
    <n v="309187.11"/>
    <n v="3902427005"/>
    <s v="Actual"/>
    <s v="Long Maturity"/>
    <n v="402"/>
    <x v="155"/>
    <n v="281394.34000000003"/>
    <x v="13"/>
    <d v="2019-08-13T00:00:00"/>
    <n v="15.616438356164384"/>
    <d v="2044-09-15T00:00:00"/>
    <n v="301"/>
    <n v="285"/>
    <d v="2021-01-03T00:00:00"/>
    <s v="The Right Choice Mortgage, LLC"/>
    <s v="Hammond, LA 70401"/>
    <n v="70401"/>
    <x v="20"/>
    <x v="55"/>
    <s v="Q"/>
    <s v=""/>
    <s v=""/>
    <x v="5"/>
    <n v="0.03"/>
    <s v="Citizens Bank FAO Acclivity Financia"/>
    <s v="Offices of Real Estate Agents and Brokers"/>
  </r>
  <r>
    <n v="309253.11"/>
    <n v="3877337010"/>
    <s v="Actual"/>
    <s v="Long Maturity"/>
    <n v="402"/>
    <x v="156"/>
    <n v="2175495.42"/>
    <x v="18"/>
    <d v="2019-08-07T00:00:00"/>
    <n v="15.846575342465751"/>
    <d v="2044-09-15T00:00:00"/>
    <n v="301"/>
    <n v="285"/>
    <d v="2021-01-01T00:00:00"/>
    <s v="California Inn"/>
    <s v="Salinas, CA 93901"/>
    <n v="93901"/>
    <x v="10"/>
    <x v="19"/>
    <s v="Q"/>
    <s v=""/>
    <s v=""/>
    <x v="3"/>
    <n v="0.03"/>
    <s v="Pacific Premier Bank"/>
    <s v="Hotels (except Casino Hotels) and Motels"/>
  </r>
  <r>
    <n v="309302.11"/>
    <n v="3233447002"/>
    <s v="Actual"/>
    <s v="Long Maturity"/>
    <n v="402"/>
    <x v="157"/>
    <n v="509553.04"/>
    <x v="15"/>
    <d v="2018-11-26T00:00:00"/>
    <n v="24.197260273972603"/>
    <d v="2043-12-15T00:00:00"/>
    <n v="301"/>
    <n v="276"/>
    <d v="2020-12-01T00:00:00"/>
    <s v="West Chester Campbell Real Estate Holdings LLC (EPC)"/>
    <s v="West Chester Township, OH 45069"/>
    <n v="45069"/>
    <x v="9"/>
    <x v="6"/>
    <s v="Q"/>
    <s v=""/>
    <s v=""/>
    <x v="1"/>
    <n v="0.01"/>
    <s v="United Midwest Savings Bank"/>
    <s v="Offices of Dentists"/>
  </r>
  <r>
    <n v="309363.11"/>
    <n v="2694027003"/>
    <s v="Actual"/>
    <s v="Long Maturity"/>
    <n v="402"/>
    <x v="158"/>
    <n v="1072596.45"/>
    <x v="3"/>
    <d v="2018-06-29T00:00:00"/>
    <n v="29.066666666666663"/>
    <d v="2044-06-15T00:00:00"/>
    <n v="312"/>
    <n v="282"/>
    <d v="2021-01-01T00:00:00"/>
    <s v="Bio-Haz Solutions, Inc. "/>
    <s v="Nesquehoning, PA 18240"/>
    <n v="18240"/>
    <x v="11"/>
    <x v="70"/>
    <s v="Q"/>
    <s v=""/>
    <s v=""/>
    <x v="1"/>
    <n v="0.01"/>
    <s v="Newtek Small Business Finance, Inc."/>
    <s v="Hazardous Waste Collection"/>
  </r>
  <r>
    <n v="309364.11"/>
    <n v="3857057001"/>
    <s v="Actual"/>
    <s v="Long Maturity"/>
    <n v="402"/>
    <x v="159"/>
    <n v="135199.82999999999"/>
    <x v="15"/>
    <d v="2019-08-27T00:00:00"/>
    <n v="15.133333333333333"/>
    <d v="2044-09-15T00:00:00"/>
    <n v="301"/>
    <n v="285"/>
    <d v="2021-01-01T00:00:00"/>
    <s v="Maryland Urgent Care Inc."/>
    <s v="Lanham, MD 20706"/>
    <n v="20706"/>
    <x v="19"/>
    <x v="71"/>
    <s v="Q"/>
    <s v=""/>
    <s v=""/>
    <x v="1"/>
    <n v="0.03"/>
    <s v="Newtek Small Business Finance, Inc."/>
    <s v="Offices of Physicians (except Mental Health Specialists)"/>
  </r>
  <r>
    <n v="309467.11"/>
    <n v="3175747010"/>
    <s v="Actual"/>
    <s v="Long Maturity"/>
    <n v="402"/>
    <x v="160"/>
    <n v="2182483.19"/>
    <x v="45"/>
    <d v="2018-12-07T00:00:00"/>
    <n v="23.835616438356162"/>
    <d v="2044-01-15T00:00:00"/>
    <n v="301"/>
    <n v="277"/>
    <d v="2021-01-01T00:00:00"/>
    <s v="Milli Investment, LLC and Lake City International Farmers Market, LLC"/>
    <s v="Lake City, GA  30260"/>
    <n v="30260"/>
    <x v="2"/>
    <x v="72"/>
    <s v="Q"/>
    <s v=""/>
    <s v=""/>
    <x v="7"/>
    <n v="0.03"/>
    <s v="MetroCity Bank"/>
    <s v="Supermarkets and Other Grocery (except Convenience) Stores"/>
  </r>
  <r>
    <n v="309490.11"/>
    <n v="3733687000"/>
    <s v="Actual"/>
    <s v="Long Maturity"/>
    <n v="402"/>
    <x v="161"/>
    <n v="124984.6"/>
    <x v="46"/>
    <d v="2019-06-03T00:00:00"/>
    <n v="17.983561643835614"/>
    <d v="2045-01-15T00:00:00"/>
    <n v="307"/>
    <n v="289"/>
    <d v="2021-01-01T00:00:00"/>
    <s v="The Munchy Machine LLC"/>
    <s v="Trainor, PA 19026"/>
    <n v="19026"/>
    <x v="11"/>
    <x v="22"/>
    <s v="Q"/>
    <s v=""/>
    <s v=""/>
    <x v="1"/>
    <n v="0.03"/>
    <s v="WSFS Bank"/>
    <s v="Limited-Service Restaurants"/>
  </r>
  <r>
    <n v="309550.11"/>
    <n v="2672657003"/>
    <s v="Actual"/>
    <s v="Long Maturity"/>
    <n v="402"/>
    <x v="162"/>
    <n v="754343.56"/>
    <x v="3"/>
    <d v="2018-08-02T00:00:00"/>
    <n v="27.933333333333337"/>
    <d v="2044-12-15T00:00:00"/>
    <n v="316"/>
    <n v="288"/>
    <d v="2021-01-03T00:00:00"/>
    <s v="Quaker Acres Suites LLC"/>
    <s v="Arvada, CO 80007"/>
    <n v="80007"/>
    <x v="33"/>
    <x v="15"/>
    <s v="Q"/>
    <s v=""/>
    <s v=""/>
    <x v="1"/>
    <n v="0.01"/>
    <s v="Berkshire Bank"/>
    <s v="Assisted Living Facilities for the Elderly"/>
  </r>
  <r>
    <n v="309754.11"/>
    <n v="3881147004"/>
    <s v="Actual"/>
    <s v="Long Maturity"/>
    <n v="402"/>
    <x v="163"/>
    <n v="1735304.78"/>
    <x v="19"/>
    <d v="2019-08-23T00:00:00"/>
    <n v="15.287671232876711"/>
    <d v="2044-09-15T00:00:00"/>
    <n v="301"/>
    <n v="285"/>
    <d v="2021-01-03T00:00:00"/>
    <s v="Yogiraj Mahantraj LLC"/>
    <s v="Victoria, TX 77904"/>
    <n v="77904"/>
    <x v="0"/>
    <x v="19"/>
    <s v="Q"/>
    <s v=""/>
    <s v=""/>
    <x v="6"/>
    <n v="0.03"/>
    <s v="Citizens Bank FAO Acclivity Financia"/>
    <s v="Hotels (except Casino Hotels) and Motels"/>
  </r>
  <r>
    <n v="309848.11"/>
    <n v="3987167008"/>
    <s v="Actual"/>
    <s v="Long Maturity"/>
    <n v="402"/>
    <x v="164"/>
    <n v="343863.9"/>
    <x v="2"/>
    <d v="2019-10-31T00:00:00"/>
    <n v="13.033333333333331"/>
    <d v="2044-11-15T00:00:00"/>
    <n v="301"/>
    <n v="287"/>
    <d v="2021-01-01T00:00:00"/>
    <s v="Fave Realty Inc."/>
    <s v="Jamaica, NY 11429"/>
    <n v="11429"/>
    <x v="15"/>
    <x v="21"/>
    <s v="Q"/>
    <s v=""/>
    <s v=""/>
    <x v="1"/>
    <n v="0.03"/>
    <s v="Newtek Small Business Finance, Inc."/>
    <s v="Other Activities Related to Real Estate"/>
  </r>
  <r>
    <n v="309849.11"/>
    <n v="4007377001"/>
    <s v="Actual"/>
    <s v="Long Maturity"/>
    <n v="402"/>
    <x v="165"/>
    <n v="147142.65"/>
    <x v="46"/>
    <d v="2019-11-08T00:00:00"/>
    <n v="12.766666666666666"/>
    <d v="2044-12-15T00:00:00"/>
    <n v="301"/>
    <n v="288"/>
    <d v="2021-01-01T00:00:00"/>
    <s v="East River Plumbing LLC"/>
    <s v="Priest River, ID 83856"/>
    <n v="83856"/>
    <x v="16"/>
    <x v="62"/>
    <s v="Q"/>
    <s v=""/>
    <s v=""/>
    <x v="1"/>
    <n v="0.03"/>
    <s v="Newtek Small Business Finance, Inc."/>
    <s v="Plumbing, Heating, and Air-Conditioning Contractors"/>
  </r>
  <r>
    <n v="309878.11"/>
    <n v="4081687009"/>
    <s v="Actual"/>
    <s v="Long Maturity"/>
    <n v="402"/>
    <x v="166"/>
    <n v="183883.91"/>
    <x v="46"/>
    <d v="2019-11-12T00:00:00"/>
    <n v="12.633333333333333"/>
    <d v="2044-12-15T00:00:00"/>
    <n v="301"/>
    <n v="288"/>
    <d v="2021-01-01T00:00:00"/>
    <s v="Steven French dba French Woodworking"/>
    <s v="Fairfield, CA 94533"/>
    <n v="94533"/>
    <x v="10"/>
    <x v="73"/>
    <s v="Q"/>
    <s v=""/>
    <s v=""/>
    <x v="1"/>
    <n v="0.03"/>
    <s v="Newtek Small Business Finance, Inc."/>
    <s v="Finish Carpentry Contractors"/>
  </r>
  <r>
    <n v="309903.11"/>
    <n v="3994547002"/>
    <s v="Actual"/>
    <s v="Long Maturity"/>
    <n v="402"/>
    <x v="167"/>
    <n v="882800.26"/>
    <x v="4"/>
    <d v="2019-11-05T00:00:00"/>
    <n v="12.833333333333332"/>
    <d v="2044-12-15T00:00:00"/>
    <n v="301"/>
    <n v="288"/>
    <d v="2021-01-03T00:00:00"/>
    <s v="Eston Auto Center LLC and Eston Auto Limited Liability Company"/>
    <s v="Union, NJ 07083"/>
    <n v="7083"/>
    <x v="17"/>
    <x v="20"/>
    <s v="Q"/>
    <s v=""/>
    <s v=""/>
    <x v="2"/>
    <n v="0.03"/>
    <s v="Berkshire Bank"/>
    <s v="Used Car Dealers"/>
  </r>
  <r>
    <n v="309984.11"/>
    <n v="2979937009"/>
    <s v="Actual"/>
    <s v="Long Maturity"/>
    <n v="402"/>
    <x v="168"/>
    <n v="566097.21"/>
    <x v="19"/>
    <d v="2018-11-02T00:00:00"/>
    <n v="24.986301369863014"/>
    <d v="2043-12-15T00:00:00"/>
    <n v="301"/>
    <n v="276"/>
    <d v="2021-01-01T00:00:00"/>
    <s v="Ko &amp; Yun LLP"/>
    <s v="Auburn, AL 36830"/>
    <n v="36830"/>
    <x v="35"/>
    <x v="58"/>
    <s v="Q"/>
    <s v=""/>
    <s v=""/>
    <x v="7"/>
    <n v="0.01"/>
    <s v="MetroCity Bank"/>
    <s v="Offices of Certified Public Accountants"/>
  </r>
  <r>
    <n v="309985.11"/>
    <n v="4083377003"/>
    <s v="Actual"/>
    <s v="Long Maturity"/>
    <n v="402"/>
    <x v="169"/>
    <n v="1667751.86"/>
    <x v="19"/>
    <d v="2019-11-14T00:00:00"/>
    <n v="12.591780821917808"/>
    <d v="2044-12-15T00:00:00"/>
    <n v="301"/>
    <n v="288"/>
    <d v="2021-01-01T00:00:00"/>
    <s v="Hawthorn Suites By Wyndham, Augusta"/>
    <s v="Augusta, GA 30909"/>
    <n v="30909"/>
    <x v="2"/>
    <x v="19"/>
    <s v="Q"/>
    <s v=""/>
    <s v=""/>
    <x v="7"/>
    <n v="0.03"/>
    <s v="MetroCity Bank"/>
    <s v="Hotels (except Casino Hotels) and Motels"/>
  </r>
  <r>
    <n v="310005.11"/>
    <n v="3491077001"/>
    <s v="Actual"/>
    <s v="Long Maturity"/>
    <n v="402"/>
    <x v="170"/>
    <n v="368415.77"/>
    <x v="2"/>
    <d v="2019-06-27T00:00:00"/>
    <n v="17.161643835616438"/>
    <d v="2044-10-15T00:00:00"/>
    <n v="304"/>
    <n v="286"/>
    <d v="2021-01-03T00:00:00"/>
    <s v="Vetorious LLC"/>
    <s v="Atlanta, GA 30311"/>
    <n v="30311"/>
    <x v="2"/>
    <x v="29"/>
    <s v="Q"/>
    <s v=""/>
    <s v=""/>
    <x v="1"/>
    <n v="0.03"/>
    <s v="Citizens Bank FAO Acclivity Financia"/>
    <s v="Veterinary Services"/>
  </r>
  <r>
    <n v="310133.11"/>
    <n v="4125247009"/>
    <s v="Actual"/>
    <s v="Long Maturity"/>
    <n v="402"/>
    <x v="171"/>
    <n v="114885.88"/>
    <x v="2"/>
    <d v="2019-12-10T00:00:00"/>
    <n v="11.7"/>
    <d v="2045-01-15T00:00:00"/>
    <n v="301"/>
    <n v="289"/>
    <d v="2021-01-01T00:00:00"/>
    <s v="Helping Hands Group Daycare dba Dawn to Dusk Learning &amp; Child Care LLC"/>
    <s v="Tremont, PA 17981"/>
    <n v="17981"/>
    <x v="11"/>
    <x v="0"/>
    <s v="Q"/>
    <s v=""/>
    <s v=""/>
    <x v="1"/>
    <n v="0.05"/>
    <s v="Newtek Small Business Finance, Inc."/>
    <s v="Child Day Care Services"/>
  </r>
  <r>
    <n v="310143.11"/>
    <n v="3998117010"/>
    <s v="Actual"/>
    <s v="Long Maturity"/>
    <n v="402"/>
    <x v="172"/>
    <n v="383128.33"/>
    <x v="23"/>
    <d v="2019-11-21T00:00:00"/>
    <n v="12.328767123287673"/>
    <d v="2044-12-15T00:00:00"/>
    <n v="301"/>
    <n v="288"/>
    <d v="2021-01-03T00:00:00"/>
    <s v="West Seven Liquor, Inc."/>
    <s v="Detroit, MI 48219"/>
    <n v="48219"/>
    <x v="8"/>
    <x v="27"/>
    <s v="Q"/>
    <s v=""/>
    <s v=""/>
    <x v="2"/>
    <n v="0.03"/>
    <s v="ByLine Bank"/>
    <s v="Convenience Stores"/>
  </r>
  <r>
    <n v="310185.11"/>
    <n v="4081107010"/>
    <s v="Actual"/>
    <s v="Long Maturity"/>
    <n v="402"/>
    <x v="173"/>
    <n v="386648.09"/>
    <x v="2"/>
    <d v="2019-12-12T00:00:00"/>
    <n v="11.633333333333333"/>
    <d v="2045-01-15T00:00:00"/>
    <n v="301"/>
    <n v="289"/>
    <d v="2021-01-01T00:00:00"/>
    <s v="Belle Properties Northwest, Inc and Wondrous Weddings LLC"/>
    <s v="Snohomish, WA 98290"/>
    <n v="98290"/>
    <x v="13"/>
    <x v="74"/>
    <s v="Q"/>
    <s v=""/>
    <s v=""/>
    <x v="1"/>
    <n v="0.05"/>
    <s v="Newtek Small Business Finance, Inc."/>
    <s v="All Other Personal Services"/>
  </r>
  <r>
    <n v="310198.11"/>
    <n v="4129947004"/>
    <s v="Actual"/>
    <s v="Long Maturity"/>
    <n v="402"/>
    <x v="174"/>
    <n v="3682712.2"/>
    <x v="11"/>
    <d v="2019-12-16T00:00:00"/>
    <n v="11.5"/>
    <d v="2045-01-15T00:00:00"/>
    <n v="301"/>
    <n v="289"/>
    <d v="2021-01-01T00:00:00"/>
    <s v="Signco America LP"/>
    <s v="Houston, TX 77041"/>
    <n v="77041"/>
    <x v="0"/>
    <x v="75"/>
    <s v="Q"/>
    <s v=""/>
    <s v=""/>
    <x v="1"/>
    <n v="0.05"/>
    <s v="Newtek Small Business Finance, Inc."/>
    <s v="Sign Manufacturing"/>
  </r>
  <r>
    <n v="310261.11"/>
    <n v="4151687005"/>
    <s v="Actual"/>
    <s v="Long Maturity"/>
    <n v="402"/>
    <x v="175"/>
    <n v="1171011.18"/>
    <x v="23"/>
    <d v="2019-12-19T00:00:00"/>
    <n v="11.399999999999999"/>
    <d v="2045-01-15T00:00:00"/>
    <n v="301"/>
    <n v="289"/>
    <d v="2021-01-01T00:00:00"/>
    <s v="Kuros LLC dba Alexander Lake Lodge"/>
    <s v="Cedaredge, CO 81413"/>
    <n v="81413"/>
    <x v="33"/>
    <x v="19"/>
    <s v="Q"/>
    <s v=""/>
    <s v=""/>
    <x v="1"/>
    <n v="0.05"/>
    <s v="Newtek Small Business Finance, Inc."/>
    <s v="Hotels (except Casino Hotels) and Motels"/>
  </r>
  <r>
    <n v="310262.11"/>
    <n v="4091847002"/>
    <s v="Actual"/>
    <s v="Long Maturity"/>
    <n v="402"/>
    <x v="176"/>
    <n v="677892.14"/>
    <x v="4"/>
    <d v="2019-12-20T00:00:00"/>
    <n v="11.408219178082192"/>
    <d v="2045-01-15T00:00:00"/>
    <n v="301"/>
    <n v="289"/>
    <d v="2020-12-01T00:00:00"/>
    <s v="Ganesh Hospitality LLC"/>
    <s v="Franklin, NC  28734"/>
    <n v="28734"/>
    <x v="6"/>
    <x v="19"/>
    <s v="Q"/>
    <s v=""/>
    <s v=""/>
    <x v="5"/>
    <n v="0.05"/>
    <s v="United Midwest Savings Bank"/>
    <s v="Hotels (except Casino Hotels) and Motels"/>
  </r>
  <r>
    <n v="310263.11"/>
    <n v="3895277009"/>
    <s v="Actual"/>
    <s v="Long Maturity"/>
    <n v="402"/>
    <x v="177"/>
    <n v="1300926.7"/>
    <x v="19"/>
    <d v="2019-08-21T00:00:00"/>
    <n v="15.386301369863014"/>
    <d v="2044-09-15T00:00:00"/>
    <n v="301"/>
    <n v="285"/>
    <d v="2020-12-01T00:00:00"/>
    <s v="Seville Hospitality Services LLC "/>
    <s v="Seville, OH 44273"/>
    <n v="44273"/>
    <x v="9"/>
    <x v="19"/>
    <s v="Q"/>
    <s v=""/>
    <s v=""/>
    <x v="4"/>
    <n v="0.03"/>
    <s v="United Midwest Savings Bank"/>
    <s v="Hotels (except Casino Hotels) and Motels"/>
  </r>
  <r>
    <n v="310264.11"/>
    <n v="3891517001"/>
    <s v="Actual"/>
    <s v="Long Maturity"/>
    <n v="402"/>
    <x v="178"/>
    <n v="330828.64"/>
    <x v="2"/>
    <d v="2019-08-21T00:00:00"/>
    <n v="15.386301369863014"/>
    <d v="2044-09-15T00:00:00"/>
    <n v="301"/>
    <n v="285"/>
    <d v="2020-12-01T00:00:00"/>
    <s v="Jacobs Memorial Services LLC "/>
    <s v="Baird, TX 79504"/>
    <n v="79504"/>
    <x v="0"/>
    <x v="76"/>
    <s v="Q"/>
    <s v=""/>
    <s v=""/>
    <x v="1"/>
    <n v="0.03"/>
    <s v="United Midwest Savings Bank"/>
    <s v="Funeral Homes and Funeral Services"/>
  </r>
  <r>
    <n v="310265.11"/>
    <n v="3886087009"/>
    <s v="Actual"/>
    <s v="Long Maturity"/>
    <n v="402"/>
    <x v="179"/>
    <n v="379654.96"/>
    <x v="2"/>
    <d v="2019-08-16T00:00:00"/>
    <n v="15.550684931506847"/>
    <d v="2044-12-15T00:00:00"/>
    <n v="304"/>
    <n v="288"/>
    <d v="2020-12-01T00:00:00"/>
    <s v="Meeker Rentals LLC dba Meekers Venue "/>
    <s v="Delaware, OH 43015"/>
    <n v="43015"/>
    <x v="9"/>
    <x v="77"/>
    <s v="Q"/>
    <s v=""/>
    <s v=""/>
    <x v="1"/>
    <n v="0.03"/>
    <s v="United Midwest Savings Bank"/>
    <s v="General Rental Centers"/>
  </r>
  <r>
    <n v="310266.11"/>
    <n v="3860877001"/>
    <s v="Actual"/>
    <s v="Long Maturity"/>
    <n v="402"/>
    <x v="180"/>
    <n v="1049524.94"/>
    <x v="4"/>
    <d v="2019-07-29T00:00:00"/>
    <n v="16.142465753424656"/>
    <d v="2044-08-15T00:00:00"/>
    <n v="301"/>
    <n v="284"/>
    <d v="2020-12-01T00:00:00"/>
    <s v="Jay Ambe Lodging LLC dba Nephi 9 Inn "/>
    <s v="Nephi, UT 84648"/>
    <n v="84648"/>
    <x v="34"/>
    <x v="19"/>
    <s v="Q"/>
    <s v=""/>
    <s v=""/>
    <x v="5"/>
    <n v="0.03"/>
    <s v="United Midwest Savings Bank"/>
    <s v="Hotels (except Casino Hotels) and Motels"/>
  </r>
  <r>
    <n v="310267.11"/>
    <n v="3856567010"/>
    <s v="Actual"/>
    <s v="Long Maturity"/>
    <n v="402"/>
    <x v="181"/>
    <n v="1140067.1399999999"/>
    <x v="18"/>
    <d v="2019-07-24T00:00:00"/>
    <n v="16.306849315068494"/>
    <d v="2044-08-15T00:00:00"/>
    <n v="301"/>
    <n v="284"/>
    <d v="2020-12-01T00:00:00"/>
    <s v="Sahajanand Hospitality Inc. dba Quality Inn"/>
    <s v="Forsyth, IL 62535"/>
    <n v="62535"/>
    <x v="3"/>
    <x v="19"/>
    <s v="Q"/>
    <s v=""/>
    <s v=""/>
    <x v="4"/>
    <n v="0.03"/>
    <s v="United Midwest Savings Bank"/>
    <s v="Hotels (except Casino Hotels) and Motels"/>
  </r>
  <r>
    <n v="310289.11"/>
    <n v="4131457009"/>
    <s v="Actual"/>
    <s v="Long Maturity"/>
    <n v="402"/>
    <x v="182"/>
    <n v="294591.08"/>
    <x v="46"/>
    <d v="2019-12-27T00:00:00"/>
    <n v="11.133333333333333"/>
    <d v="2045-01-15T00:00:00"/>
    <n v="301"/>
    <n v="289"/>
    <d v="2021-01-01T00:00:00"/>
    <s v="Tatoo Tony's Under My Skin LLC"/>
    <s v="Atlantic Highlands, NJ 07716"/>
    <n v="7716"/>
    <x v="17"/>
    <x v="78"/>
    <s v="Q"/>
    <s v=""/>
    <s v=""/>
    <x v="1"/>
    <n v="0.05"/>
    <s v="Newtek Small Business Finance, Inc."/>
    <s v="Other Personal Care Services"/>
  </r>
  <r>
    <n v="310298.11"/>
    <n v="4156847004"/>
    <s v="Actual"/>
    <s v="Long Maturity"/>
    <n v="402"/>
    <x v="183"/>
    <n v="126671.01"/>
    <x v="46"/>
    <d v="2019-12-30T00:00:00"/>
    <n v="11.033333333333333"/>
    <d v="2045-01-15T00:00:00"/>
    <n v="301"/>
    <n v="289"/>
    <d v="2021-01-01T00:00:00"/>
    <s v="Kiddie Garden Child Development Center LLC"/>
    <s v="Milwaukee, WI 53209"/>
    <n v="53209"/>
    <x v="14"/>
    <x v="0"/>
    <s v="Q"/>
    <s v=""/>
    <s v=""/>
    <x v="1"/>
    <n v="0.05"/>
    <s v="Newtek Small Business Finance, Inc."/>
    <s v="Child Day Care Services"/>
  </r>
  <r>
    <n v="310400.11"/>
    <n v="4113277010"/>
    <s v="Actual"/>
    <s v="Long Maturity"/>
    <n v="402"/>
    <x v="184"/>
    <n v="57980.77"/>
    <x v="46"/>
    <d v="2019-12-05T00:00:00"/>
    <n v="11.901369863013699"/>
    <d v="2045-01-15T00:00:00"/>
    <n v="301"/>
    <n v="289"/>
    <d v="2021-01-01T00:00:00"/>
    <s v="Serena's Carpet Incorporated"/>
    <s v="Ely, MN 55731"/>
    <n v="55731"/>
    <x v="24"/>
    <x v="79"/>
    <s v="Q"/>
    <s v=""/>
    <s v=""/>
    <x v="1"/>
    <n v="0.05"/>
    <s v="Northeast Entrepreneur Fund, Inc."/>
    <s v="All Other Miscellaneous Store Retailers (except Tobacco Stores)"/>
  </r>
  <r>
    <n v="310415.11"/>
    <n v="4130757003"/>
    <s v="Actual"/>
    <s v="Long Maturity"/>
    <n v="402"/>
    <x v="185"/>
    <n v="3010069.61"/>
    <x v="21"/>
    <d v="2020-01-07T00:00:00"/>
    <n v="10.783561643835617"/>
    <d v="2045-02-15T00:00:00"/>
    <n v="301"/>
    <n v="290"/>
    <d v="2021-01-03T00:00:00"/>
    <s v="Xama Hotels LLC"/>
    <s v="Victoria, TX 77901"/>
    <n v="77901"/>
    <x v="0"/>
    <x v="19"/>
    <s v="Q"/>
    <s v=""/>
    <s v=""/>
    <x v="6"/>
    <n v="0.05"/>
    <s v="Citizens Bank FAO Acclivity Financia"/>
    <s v="Hotels (except Casino Hotels) and Motels"/>
  </r>
  <r>
    <n v="310560.11"/>
    <n v="4172977008"/>
    <s v="Actual"/>
    <s v="Long Maturity"/>
    <n v="402"/>
    <x v="186"/>
    <n v="2257330.63"/>
    <x v="12"/>
    <d v="2020-01-06T00:00:00"/>
    <n v="10.816438356164383"/>
    <d v="2045-02-15T00:00:00"/>
    <n v="301"/>
    <n v="290"/>
    <d v="2020-12-28T00:00:00"/>
    <s v="Three Twenty Peach Hospitality LLC"/>
    <s v="Augusta, GA 30907"/>
    <n v="30907"/>
    <x v="2"/>
    <x v="19"/>
    <s v="Q"/>
    <s v=""/>
    <s v=""/>
    <x v="5"/>
    <n v="0.05"/>
    <s v="MINT National Bank"/>
    <s v="Hotels (except Casino Hotels) and Motels"/>
  </r>
  <r>
    <n v="310722.11"/>
    <n v="4080847007"/>
    <s v="Actual"/>
    <s v="Long Maturity"/>
    <n v="402"/>
    <x v="187"/>
    <n v="1263410.8600000001"/>
    <x v="10"/>
    <d v="2019-11-14T00:00:00"/>
    <n v="12.591780821917808"/>
    <d v="2044-12-15T00:00:00"/>
    <n v="301"/>
    <n v="288"/>
    <d v="2020-12-01T00:00:00"/>
    <s v="2622 W Walnut St Unit #202 &amp; #210 dba Super Laundry City"/>
    <s v="Garland, TX 75042"/>
    <n v="75042"/>
    <x v="0"/>
    <x v="80"/>
    <s v="Q"/>
    <s v=""/>
    <s v=""/>
    <x v="4"/>
    <n v="0.03"/>
    <s v="Velocity SBA, LLC"/>
    <s v="Unknown"/>
  </r>
  <r>
    <n v="310724.11"/>
    <n v="4073157003"/>
    <s v="Actual"/>
    <s v="Long Maturity"/>
    <n v="402"/>
    <x v="188"/>
    <n v="335916.94"/>
    <x v="5"/>
    <d v="2019-11-15T00:00:00"/>
    <n v="12.526027397260275"/>
    <d v="2044-12-15T00:00:00"/>
    <n v="301"/>
    <n v="288"/>
    <d v="2021-01-03T00:00:00"/>
    <s v="R Sayaan Inc dba Sunoco Crystal River"/>
    <s v="Crystal River, FL 33429"/>
    <n v="33429"/>
    <x v="1"/>
    <x v="4"/>
    <s v="Q"/>
    <s v=""/>
    <s v=""/>
    <x v="3"/>
    <n v="0.03"/>
    <s v="Citizens Bank FAO Acclivity Financia"/>
    <s v="Gasoline Stations with Convenience Stores"/>
  </r>
  <r>
    <n v="310732.11"/>
    <n v="4056897000"/>
    <s v="Actual"/>
    <s v="Long Maturity"/>
    <n v="402"/>
    <x v="189"/>
    <n v="1000444.51"/>
    <x v="44"/>
    <d v="2019-11-01T00:00:00"/>
    <n v="12.986301369863014"/>
    <d v="2044-12-15T00:00:00"/>
    <n v="301"/>
    <n v="288"/>
    <d v="2021-01-03T00:00:00"/>
    <s v="27 SP LLC (EPC) &amp; SS26, LLC (OC)"/>
    <s v="Plano, TX 75025"/>
    <n v="75025"/>
    <x v="0"/>
    <x v="81"/>
    <s v="Q"/>
    <s v=""/>
    <s v=""/>
    <x v="6"/>
    <n v="0.03"/>
    <s v="Citizens Bank FAO Acclivity Financia"/>
    <s v="Drycleaning and Laundry Services (except Coin-Operated)"/>
  </r>
  <r>
    <n v="310740.11"/>
    <n v="3993117000"/>
    <s v="Actual"/>
    <s v="Long Maturity"/>
    <n v="402"/>
    <x v="190"/>
    <n v="563286.5"/>
    <x v="3"/>
    <d v="2019-10-30T00:00:00"/>
    <n v="13.052054794520549"/>
    <d v="2044-11-15T00:00:00"/>
    <n v="301"/>
    <n v="287"/>
    <d v="2021-01-05T00:00:00"/>
    <s v="Rite Time Market LLC dba Pearcy Mall"/>
    <s v="Pearcy, AR 71964"/>
    <n v="71964"/>
    <x v="25"/>
    <x v="4"/>
    <s v="Q"/>
    <s v=""/>
    <s v=""/>
    <x v="1"/>
    <n v="0.03"/>
    <s v="Citizens Bank FAO Acclivity Financia"/>
    <s v="Gasoline Stations with Convenience Stores"/>
  </r>
  <r>
    <n v="310741.11"/>
    <n v="3992007000"/>
    <s v="Actual"/>
    <s v="Long Maturity"/>
    <n v="402"/>
    <x v="191"/>
    <n v="264512.84000000003"/>
    <x v="3"/>
    <d v="2019-10-30T00:00:00"/>
    <n v="13.033333333333331"/>
    <d v="2044-11-15T00:00:00"/>
    <n v="301"/>
    <n v="287"/>
    <d v="2021-01-01T00:00:00"/>
    <s v="BGB Leasing Co."/>
    <s v="Princeton, KY 42445"/>
    <n v="42445"/>
    <x v="7"/>
    <x v="82"/>
    <s v="Q"/>
    <s v=""/>
    <s v=""/>
    <x v="1"/>
    <n v="0.03"/>
    <s v="Newtek Small Business Finance, Inc."/>
    <s v="General Freight Trucking, Long-Distance, Truckload"/>
  </r>
  <r>
    <n v="310783.11"/>
    <n v="3904907000"/>
    <s v="Actual"/>
    <s v="Long Maturity"/>
    <n v="402"/>
    <x v="192"/>
    <n v="2005337.33"/>
    <x v="44"/>
    <d v="2019-09-12T00:00:00"/>
    <n v="14.663013698630138"/>
    <d v="2044-10-15T00:00:00"/>
    <n v="301"/>
    <n v="286"/>
    <d v="2021-01-01T00:00:00"/>
    <s v="La Chiquita Investment LLC &amp; Bazar La Chiquita, LLC &amp; Chi'bal Corp."/>
    <s v="Silver Springs, MD 20902"/>
    <n v="20902"/>
    <x v="19"/>
    <x v="83"/>
    <s v="Q"/>
    <s v=""/>
    <s v=""/>
    <x v="6"/>
    <n v="0.03"/>
    <s v="MetroCity Bank"/>
    <s v="Financial Transactions Processing, Reserve, and Clearinghouse Activities"/>
  </r>
  <r>
    <n v="310853.11"/>
    <n v="4234597008"/>
    <s v="Actual"/>
    <s v="Long Maturity"/>
    <n v="402"/>
    <x v="193"/>
    <n v="2692746.22"/>
    <x v="19"/>
    <d v="2020-02-21T00:00:00"/>
    <n v="9.3369863013698637"/>
    <d v="2045-03-15T00:00:00"/>
    <n v="301"/>
    <n v="291"/>
    <d v="2020-12-01T00:00:00"/>
    <s v="IAI Hospitality LLC"/>
    <s v="Mentor, OH  44060"/>
    <n v="44060"/>
    <x v="9"/>
    <x v="19"/>
    <s v="Q"/>
    <s v=""/>
    <s v=""/>
    <x v="7"/>
    <n v="0.05"/>
    <s v="United Midwest Savings Bank"/>
    <s v="Hotels (except Casino Hotels) and Motels"/>
  </r>
  <r>
    <n v="310855.11"/>
    <n v="3904487005"/>
    <s v="Actual"/>
    <s v="Long Maturity"/>
    <n v="402"/>
    <x v="194"/>
    <n v="2812564.28"/>
    <x v="19"/>
    <d v="2019-08-23T00:00:00"/>
    <n v="15.32054794520548"/>
    <d v="2045-03-15T00:00:00"/>
    <n v="307"/>
    <n v="291"/>
    <d v="2020-12-01T00:00:00"/>
    <s v="Vital Hospitality LLC"/>
    <s v="Crescent City, CA  95531"/>
    <n v="95531"/>
    <x v="10"/>
    <x v="19"/>
    <s v="Q"/>
    <s v=""/>
    <s v=""/>
    <x v="7"/>
    <n v="0.03"/>
    <s v="United Midwest Savings Bank"/>
    <s v="Hotels (except Casino Hotels) and Motels"/>
  </r>
  <r>
    <n v="310890.11"/>
    <n v="4051507000"/>
    <s v="Actual"/>
    <s v="Long Maturity"/>
    <n v="402"/>
    <x v="195"/>
    <n v="183378.31"/>
    <x v="11"/>
    <d v="2020-02-18T00:00:00"/>
    <n v="9.4333333333333336"/>
    <d v="2045-04-15T00:00:00"/>
    <n v="302"/>
    <n v="292"/>
    <d v="2021-01-01T00:00:00"/>
    <s v="Second Son Holding Company LLC"/>
    <s v="Statesboro, GA 30458"/>
    <n v="30458"/>
    <x v="2"/>
    <x v="32"/>
    <s v="Q"/>
    <s v=""/>
    <s v=""/>
    <x v="1"/>
    <n v="0.05"/>
    <s v="Small Business Assistance Corporatio"/>
    <s v="Food Service Contractors"/>
  </r>
  <r>
    <n v="311348.11"/>
    <n v="8954527103"/>
    <s v="Actual"/>
    <s v="Long Maturity"/>
    <n v="402"/>
    <x v="196"/>
    <n v="251863.34"/>
    <x v="23"/>
    <d v="2020-04-30T00:00:00"/>
    <n v="7.0333333333333332"/>
    <d v="2045-05-15T00:00:00"/>
    <n v="301"/>
    <n v="293"/>
    <d v="2021-01-04T00:00:00"/>
    <s v="Lucky Leaf LLC"/>
    <s v="Nottingham, MD 21236"/>
    <n v="21236"/>
    <x v="19"/>
    <x v="84"/>
    <s v="Q"/>
    <s v=""/>
    <s v=""/>
    <x v="2"/>
    <n v="0.05"/>
    <s v="Berkshire Bank"/>
    <s v="Snack and Nonalcoholic Beverage Bars"/>
  </r>
  <r>
    <n v="311504.11"/>
    <n v="4370727004"/>
    <s v="Actual"/>
    <s v="Long Maturity"/>
    <n v="402"/>
    <x v="197"/>
    <n v="733123.18"/>
    <x v="13"/>
    <d v="2020-04-24T00:00:00"/>
    <n v="7.7917808219178077"/>
    <d v="2045-05-15T00:00:00"/>
    <n v="301"/>
    <n v="293"/>
    <d v="2021-01-07T00:00:00"/>
    <s v="Rocky's Corner Grocery"/>
    <s v="Kenmore, WA 98028"/>
    <n v="98028"/>
    <x v="13"/>
    <x v="27"/>
    <s v="Q"/>
    <s v=""/>
    <s v=""/>
    <x v="6"/>
    <n v="0.05"/>
    <s v="Open Bank"/>
    <s v="Convenience Stores"/>
  </r>
  <r>
    <n v="311626.11"/>
    <n v="3450087204"/>
    <s v="Actual"/>
    <s v="Long Maturity"/>
    <n v="402"/>
    <x v="198"/>
    <n v="3156278.17"/>
    <x v="13"/>
    <d v="2020-06-01T00:00:00"/>
    <n v="7.0027397260273982"/>
    <d v="2045-07-15T00:00:00"/>
    <n v="301"/>
    <n v="295"/>
    <d v="2020-12-31T00:00:00"/>
    <s v="4 Halls Enterprises Inc. H4 Property Holding LLC"/>
    <s v="Vernal, UT 84078"/>
    <n v="84078"/>
    <x v="34"/>
    <x v="85"/>
    <s v="Q"/>
    <s v=""/>
    <s v=""/>
    <x v="3"/>
    <n v="0.05"/>
    <s v="CoastalStates Bank"/>
    <s v="Nursing Care Facilities (Skilled Nursing Facilities)"/>
  </r>
  <r>
    <n v="311663.11"/>
    <n v="8597747209"/>
    <s v="Actual"/>
    <s v="Long Maturity"/>
    <n v="402"/>
    <x v="199"/>
    <n v="2410504.1"/>
    <x v="13"/>
    <d v="2020-06-02T00:00:00"/>
    <n v="5.9835616438356167"/>
    <d v="2045-07-15T00:00:00"/>
    <n v="301"/>
    <n v="295"/>
    <d v="2020-12-01T00:00:00"/>
    <s v="TRM &amp; Bapa Investment, LLC"/>
    <s v="Albuquerque, NM 87106"/>
    <n v="87106"/>
    <x v="12"/>
    <x v="19"/>
    <s v="Q"/>
    <s v=""/>
    <s v=""/>
    <x v="3"/>
    <n v="0.05"/>
    <s v="Home Loan Investment Bank, FSB"/>
    <s v="Hotels (except Casino Hotels) and Motels"/>
  </r>
  <r>
    <n v="311672.11"/>
    <n v="4194047001"/>
    <s v="Actual"/>
    <s v="Long Maturity"/>
    <n v="402"/>
    <x v="200"/>
    <n v="1428249.37"/>
    <x v="13"/>
    <d v="2020-01-31T00:00:00"/>
    <n v="10.027397260273972"/>
    <d v="2045-02-15T00:00:00"/>
    <n v="301"/>
    <n v="290"/>
    <d v="2021-01-01T00:00:00"/>
    <s v="WASH N GO 2, LLC dba Old National Hwy 5250 Car Wash"/>
    <s v="Atlanta, GA 30349"/>
    <n v="30349"/>
    <x v="2"/>
    <x v="16"/>
    <s v="Q"/>
    <s v=""/>
    <s v=""/>
    <x v="6"/>
    <n v="0.05"/>
    <s v="MetroCity Bank"/>
    <s v="Car Washes"/>
  </r>
  <r>
    <n v="311793.11"/>
    <n v="4242467004"/>
    <s v="Actual"/>
    <s v="Long Maturity"/>
    <n v="402"/>
    <x v="201"/>
    <n v="1465336.08"/>
    <x v="19"/>
    <d v="2020-06-23T00:00:00"/>
    <n v="5.2931506849315069"/>
    <d v="2045-07-15T00:00:00"/>
    <n v="301"/>
    <n v="295"/>
    <d v="2021-01-01T00:00:00"/>
    <s v="G &amp; K Covenant Properties II LLC"/>
    <s v="Lithonia, GA 30038"/>
    <n v="30038"/>
    <x v="2"/>
    <x v="0"/>
    <s v="Q"/>
    <s v=""/>
    <s v=""/>
    <x v="4"/>
    <n v="0.05"/>
    <s v="Embassy National Bank"/>
    <s v="Child Day Care Services"/>
  </r>
  <r>
    <n v="311814.11"/>
    <n v="5430677402"/>
    <s v="Actual"/>
    <s v="Long Maturity"/>
    <n v="402"/>
    <x v="202"/>
    <n v="371181.91"/>
    <x v="15"/>
    <d v="2020-06-25T00:00:00"/>
    <n v="5.2273972602739729"/>
    <d v="2037-07-15T00:00:00"/>
    <n v="205"/>
    <n v="199"/>
    <d v="2021-01-04T00:00:00"/>
    <s v="Laurito Commercial Real Estate Holdings LLC and Laurito Automotive Inc"/>
    <s v="Mohnton, PA 19540   "/>
    <n v="19540"/>
    <x v="11"/>
    <x v="8"/>
    <s v="Q"/>
    <s v=""/>
    <s v=""/>
    <x v="1"/>
    <n v="0.05"/>
    <s v="First Chatham Bank"/>
    <s v="General Automotive Repair"/>
  </r>
  <r>
    <n v="310620.11"/>
    <n v="4174327005"/>
    <s v="Actual"/>
    <s v="Long Maturity"/>
    <n v="402"/>
    <x v="203"/>
    <n v="209673.31"/>
    <x v="23"/>
    <d v="2020-01-17T00:00:00"/>
    <n v="10.487671232876712"/>
    <d v="2045-02-15T00:00:00"/>
    <n v="301"/>
    <n v="290"/>
    <d v="2021-01-05T00:00:00"/>
    <s v="M&amp;C Mgmt. Solutions LLC &amp; Central Florida Health &amp; Safety Training"/>
    <s v="Lakeland, FL 33813"/>
    <n v="33813"/>
    <x v="1"/>
    <x v="86"/>
    <s v="Q"/>
    <s v=""/>
    <s v=""/>
    <x v="2"/>
    <n v="0.05"/>
    <s v="Citizens Bank FAO Acclivity Financia"/>
    <s v="Beauty Salons"/>
  </r>
  <r>
    <n v="304116.11"/>
    <n v="1940427007"/>
    <s v="Actual"/>
    <s v="Long Maturity"/>
    <n v="402"/>
    <x v="204"/>
    <n v="213739.45"/>
    <x v="11"/>
    <d v="2018-02-02T00:00:00"/>
    <n v="34.533333333333331"/>
    <d v="2038-03-15T00:00:00"/>
    <n v="241"/>
    <n v="207"/>
    <d v="2021-01-21T00:00:00"/>
    <s v="R &amp; R Navigator LLC &amp; Ramos &amp; Ramos Enterprises LLC dba Oky Doky"/>
    <s v="Leon Valley, TX 78238"/>
    <n v="78238"/>
    <x v="0"/>
    <x v="3"/>
    <s v="Q"/>
    <s v=""/>
    <s v=""/>
    <x v="1"/>
    <n v="0.01"/>
    <s v="Vantage Bank"/>
    <s v="Full-Service Restaurants"/>
  </r>
  <r>
    <n v="305142.11"/>
    <n v="9344775004"/>
    <s v="Actual"/>
    <s v="Long Maturity"/>
    <n v="402"/>
    <x v="205"/>
    <n v="1930661.49"/>
    <x v="43"/>
    <d v="2017-03-30T00:00:00"/>
    <n v="44.153424657534245"/>
    <d v="2042-10-15T00:00:00"/>
    <n v="307"/>
    <n v="262"/>
    <d v="2021-01-04T00:00:00"/>
    <s v="Night &amp; Day Dental"/>
    <s v="Raleigh, NC 27610"/>
    <n v="27610"/>
    <x v="6"/>
    <x v="6"/>
    <s v="Q"/>
    <s v=""/>
    <s v=""/>
    <x v="7"/>
    <n v="0"/>
    <s v="Live Oak Banking Co."/>
    <s v="Offices of Dentists"/>
  </r>
  <r>
    <n v="305235.11"/>
    <n v="9269365009"/>
    <s v="Actual"/>
    <s v="Long Maturity"/>
    <n v="402"/>
    <x v="206"/>
    <n v="346373.73"/>
    <x v="34"/>
    <d v="2017-02-21T00:00:00"/>
    <n v="45.336986301369862"/>
    <d v="2042-03-15T00:00:00"/>
    <n v="301"/>
    <n v="255"/>
    <d v="2021-01-04T00:00:00"/>
    <s v="Simi Valley Medical Office, LLC (EPC) The Heart Center of Southern CA."/>
    <s v="Simi Valley, CA 93065"/>
    <n v="93065"/>
    <x v="10"/>
    <x v="71"/>
    <s v="Q"/>
    <s v=""/>
    <s v=""/>
    <x v="6"/>
    <n v="0"/>
    <s v="Royal Business Bank"/>
    <s v="Offices of Physicians (except Mental Health Specialists)"/>
  </r>
  <r>
    <n v="305270.11"/>
    <n v="9448785001"/>
    <s v="Actual"/>
    <s v="Long Maturity"/>
    <n v="402"/>
    <x v="207"/>
    <n v="1040872.8"/>
    <x v="47"/>
    <d v="2017-05-22T00:00:00"/>
    <n v="42.37808219178082"/>
    <d v="2042-06-15T00:00:00"/>
    <n v="301"/>
    <n v="258"/>
    <d v="2021-01-04T00:00:00"/>
    <s v="Moorpark Service Inc."/>
    <s v="Moorpark, CA 93021"/>
    <n v="93021"/>
    <x v="10"/>
    <x v="4"/>
    <s v="Q"/>
    <s v=""/>
    <s v=""/>
    <x v="6"/>
    <n v="0"/>
    <s v="Hanmi Bank"/>
    <s v="Gasoline Stations with Convenience Stores"/>
  </r>
  <r>
    <n v="305363.11"/>
    <n v="1214627003"/>
    <s v="Actual"/>
    <s v="Long Maturity"/>
    <n v="402"/>
    <x v="208"/>
    <n v="169207.56"/>
    <x v="48"/>
    <d v="2017-11-13T00:00:00"/>
    <n v="36.62465753424658"/>
    <d v="2042-12-15T00:00:00"/>
    <n v="301"/>
    <n v="264"/>
    <d v="2021-01-01T00:00:00"/>
    <s v="Joebec LLC"/>
    <s v="New Berlin, WI 53146"/>
    <n v="53146"/>
    <x v="14"/>
    <x v="87"/>
    <s v="Q"/>
    <s v=""/>
    <s v=""/>
    <x v="2"/>
    <n v="0"/>
    <s v="CIBM Bank"/>
    <s v="Other Direct Selling Establishments"/>
  </r>
  <r>
    <n v="305681.11"/>
    <n v="9614875000"/>
    <s v="Actual"/>
    <s v="Long Maturity"/>
    <n v="402"/>
    <x v="209"/>
    <n v="210567.91"/>
    <x v="42"/>
    <d v="2017-07-31T00:00:00"/>
    <n v="40.033333333333331"/>
    <d v="2042-08-15T00:00:00"/>
    <n v="301"/>
    <n v="260"/>
    <d v="2021-01-04T00:00:00"/>
    <s v="Milledgeville Hospitality, LLC"/>
    <s v="Milledgeville, GA 31061"/>
    <n v="31061"/>
    <x v="2"/>
    <x v="19"/>
    <s v="Q"/>
    <s v=""/>
    <s v=""/>
    <x v="5"/>
    <n v="0"/>
    <s v="Quantum National Bank"/>
    <s v="Hotels (except Casino Hotels) and Motels"/>
  </r>
  <r>
    <n v="305934.11"/>
    <n v="9380075003"/>
    <s v="Actual"/>
    <s v="Long Maturity"/>
    <n v="402"/>
    <x v="210"/>
    <n v="1990971.1"/>
    <x v="35"/>
    <d v="2017-05-02T00:00:00"/>
    <n v="43.035616438356165"/>
    <d v="2042-06-15T00:00:00"/>
    <n v="301"/>
    <n v="258"/>
    <d v="2020-12-01T00:00:00"/>
    <s v="Shubh Laxmi LLC"/>
    <s v="Raleigh, NC 27603"/>
    <n v="27603"/>
    <x v="6"/>
    <x v="19"/>
    <s v="Q"/>
    <s v=""/>
    <s v=""/>
    <x v="3"/>
    <n v="0"/>
    <s v="Customers Bank"/>
    <s v="Hotels (except Casino Hotels) and Motels"/>
  </r>
  <r>
    <n v="306051.11"/>
    <n v="9734295008"/>
    <s v="Actual"/>
    <s v="Long Maturity"/>
    <n v="402"/>
    <x v="211"/>
    <n v="946459.2"/>
    <x v="24"/>
    <d v="2017-10-04T00:00:00"/>
    <n v="37.939726027397263"/>
    <d v="2042-11-15T00:00:00"/>
    <n v="301"/>
    <n v="263"/>
    <d v="2021-01-04T00:00:00"/>
    <s v="Fox Lake OPS LLC"/>
    <s v="Antioch, IL 60002"/>
    <n v="60002"/>
    <x v="3"/>
    <x v="88"/>
    <s v="Q"/>
    <s v=""/>
    <s v=""/>
    <x v="1"/>
    <n v="0"/>
    <s v="ByLine Bank"/>
    <s v="Recreational Goods Rental"/>
  </r>
  <r>
    <n v="306374.11"/>
    <n v="9420275010"/>
    <s v="Actual"/>
    <s v="Long Maturity"/>
    <n v="402"/>
    <x v="212"/>
    <n v="2620829.69"/>
    <x v="47"/>
    <d v="2017-04-17T00:00:00"/>
    <n v="43.528767123287672"/>
    <d v="2042-05-15T00:00:00"/>
    <n v="301"/>
    <n v="257"/>
    <d v="2021-01-04T00:00:00"/>
    <s v="Joajoa, Inc. dba Summer Truck Stop"/>
    <s v="Sumner, WA 98390"/>
    <n v="98390"/>
    <x v="13"/>
    <x v="4"/>
    <s v="Q"/>
    <s v=""/>
    <s v=""/>
    <x v="6"/>
    <n v="0"/>
    <s v="Royal Business Bank"/>
    <s v="Gasoline Stations with Convenience Stores"/>
  </r>
  <r>
    <n v="307421.11"/>
    <n v="2892197009"/>
    <s v="Actual"/>
    <s v="Long Maturity"/>
    <n v="402"/>
    <x v="213"/>
    <n v="161754.23999999999"/>
    <x v="13"/>
    <d v="2018-10-01T00:00:00"/>
    <n v="26.038356164383561"/>
    <d v="2043-11-15T00:00:00"/>
    <n v="301"/>
    <n v="275"/>
    <d v="2021-01-04T00:00:00"/>
    <s v="F&amp;V Investments/Epics Counseling Services LLC"/>
    <s v="Bridgeton, MO 63044"/>
    <n v="63044"/>
    <x v="28"/>
    <x v="89"/>
    <s v="Q"/>
    <s v=""/>
    <s v=""/>
    <x v="2"/>
    <n v="0.01"/>
    <s v="Fortune Bank"/>
    <s v="Other Individual and Family Services"/>
  </r>
  <r>
    <n v="307814.11"/>
    <n v="1544897006"/>
    <s v="Actual"/>
    <s v="Long Maturity"/>
    <n v="402"/>
    <x v="214"/>
    <n v="456913.19"/>
    <x v="29"/>
    <d v="2017-11-30T00:00:00"/>
    <n v="36.065753424657537"/>
    <d v="2043-01-15T00:00:00"/>
    <n v="302"/>
    <n v="265"/>
    <d v="2021-01-06T00:00:00"/>
    <s v="Ram Tires Brothers Inc."/>
    <s v="Los Angeles, CA 90006"/>
    <n v="90006"/>
    <x v="10"/>
    <x v="90"/>
    <s v="Q"/>
    <s v=""/>
    <s v=""/>
    <x v="5"/>
    <n v="0"/>
    <s v="Pacific City Bank"/>
    <s v="Commercial Bakeries"/>
  </r>
  <r>
    <n v="307817.11"/>
    <n v="9531365005"/>
    <s v="Actual"/>
    <s v="Long Maturity"/>
    <n v="402"/>
    <x v="215"/>
    <n v="1033311.17"/>
    <x v="43"/>
    <d v="2017-06-07T00:00:00"/>
    <n v="41.852054794520548"/>
    <d v="2042-07-15T00:00:00"/>
    <n v="301"/>
    <n v="259"/>
    <d v="2021-01-04T00:00:00"/>
    <s v="NI Properties LLC"/>
    <s v="Farmers Branch, TX 75234"/>
    <n v="75234"/>
    <x v="0"/>
    <x v="53"/>
    <s v="Q"/>
    <s v=""/>
    <s v=""/>
    <x v="7"/>
    <n v="0"/>
    <s v="Pacific City Bank"/>
    <s v="Other Miscellaneous Nondurable Goods Merchant Wholesalers"/>
  </r>
  <r>
    <n v="308254.11"/>
    <n v="3497047004"/>
    <s v="Actual"/>
    <s v="Long Maturity"/>
    <n v="402"/>
    <x v="216"/>
    <n v="443234.28"/>
    <x v="15"/>
    <d v="2019-02-08T00:00:00"/>
    <n v="21.764383561643836"/>
    <d v="2044-03-15T00:00:00"/>
    <n v="301"/>
    <n v="279"/>
    <d v="2021-01-07T00:00:00"/>
    <s v="2 Peas DMD LLC dba The Oven Pizzeria"/>
    <s v="Marina, CA 93933"/>
    <n v="93933"/>
    <x v="10"/>
    <x v="22"/>
    <s v="Q"/>
    <s v=""/>
    <s v=""/>
    <x v="1"/>
    <n v="0.03"/>
    <s v="Monterey County Bank"/>
    <s v="Limited-Service Restaurants"/>
  </r>
  <r>
    <n v="308498.11"/>
    <n v="3713697006"/>
    <s v="Actual"/>
    <s v="Long Maturity"/>
    <n v="402"/>
    <x v="217"/>
    <n v="264552.89"/>
    <x v="11"/>
    <d v="2019-05-15T00:00:00"/>
    <n v="18.608219178082194"/>
    <d v="2044-06-15T00:00:00"/>
    <n v="301"/>
    <n v="282"/>
    <d v="2021-01-04T00:00:00"/>
    <s v="FJC Properties LLC (EPC) &amp; Air Care of Central FLorida LLC (OC)"/>
    <s v="Orange City, FL 32763"/>
    <n v="32763"/>
    <x v="1"/>
    <x v="62"/>
    <s v="Q"/>
    <s v=""/>
    <s v=""/>
    <x v="2"/>
    <n v="0.03"/>
    <s v="Citizens Bank FAO Acclivity Financia"/>
    <s v="Plumbing, Heating, and Air-Conditioning Contractors"/>
  </r>
  <r>
    <n v="309190.11"/>
    <n v="3886117005"/>
    <s v="Actual"/>
    <s v="Long Maturity"/>
    <n v="402"/>
    <x v="218"/>
    <n v="2489746.69"/>
    <x v="4"/>
    <d v="2019-08-15T00:00:00"/>
    <n v="15.583561643835615"/>
    <d v="2044-09-15T00:00:00"/>
    <n v="301"/>
    <n v="285"/>
    <d v="2021-01-04T00:00:00"/>
    <s v="Hylan Development Group LLC"/>
    <s v="Jericho, NY 11753"/>
    <n v="11753"/>
    <x v="15"/>
    <x v="3"/>
    <s v="Q"/>
    <s v=""/>
    <s v=""/>
    <x v="3"/>
    <n v="0.03"/>
    <s v="Citizens Bank FAO Acclivity Financia"/>
    <s v="Full-Service Restaurants"/>
  </r>
  <r>
    <n v="309236.11"/>
    <n v="1837987002"/>
    <s v="Actual"/>
    <s v="Long Maturity"/>
    <n v="402"/>
    <x v="219"/>
    <n v="842589.55"/>
    <x v="15"/>
    <d v="2018-02-27T00:00:00"/>
    <n v="33.172602739726024"/>
    <d v="2043-03-15T00:00:00"/>
    <n v="301"/>
    <n v="267"/>
    <d v="2021-01-04T00:00:00"/>
    <s v="Hairy Cow Brewing LLC"/>
    <s v="Byron, IL 61010"/>
    <n v="61010"/>
    <x v="3"/>
    <x v="12"/>
    <s v="Q"/>
    <s v=""/>
    <s v=""/>
    <x v="1"/>
    <n v="0.01"/>
    <s v="ByLine Bank"/>
    <s v="Breweries"/>
  </r>
  <r>
    <n v="309320.11"/>
    <n v="3858857007"/>
    <s v="Actual"/>
    <s v="Long Maturity"/>
    <n v="402"/>
    <x v="220"/>
    <n v="514486.21"/>
    <x v="11"/>
    <d v="2019-08-28T00:00:00"/>
    <n v="15.156164383561645"/>
    <d v="2034-09-15T00:00:00"/>
    <n v="181"/>
    <n v="165"/>
    <d v="2021-01-04T00:00:00"/>
    <s v="Crown Dental Lab of Central Florida Inc."/>
    <s v="Lakeland, FL 33801"/>
    <n v="33801"/>
    <x v="1"/>
    <x v="91"/>
    <s v="Q"/>
    <s v=""/>
    <s v=""/>
    <x v="1"/>
    <n v="0.03"/>
    <s v="Citizens Bank FAO Acclivity Financia"/>
    <s v="Dental Laboratories"/>
  </r>
  <r>
    <n v="309534.11"/>
    <n v="3035837000"/>
    <s v="Actual"/>
    <s v="Long Maturity"/>
    <n v="402"/>
    <x v="221"/>
    <n v="576008.68000000005"/>
    <x v="15"/>
    <d v="2018-10-12T00:00:00"/>
    <n v="25.676712328767124"/>
    <d v="2044-02-15T00:00:00"/>
    <n v="304"/>
    <n v="278"/>
    <d v="2021-01-04T00:00:00"/>
    <s v="Dyana LLC"/>
    <s v="Niles, IL 60714"/>
    <n v="60714"/>
    <x v="3"/>
    <x v="4"/>
    <s v="Q"/>
    <s v=""/>
    <s v=""/>
    <x v="1"/>
    <n v="0.01"/>
    <s v="ByLine Bank"/>
    <s v="Gasoline Stations with Convenience Stores"/>
  </r>
  <r>
    <n v="309598.11"/>
    <n v="3949397006"/>
    <s v="Actual"/>
    <s v="Long Maturity"/>
    <n v="402"/>
    <x v="222"/>
    <n v="3504966.24"/>
    <x v="45"/>
    <d v="2019-09-30T00:00:00"/>
    <n v="15"/>
    <d v="2044-10-15T00:00:00"/>
    <n v="301"/>
    <n v="286"/>
    <d v="2020-12-30T00:00:00"/>
    <s v="210-16 NB Property LLC"/>
    <s v="Bayside, NY 11361"/>
    <n v="11361"/>
    <x v="15"/>
    <x v="2"/>
    <s v="Q"/>
    <s v=""/>
    <s v=""/>
    <x v="7"/>
    <n v="0.03"/>
    <s v="Woori America Bank"/>
    <s v="Drinking Places (Alcoholic Beverages)"/>
  </r>
  <r>
    <n v="309682.11"/>
    <n v="3627517002"/>
    <s v="Actual"/>
    <s v="Long Maturity"/>
    <n v="402"/>
    <x v="223"/>
    <n v="1957717.18"/>
    <x v="19"/>
    <d v="2019-03-28T00:00:00"/>
    <n v="20.186301369863013"/>
    <d v="2044-04-15T00:00:00"/>
    <n v="301"/>
    <n v="280"/>
    <d v="2020-12-01T00:00:00"/>
    <s v="Sai Add Inc"/>
    <s v="Phenix City, AL 36869"/>
    <n v="36869"/>
    <x v="35"/>
    <x v="19"/>
    <s v="Q"/>
    <s v=""/>
    <s v=""/>
    <x v="6"/>
    <n v="0.03"/>
    <s v="Customers Bank"/>
    <s v="Hotels (except Casino Hotels) and Motels"/>
  </r>
  <r>
    <n v="309779.11"/>
    <n v="3029697010"/>
    <s v="Actual"/>
    <s v="Long Maturity"/>
    <n v="402"/>
    <x v="224"/>
    <n v="730183.29"/>
    <x v="6"/>
    <d v="2018-10-31T00:00:00"/>
    <n v="25.052054794520551"/>
    <d v="2043-11-15T00:00:00"/>
    <n v="301"/>
    <n v="275"/>
    <d v="2021-01-04T00:00:00"/>
    <s v="HariHar 4th LLC dba Holiday Inn Express"/>
    <s v="McComb, MS 39648"/>
    <n v="39648"/>
    <x v="23"/>
    <x v="19"/>
    <s v="Q"/>
    <s v=""/>
    <s v=""/>
    <x v="7"/>
    <n v="0.01"/>
    <s v="Embassy National Bank"/>
    <s v="Hotels (except Casino Hotels) and Motels"/>
  </r>
  <r>
    <n v="309812.11"/>
    <n v="4015927000"/>
    <s v="Actual"/>
    <s v="Long Maturity"/>
    <n v="402"/>
    <x v="225"/>
    <n v="277076.3"/>
    <x v="4"/>
    <d v="2019-10-09T00:00:00"/>
    <n v="13.775342465753425"/>
    <d v="2044-11-15T00:00:00"/>
    <n v="301"/>
    <n v="287"/>
    <d v="2021-01-04T00:00:00"/>
    <s v="Liang Ji Zhou &amp; Zhuo Nai Lai"/>
    <s v="Monterey Park, CA  91755"/>
    <n v="91755"/>
    <x v="10"/>
    <x v="44"/>
    <s v="Q"/>
    <s v=""/>
    <s v=""/>
    <x v="5"/>
    <n v="0.03"/>
    <s v="American Plus Bank, N.A."/>
    <s v="Beauty Salons"/>
  </r>
  <r>
    <n v="309826.11"/>
    <n v="4009827009"/>
    <s v="Actual"/>
    <s v="Long Maturity"/>
    <n v="402"/>
    <x v="226"/>
    <n v="2316500.7200000002"/>
    <x v="21"/>
    <d v="2019-11-01T00:00:00"/>
    <n v="13.019178082191781"/>
    <d v="2044-12-15T00:00:00"/>
    <n v="301"/>
    <n v="288"/>
    <d v="2021-01-04T00:00:00"/>
    <s v="Jalabapa Hospitality LLC"/>
    <s v="Katy, TX 77450"/>
    <n v="77450"/>
    <x v="0"/>
    <x v="19"/>
    <s v="Q"/>
    <s v=""/>
    <s v=""/>
    <x v="6"/>
    <n v="0.03"/>
    <s v="Wallis State Bank"/>
    <s v="Hotels (except Casino Hotels) and Motels"/>
  </r>
  <r>
    <n v="309866.11"/>
    <n v="4063467009"/>
    <s v="Actual"/>
    <s v="Long Maturity"/>
    <n v="402"/>
    <x v="227"/>
    <n v="544501.99"/>
    <x v="45"/>
    <d v="2019-11-07T00:00:00"/>
    <n v="12.8"/>
    <d v="2044-12-15T00:00:00"/>
    <n v="301"/>
    <n v="288"/>
    <d v="2021-01-04T00:00:00"/>
    <s v="BRP Associates LLC"/>
    <s v="New London, CT 06320"/>
    <n v="6320"/>
    <x v="36"/>
    <x v="19"/>
    <s v="Q"/>
    <s v=""/>
    <s v=""/>
    <x v="7"/>
    <n v="0.03"/>
    <s v="Savoy Bank"/>
    <s v="Hotels (except Casino Hotels) and Motels"/>
  </r>
  <r>
    <n v="309911.11"/>
    <n v="4027257008"/>
    <s v="Actual"/>
    <s v="Long Maturity"/>
    <n v="402"/>
    <x v="228"/>
    <n v="1870678.28"/>
    <x v="12"/>
    <d v="2019-10-21T00:00:00"/>
    <n v="13.38082191780822"/>
    <d v="2044-11-15T00:00:00"/>
    <n v="301"/>
    <n v="287"/>
    <d v="2021-01-04T00:00:00"/>
    <s v="Fox's Hazel Dell Car Wash"/>
    <s v="Vancouver, WA 98665"/>
    <n v="98665"/>
    <x v="13"/>
    <x v="16"/>
    <s v="Q"/>
    <s v=""/>
    <s v=""/>
    <x v="5"/>
    <n v="0.03"/>
    <s v="Pacific City Bank"/>
    <s v="Car Washes"/>
  </r>
  <r>
    <n v="309913.11"/>
    <n v="4105607002"/>
    <s v="Actual"/>
    <s v="Long Maturity"/>
    <n v="402"/>
    <x v="229"/>
    <n v="140215.82"/>
    <x v="12"/>
    <d v="2019-11-22T00:00:00"/>
    <n v="12.328767123287673"/>
    <d v="2044-12-15T00:00:00"/>
    <n v="301"/>
    <n v="288"/>
    <d v="2021-01-04T00:00:00"/>
    <s v="J Hair Cafe"/>
    <s v="Fairfax, VA 22030"/>
    <n v="22030"/>
    <x v="29"/>
    <x v="44"/>
    <s v="Q"/>
    <s v=""/>
    <s v=""/>
    <x v="5"/>
    <n v="0.03"/>
    <s v="Pacific City Bank"/>
    <s v="Beauty Salons"/>
  </r>
  <r>
    <n v="309938.11"/>
    <n v="4083967003"/>
    <s v="Actual"/>
    <s v="Long Maturity"/>
    <n v="402"/>
    <x v="230"/>
    <n v="466554.07"/>
    <x v="18"/>
    <d v="2019-11-18T00:00:00"/>
    <n v="12.46027397260274"/>
    <d v="2044-12-15T00:00:00"/>
    <n v="301"/>
    <n v="288"/>
    <d v="2021-01-04T00:00:00"/>
    <s v="My EZ Investments Inc"/>
    <s v="Melbourne, FL 32935"/>
    <n v="32935"/>
    <x v="1"/>
    <x v="4"/>
    <s v="Q"/>
    <s v=""/>
    <s v=""/>
    <x v="4"/>
    <n v="0.03"/>
    <s v="Embassy National Bank"/>
    <s v="Gasoline Stations with Convenience Stores"/>
  </r>
  <r>
    <n v="310004.11"/>
    <n v="3723167004"/>
    <s v="Actual"/>
    <s v="Long Maturity"/>
    <n v="402"/>
    <x v="231"/>
    <n v="405474.31"/>
    <x v="15"/>
    <d v="2019-05-13T00:00:00"/>
    <n v="18.673972602739727"/>
    <d v="2044-12-15T00:00:00"/>
    <n v="307"/>
    <n v="288"/>
    <d v="2021-01-04T00:00:00"/>
    <s v="Bayou Urgent Care Inc."/>
    <s v="Dayton, TX 77535"/>
    <n v="77535"/>
    <x v="0"/>
    <x v="92"/>
    <s v="Q"/>
    <s v=""/>
    <s v=""/>
    <x v="0"/>
    <n v="0.03"/>
    <s v="Citizens Bank FAO Acclivity Financia"/>
    <s v="Freestanding Ambulatory Surgical and Emergency Centers"/>
  </r>
  <r>
    <n v="310106.11"/>
    <n v="3757497007"/>
    <s v="Actual"/>
    <s v="Long Maturity"/>
    <n v="402"/>
    <x v="232"/>
    <n v="63100.47"/>
    <x v="49"/>
    <d v="2019-06-05T00:00:00"/>
    <n v="18.016438356164386"/>
    <d v="2034-07-15T00:00:00"/>
    <n v="181"/>
    <n v="163"/>
    <d v="2021-01-04T00:00:00"/>
    <s v="Danielle Gaus"/>
    <s v="Wheeling, WV 26003"/>
    <n v="26003"/>
    <x v="37"/>
    <x v="93"/>
    <s v="Q"/>
    <s v=""/>
    <s v=""/>
    <x v="0"/>
    <n v="0.03"/>
    <s v="The Huntington National Bank"/>
    <s v="Cosmetics, Beauty Supplies, and Perfume Stores"/>
  </r>
  <r>
    <n v="310156.11"/>
    <n v="4045897005"/>
    <s v="Actual"/>
    <s v="Long Maturity"/>
    <n v="402"/>
    <x v="233"/>
    <n v="3658597.65"/>
    <x v="19"/>
    <d v="2019-11-18T00:00:00"/>
    <n v="12.46027397260274"/>
    <d v="2045-01-15T00:00:00"/>
    <n v="302"/>
    <n v="289"/>
    <d v="2021-01-04T00:00:00"/>
    <s v="Discovery Hospitality LLC"/>
    <s v="Santa Rosa, NM 88435"/>
    <n v="88435"/>
    <x v="12"/>
    <x v="19"/>
    <s v="Q"/>
    <s v=""/>
    <s v=""/>
    <x v="5"/>
    <n v="0.03"/>
    <s v="Hana Small Business Lending, Inc."/>
    <s v="Hotels (except Casino Hotels) and Motels"/>
  </r>
  <r>
    <n v="310157.11"/>
    <n v="4045777004"/>
    <s v="Actual"/>
    <s v="Long Maturity"/>
    <n v="402"/>
    <x v="234"/>
    <n v="3658597.64"/>
    <x v="4"/>
    <d v="2019-11-18T00:00:00"/>
    <n v="12.46027397260274"/>
    <d v="2045-01-15T00:00:00"/>
    <n v="302"/>
    <n v="289"/>
    <d v="2021-01-04T00:00:00"/>
    <s v="Encore Hospitality LLC"/>
    <s v="Santa Rosa, NM 88435"/>
    <n v="88435"/>
    <x v="12"/>
    <x v="19"/>
    <s v="Q"/>
    <s v=""/>
    <s v=""/>
    <x v="5"/>
    <n v="0.03"/>
    <s v="Hana Small Business Lending, Inc."/>
    <s v="Hotels (except Casino Hotels) and Motels"/>
  </r>
  <r>
    <n v="310180.11"/>
    <n v="4134317008"/>
    <s v="Actual"/>
    <s v="Long Maturity"/>
    <n v="402"/>
    <x v="235"/>
    <n v="1565361.37"/>
    <x v="4"/>
    <d v="2019-12-12T00:00:00"/>
    <n v="11.638356164383563"/>
    <d v="2045-01-15T00:00:00"/>
    <n v="301"/>
    <n v="289"/>
    <d v="2021-01-03T00:00:00"/>
    <s v="Sahajanand Hospitality Group LLC"/>
    <s v="Davenport, IA 52807"/>
    <n v="52807"/>
    <x v="38"/>
    <x v="19"/>
    <s v="Q"/>
    <s v=""/>
    <s v=""/>
    <x v="5"/>
    <n v="0.05"/>
    <s v="Citizens Bank FAO Acclivity Financia"/>
    <s v="Hotels (except Casino Hotels) and Motels"/>
  </r>
  <r>
    <n v="310241.11"/>
    <n v="4086697000"/>
    <s v="Actual"/>
    <s v="Long Maturity"/>
    <n v="402"/>
    <x v="236"/>
    <n v="699292.48"/>
    <x v="37"/>
    <d v="2019-11-19T00:00:00"/>
    <n v="12.427397260273972"/>
    <d v="2045-01-15T00:00:00"/>
    <n v="302"/>
    <n v="289"/>
    <d v="2021-01-04T00:00:00"/>
    <s v="Minal LLC dba Super 8"/>
    <s v="Las Cruces, NM 88005"/>
    <n v="88005"/>
    <x v="12"/>
    <x v="19"/>
    <s v="Q"/>
    <s v=""/>
    <s v=""/>
    <x v="4"/>
    <n v="0.03"/>
    <s v="Hana Small Business Lending, Inc."/>
    <s v="Hotels (except Casino Hotels) and Motels"/>
  </r>
  <r>
    <n v="310248.11"/>
    <n v="4100737007"/>
    <s v="Actual"/>
    <s v="Long Maturity"/>
    <n v="402"/>
    <x v="237"/>
    <n v="357704.37"/>
    <x v="2"/>
    <d v="2019-12-20T00:00:00"/>
    <n v="10.454794520547946"/>
    <d v="2045-01-15T00:00:00"/>
    <n v="301"/>
    <n v="289"/>
    <d v="2020-11-02T00:00:00"/>
    <s v="Z Hospitality Services, LLC"/>
    <s v="Marrero, LA 70072"/>
    <n v="70072"/>
    <x v="20"/>
    <x v="3"/>
    <s v="Q"/>
    <s v=""/>
    <s v=""/>
    <x v="1"/>
    <n v="0.05"/>
    <s v="Stone Bank"/>
    <s v="Full-Service Restaurants"/>
  </r>
  <r>
    <n v="310290.11"/>
    <n v="4141897005"/>
    <s v="Actual"/>
    <s v="Long Maturity"/>
    <n v="402"/>
    <x v="238"/>
    <n v="879517.26"/>
    <x v="23"/>
    <d v="2019-12-20T00:00:00"/>
    <n v="11.366666666666667"/>
    <d v="2045-01-15T00:00:00"/>
    <n v="301"/>
    <n v="289"/>
    <d v="2021-01-04T00:00:00"/>
    <s v="Pet Friendly Ventures, LLC and The Pet Salon, Inc."/>
    <s v="Margate City, NJ 08402"/>
    <n v="8402"/>
    <x v="17"/>
    <x v="94"/>
    <s v="Q"/>
    <s v=""/>
    <s v=""/>
    <x v="2"/>
    <n v="0.05"/>
    <s v="Berkshire Bank"/>
    <s v="Pet and Pet Supplies Stores"/>
  </r>
  <r>
    <n v="310310.11"/>
    <n v="4118967004"/>
    <s v="Actual"/>
    <s v="Long Maturity"/>
    <n v="402"/>
    <x v="239"/>
    <n v="2342114.87"/>
    <x v="4"/>
    <d v="2019-12-20T00:00:00"/>
    <n v="11.375342465753425"/>
    <d v="2045-01-15T00:00:00"/>
    <n v="301"/>
    <n v="289"/>
    <d v="2021-01-03T00:00:00"/>
    <s v="Under the Starry Night Inc."/>
    <s v="Bloomington, IN 47401"/>
    <n v="47401"/>
    <x v="39"/>
    <x v="95"/>
    <s v="Q"/>
    <s v=""/>
    <s v=""/>
    <x v="2"/>
    <n v="0.05"/>
    <s v="Citizens Bank FAO Acclivity Financia"/>
    <s v="RV (Recreational Vehicle) Parks and Campgrounds"/>
  </r>
  <r>
    <n v="310338.11"/>
    <n v="4161237003"/>
    <s v="Actual"/>
    <s v="Long Maturity"/>
    <n v="402"/>
    <x v="240"/>
    <n v="93344.36"/>
    <x v="50"/>
    <d v="2019-12-31T00:00:00"/>
    <n v="11.901369863013699"/>
    <d v="2045-01-15T00:00:00"/>
    <n v="301"/>
    <n v="289"/>
    <d v="2021-01-19T00:00:00"/>
    <s v="Justin S. Klein"/>
    <s v="St. Cloud, MN 56303"/>
    <n v="56303"/>
    <x v="24"/>
    <x v="78"/>
    <s v="Q"/>
    <s v=""/>
    <s v=""/>
    <x v="2"/>
    <n v="0.05"/>
    <s v="Bremer Bank"/>
    <s v="Other Personal Care Services"/>
  </r>
  <r>
    <n v="310368.11"/>
    <n v="4142007009"/>
    <s v="Actual"/>
    <s v="Long Maturity"/>
    <n v="402"/>
    <x v="241"/>
    <n v="201064.44"/>
    <x v="46"/>
    <d v="2019-12-31T00:00:00"/>
    <n v="11.046575342465754"/>
    <d v="2045-01-15T00:00:00"/>
    <n v="301"/>
    <n v="289"/>
    <d v="2021-01-04T00:00:00"/>
    <s v="Granite &amp; Marble Gallery, Inc."/>
    <s v="Mundelein, IL 60060"/>
    <n v="60060"/>
    <x v="3"/>
    <x v="96"/>
    <s v="Q"/>
    <s v=""/>
    <s v=""/>
    <x v="1"/>
    <n v="0.05"/>
    <s v="ByLine Bank"/>
    <s v="Cut Stone and Stone Product Manufacturing"/>
  </r>
  <r>
    <n v="310545.11"/>
    <n v="4135787000"/>
    <s v="Actual"/>
    <s v="Long Maturity"/>
    <n v="402"/>
    <x v="242"/>
    <n v="2644220.2000000002"/>
    <x v="13"/>
    <d v="2019-12-11T00:00:00"/>
    <n v="11.704109589041096"/>
    <d v="2045-01-15T00:00:00"/>
    <n v="301"/>
    <n v="289"/>
    <d v="2021-01-04T00:00:00"/>
    <s v="Dream One LLC SJEY Enterprise Inc. dba Monkee's"/>
    <s v="Venice, CA 90291"/>
    <n v="90291"/>
    <x v="10"/>
    <x v="26"/>
    <s v="Q"/>
    <s v=""/>
    <s v=""/>
    <x v="6"/>
    <n v="0.05"/>
    <s v="Pacific Alliance Bank"/>
    <s v="Lessors of Nonresidential Buildings (except Miniwarehouses)"/>
  </r>
  <r>
    <n v="310548.11"/>
    <n v="4003837000"/>
    <s v="Actual"/>
    <s v="Long Maturity"/>
    <n v="402"/>
    <x v="243"/>
    <n v="755291.86"/>
    <x v="19"/>
    <d v="2019-10-01T00:00:00"/>
    <n v="14.038356164383561"/>
    <d v="2044-11-15T00:00:00"/>
    <n v="301"/>
    <n v="287"/>
    <d v="2021-01-04T00:00:00"/>
    <s v="Kishorkumar Harkishan Panchal"/>
    <s v="Hanford, CA 93230"/>
    <n v="93230"/>
    <x v="10"/>
    <x v="19"/>
    <s v="Q"/>
    <s v=""/>
    <s v=""/>
    <x v="4"/>
    <n v="0.03"/>
    <s v="East West Bank"/>
    <s v="Hotels (except Casino Hotels) and Motels"/>
  </r>
  <r>
    <n v="310549.11"/>
    <n v="3952167008"/>
    <s v="Actual"/>
    <s v="Long Maturity"/>
    <n v="402"/>
    <x v="244"/>
    <n v="363316.15"/>
    <x v="19"/>
    <d v="2019-09-05T00:00:00"/>
    <n v="14.893150684931506"/>
    <d v="2044-11-15T00:00:00"/>
    <n v="302"/>
    <n v="287"/>
    <d v="2021-01-04T00:00:00"/>
    <s v="Hangxing Ling &amp; Huali Chi"/>
    <s v="Walnut, CA 91789"/>
    <n v="91789"/>
    <x v="10"/>
    <x v="8"/>
    <s v="Q"/>
    <s v=""/>
    <s v=""/>
    <x v="7"/>
    <n v="0.03"/>
    <s v="East West Bank"/>
    <s v="General Automotive Repair"/>
  </r>
  <r>
    <n v="310552.11"/>
    <n v="4168987008"/>
    <s v="Actual"/>
    <s v="Long Maturity"/>
    <n v="402"/>
    <x v="245"/>
    <n v="519872.5"/>
    <x v="23"/>
    <d v="2020-01-21T00:00:00"/>
    <n v="10.356164383561644"/>
    <d v="2045-02-15T00:00:00"/>
    <n v="301"/>
    <n v="290"/>
    <d v="2021-01-04T00:00:00"/>
    <s v="Principal Manufacturing Corp."/>
    <s v="Broadview, IL 60155"/>
    <n v="60155"/>
    <x v="3"/>
    <x v="97"/>
    <s v="Q"/>
    <s v=""/>
    <s v=""/>
    <x v="1"/>
    <n v="0.05"/>
    <s v="ByLine Bank"/>
    <s v="Iron and Steel Forging"/>
  </r>
  <r>
    <n v="310570.11"/>
    <n v="2869707009"/>
    <s v="Actual"/>
    <s v="Long Maturity"/>
    <n v="402"/>
    <x v="246"/>
    <n v="541624.97"/>
    <x v="23"/>
    <d v="2020-01-24T00:00:00"/>
    <n v="10.257534246575343"/>
    <d v="2045-02-15T00:00:00"/>
    <n v="301"/>
    <n v="290"/>
    <d v="2021-01-04T00:00:00"/>
    <s v="Mimi's House, LLC"/>
    <s v="Loveland, OH 45140"/>
    <n v="45140"/>
    <x v="9"/>
    <x v="15"/>
    <s v="Q"/>
    <s v=""/>
    <s v=""/>
    <x v="1"/>
    <n v="0.05"/>
    <s v="First Chatham Bank"/>
    <s v="Assisted Living Facilities for the Elderly"/>
  </r>
  <r>
    <n v="310621.11"/>
    <n v="4184137000"/>
    <s v="Actual"/>
    <s v="Long Maturity"/>
    <n v="402"/>
    <x v="247"/>
    <n v="2520870.7999999998"/>
    <x v="13"/>
    <d v="2020-01-24T00:00:00"/>
    <n v="10.257534246575343"/>
    <d v="2045-02-15T00:00:00"/>
    <n v="301"/>
    <n v="290"/>
    <d v="2021-01-04T00:00:00"/>
    <s v="EPIC Hotels LLC &amp; Epic Hospitality Inc."/>
    <s v="Pleasant Prairie, WI 53158"/>
    <n v="53158"/>
    <x v="14"/>
    <x v="19"/>
    <s v="Q"/>
    <s v=""/>
    <s v=""/>
    <x v="4"/>
    <n v="0.05"/>
    <s v="Citizens Bank FAO Acclivity Financia"/>
    <s v="Hotels (except Casino Hotels) and Motels"/>
  </r>
  <r>
    <n v="310734.11"/>
    <n v="3977547000"/>
    <s v="Actual"/>
    <s v="Long Maturity"/>
    <n v="402"/>
    <x v="248"/>
    <n v="2602279.13"/>
    <x v="6"/>
    <d v="2019-09-19T00:00:00"/>
    <n v="15.419178082191781"/>
    <d v="2044-11-15T00:00:00"/>
    <n v="302"/>
    <n v="287"/>
    <d v="2020-12-31T00:00:00"/>
    <s v="6614 South Broadway Laundry"/>
    <s v="Los Angeles, CA 90003"/>
    <n v="90003"/>
    <x v="10"/>
    <x v="98"/>
    <s v="Q"/>
    <s v=""/>
    <s v=""/>
    <x v="7"/>
    <n v="0.03"/>
    <s v="Hanmi Bank"/>
    <s v="Coin-Operated Laundries and Drycleaners"/>
  </r>
  <r>
    <n v="310781.11"/>
    <n v="3970227006"/>
    <s v="Actual"/>
    <s v="Long Maturity"/>
    <n v="402"/>
    <x v="249"/>
    <n v="246629.04"/>
    <x v="3"/>
    <d v="2019-09-18T00:00:00"/>
    <n v="14.465753424657533"/>
    <d v="2044-10-15T00:00:00"/>
    <n v="301"/>
    <n v="286"/>
    <d v="2021-01-04T00:00:00"/>
    <s v="Robert G. Linde"/>
    <s v="Saint Petersburg, FL 33707"/>
    <n v="33707"/>
    <x v="1"/>
    <x v="99"/>
    <s v="Q"/>
    <s v=""/>
    <s v=""/>
    <x v="1"/>
    <n v="0.03"/>
    <s v="Harvest Small Business Finance, LLC"/>
    <s v="Offices of All Other Miscellaneous Health Practitioners"/>
  </r>
  <r>
    <n v="310895.11"/>
    <n v="4244467008"/>
    <s v="Actual"/>
    <s v="Long Maturity"/>
    <n v="402"/>
    <x v="250"/>
    <n v="2661277.12"/>
    <x v="4"/>
    <d v="2020-03-02T00:00:00"/>
    <n v="8.9753424657534246"/>
    <d v="2045-04-15T00:00:00"/>
    <n v="301"/>
    <n v="292"/>
    <d v="2021-01-03T00:00:00"/>
    <s v="Once Eleven LLC"/>
    <s v="Syracuse, NY 13206"/>
    <n v="13206"/>
    <x v="15"/>
    <x v="19"/>
    <s v="Q"/>
    <s v=""/>
    <s v=""/>
    <x v="3"/>
    <n v="0.05"/>
    <s v="Peapack Gladstone Bank"/>
    <s v="Hotels (except Casino Hotels) and Motels"/>
  </r>
  <r>
    <n v="310903.11"/>
    <n v="4226397007"/>
    <s v="Actual"/>
    <s v="Long Maturity"/>
    <n v="402"/>
    <x v="251"/>
    <n v="548488.24"/>
    <x v="4"/>
    <d v="2020-02-27T00:00:00"/>
    <n v="10.126027397260273"/>
    <d v="2045-03-15T00:00:00"/>
    <n v="301"/>
    <n v="291"/>
    <d v="2020-12-31T00:00:00"/>
    <s v="Akshay LLC"/>
    <s v="Childress, TX  79201"/>
    <n v="79201"/>
    <x v="0"/>
    <x v="19"/>
    <s v="Q"/>
    <s v=""/>
    <s v=""/>
    <x v="5"/>
    <n v="0.05"/>
    <s v="Southwestern National Bank"/>
    <s v="Hotels (except Casino Hotels) and Motels"/>
  </r>
  <r>
    <n v="310916.11"/>
    <n v="4248737003"/>
    <s v="Actual"/>
    <s v="Long Maturity"/>
    <n v="402"/>
    <x v="252"/>
    <n v="180084.59"/>
    <x v="11"/>
    <d v="2020-02-27T00:00:00"/>
    <n v="9.1397260273972591"/>
    <d v="2045-03-15T00:00:00"/>
    <n v="301"/>
    <n v="291"/>
    <d v="2021-01-04T00:00:00"/>
    <s v="DG Garage, LLC"/>
    <s v="Salina, UT 84654"/>
    <n v="84654"/>
    <x v="34"/>
    <x v="8"/>
    <s v="Q"/>
    <s v=""/>
    <s v=""/>
    <x v="1"/>
    <n v="0.05"/>
    <s v="Citizens Bank FAO Acclivity Financia"/>
    <s v="General Automotive Repair"/>
  </r>
  <r>
    <n v="310961.11"/>
    <n v="3393127010"/>
    <s v="Actual"/>
    <s v="Long Maturity"/>
    <n v="402"/>
    <x v="253"/>
    <n v="2336172.2200000002"/>
    <x v="4"/>
    <d v="2019-01-28T00:00:00"/>
    <n v="22.126027397260273"/>
    <d v="2044-02-15T00:00:00"/>
    <n v="301"/>
    <n v="278"/>
    <d v="2021-01-04T00:00:00"/>
    <s v="CRCW LLC dba Cool River Car Wash"/>
    <s v="Sugar Land, TX 77478"/>
    <n v="77478"/>
    <x v="0"/>
    <x v="16"/>
    <s v="Q"/>
    <s v=""/>
    <s v=""/>
    <x v="3"/>
    <n v="0.03"/>
    <s v="Plains State Bank"/>
    <s v="Car Washes"/>
  </r>
  <r>
    <n v="310999.11"/>
    <n v="3484327006"/>
    <s v="Actual"/>
    <s v="Long Maturity"/>
    <n v="402"/>
    <x v="254"/>
    <n v="601957.69999999995"/>
    <x v="19"/>
    <d v="2019-02-01T00:00:00"/>
    <n v="21.994520547945204"/>
    <d v="2044-03-15T00:00:00"/>
    <n v="301"/>
    <n v="279"/>
    <d v="2021-01-04T00:00:00"/>
    <s v="David Menghsiung Wu"/>
    <s v="South El Monte, CA 91733"/>
    <n v="91733"/>
    <x v="10"/>
    <x v="100"/>
    <s v="Q"/>
    <s v=""/>
    <s v=""/>
    <x v="6"/>
    <n v="0.03"/>
    <s v="First General Bank"/>
    <s v="Sporting and Recreational Goods and Supplies Merchant Wholesalers"/>
  </r>
  <r>
    <n v="311033.11"/>
    <n v="4247857002"/>
    <s v="Actual"/>
    <s v="Long Maturity"/>
    <n v="402"/>
    <x v="255"/>
    <n v="1585661.68"/>
    <x v="13"/>
    <d v="2020-02-28T00:00:00"/>
    <n v="8.3666666666666671"/>
    <d v="2038-03-15T00:00:00"/>
    <n v="217"/>
    <n v="207"/>
    <d v="2021-01-06T00:00:00"/>
    <s v="American Ice Company, Inc."/>
    <s v="Elk Mound, WI 54739"/>
    <n v="54739"/>
    <x v="14"/>
    <x v="101"/>
    <s v="Q"/>
    <s v=""/>
    <s v=""/>
    <x v="3"/>
    <n v="0.05"/>
    <s v="MBank"/>
    <s v="Ice Manufacturing"/>
  </r>
  <r>
    <n v="311229.11"/>
    <n v="3752997005"/>
    <s v="Actual"/>
    <s v="Long Maturity"/>
    <n v="402"/>
    <x v="256"/>
    <n v="1718102.31"/>
    <x v="13"/>
    <d v="2019-05-31T00:00:00"/>
    <n v="18.082191780821919"/>
    <d v="2044-07-15T00:00:00"/>
    <n v="302"/>
    <n v="283"/>
    <d v="2021-01-04T00:00:00"/>
    <s v="Bajrang, Inc."/>
    <s v="Metairie, LA 70003"/>
    <n v="70003"/>
    <x v="20"/>
    <x v="19"/>
    <s v="Q"/>
    <s v=""/>
    <s v=""/>
    <x v="6"/>
    <n v="0.03"/>
    <s v="Hana Small Business Lending, Inc."/>
    <s v="Hotels (except Casino Hotels) and Motels"/>
  </r>
  <r>
    <n v="311244.11"/>
    <n v="4275617008"/>
    <s v="Actual"/>
    <s v="Long Maturity"/>
    <n v="402"/>
    <x v="257"/>
    <n v="864626.32"/>
    <x v="11"/>
    <d v="2020-03-13T00:00:00"/>
    <n v="8.6465753424657539"/>
    <d v="2045-04-15T00:00:00"/>
    <n v="301"/>
    <n v="292"/>
    <d v="2021-01-04T00:00:00"/>
    <s v="Hgmg Inc."/>
    <s v="Wolcott, IN 47995"/>
    <n v="47995"/>
    <x v="39"/>
    <x v="4"/>
    <s v="Q"/>
    <s v=""/>
    <s v=""/>
    <x v="1"/>
    <n v="0.05"/>
    <s v="ByLine Bank"/>
    <s v="Gasoline Stations with Convenience Stores"/>
  </r>
  <r>
    <n v="311254.11"/>
    <n v="4279607002"/>
    <s v="Actual"/>
    <s v="Long Maturity"/>
    <n v="402"/>
    <x v="258"/>
    <n v="489777.5"/>
    <x v="11"/>
    <d v="2020-04-09T00:00:00"/>
    <n v="7.956164383561644"/>
    <d v="2045-05-15T00:00:00"/>
    <n v="301"/>
    <n v="293"/>
    <d v="2021-01-05T00:00:00"/>
    <s v="U S Shipping Trans Inc"/>
    <s v="Stockton, CA 95206"/>
    <n v="95206"/>
    <x v="10"/>
    <x v="102"/>
    <s v="Q"/>
    <s v=""/>
    <s v=""/>
    <x v="1"/>
    <n v="0.05"/>
    <s v="Harvest Small Business Finance, LLC"/>
    <s v="Specialized Freight (except Used Goods) Trucking, Long-Distance"/>
  </r>
  <r>
    <n v="311256.11"/>
    <n v="4256517007"/>
    <s v="Actual"/>
    <s v="Long Maturity"/>
    <n v="402"/>
    <x v="259"/>
    <n v="2744322.88"/>
    <x v="19"/>
    <d v="2020-04-06T00:00:00"/>
    <n v="6.9041095890410951"/>
    <d v="2045-05-15T00:00:00"/>
    <n v="301"/>
    <n v="293"/>
    <d v="2020-11-02T00:00:00"/>
    <s v="JDE BRAND, Inc."/>
    <s v="Austin, TX 78744"/>
    <n v="78744"/>
    <x v="0"/>
    <x v="19"/>
    <s v="Q"/>
    <s v=""/>
    <s v=""/>
    <x v="5"/>
    <n v="0.05"/>
    <s v="Harvest Small Business Finance, LLC"/>
    <s v="Hotels (except Casino Hotels) and Motels"/>
  </r>
  <r>
    <n v="311257.11"/>
    <n v="6419497008"/>
    <s v="Actual"/>
    <s v="Long Maturity"/>
    <n v="402"/>
    <x v="260"/>
    <n v="2427843.5299999998"/>
    <x v="11"/>
    <d v="2020-04-06T00:00:00"/>
    <n v="8.0547945205479454"/>
    <d v="2045-05-15T00:00:00"/>
    <n v="301"/>
    <n v="293"/>
    <d v="2021-01-05T00:00:00"/>
    <s v="Kanne Real Estate Holdings LLC"/>
    <s v="Orange, CA 92865"/>
    <n v="92865"/>
    <x v="10"/>
    <x v="68"/>
    <s v="Q"/>
    <s v=""/>
    <s v=""/>
    <x v="1"/>
    <n v="0.05"/>
    <s v="Harvest Small Business Finance, LLC"/>
    <s v="Sports and Recreation Instruction"/>
  </r>
  <r>
    <n v="311258.11"/>
    <n v="4540847009"/>
    <s v="Actual"/>
    <s v="Long Maturity"/>
    <n v="402"/>
    <x v="261"/>
    <n v="555486.68999999994"/>
    <x v="13"/>
    <d v="2020-04-03T00:00:00"/>
    <n v="7.956164383561644"/>
    <d v="2045-05-15T00:00:00"/>
    <n v="301"/>
    <n v="293"/>
    <d v="2021-01-04T00:00:00"/>
    <s v="Marvin J. Kerby Family Trust dated June 6, 1986 &amp; Kerby Furniture Inc"/>
    <s v="Mesa, AZ 85207"/>
    <n v="85207"/>
    <x v="5"/>
    <x v="103"/>
    <s v="Q"/>
    <s v=""/>
    <s v=""/>
    <x v="3"/>
    <n v="0.05"/>
    <s v="Harvest Small Business Finance, LLC"/>
    <s v="Furniture Stores"/>
  </r>
  <r>
    <n v="311259.11"/>
    <n v="4303657007"/>
    <s v="Actual"/>
    <s v="Long Maturity"/>
    <n v="402"/>
    <x v="262"/>
    <n v="624079.06000000006"/>
    <x v="18"/>
    <d v="2020-03-24T00:00:00"/>
    <n v="8.5150684931506841"/>
    <d v="2045-05-15T00:00:00"/>
    <n v="302"/>
    <n v="293"/>
    <d v="2021-01-04T00:00:00"/>
    <s v="549 W Sunset LLC"/>
    <s v="Henderson, NV 89011"/>
    <n v="89011"/>
    <x v="40"/>
    <x v="87"/>
    <s v="Q"/>
    <s v=""/>
    <s v=""/>
    <x v="0"/>
    <n v="0.05"/>
    <s v="Harvest Small Business Finance, LLC"/>
    <s v="Other Direct Selling Establishments"/>
  </r>
  <r>
    <n v="311260.11"/>
    <n v="4285637007"/>
    <s v="Actual"/>
    <s v="Long Maturity"/>
    <n v="402"/>
    <x v="263"/>
    <n v="198544.5"/>
    <x v="11"/>
    <d v="2020-03-24T00:00:00"/>
    <n v="8.580821917808219"/>
    <d v="2045-05-15T00:00:00"/>
    <n v="302"/>
    <n v="293"/>
    <d v="2021-01-11T00:00:00"/>
    <s v="R &amp; K Properties, LLC"/>
    <s v="Sparks, NV 89432"/>
    <n v="89432"/>
    <x v="40"/>
    <x v="104"/>
    <s v="Q"/>
    <s v=""/>
    <s v=""/>
    <x v="3"/>
    <n v="0.05"/>
    <s v="Harvest Small Business Finance, LLC"/>
    <s v="Site Preparation Contractors"/>
  </r>
  <r>
    <n v="311261.11"/>
    <n v="4301397008"/>
    <s v="Actual"/>
    <s v="Long Maturity"/>
    <n v="402"/>
    <x v="264"/>
    <n v="1714908.21"/>
    <x v="18"/>
    <d v="2020-03-24T00:00:00"/>
    <n v="8.580821917808219"/>
    <d v="2045-05-15T00:00:00"/>
    <n v="302"/>
    <n v="293"/>
    <d v="2021-01-11T00:00:00"/>
    <s v="S &amp; A Commercial Properties LLC"/>
    <s v="Fresno, CA 93725"/>
    <n v="93725"/>
    <x v="10"/>
    <x v="56"/>
    <s v="Q"/>
    <s v=""/>
    <s v=""/>
    <x v="2"/>
    <n v="0.05"/>
    <s v="Harvest Small Business Finance, LLC"/>
    <s v="Motor Vehicle Parts (Used) Merchant Wholesalers"/>
  </r>
  <r>
    <n v="311306.11"/>
    <n v="9699917109"/>
    <s v="Actual"/>
    <s v="Long Maturity"/>
    <n v="402"/>
    <x v="265"/>
    <n v="3716005.47"/>
    <x v="18"/>
    <d v="2020-04-24T00:00:00"/>
    <n v="7.5616438356164384"/>
    <d v="2045-05-15T00:00:00"/>
    <n v="301"/>
    <n v="293"/>
    <d v="2021-01-19T00:00:00"/>
    <s v="2627 Colchester, LLC and Softline Home Fashions Inc."/>
    <s v="Gardena, CA 90247"/>
    <n v="90247"/>
    <x v="10"/>
    <x v="105"/>
    <s v="Q"/>
    <s v=""/>
    <s v=""/>
    <x v="0"/>
    <n v="0.05"/>
    <s v="Harvest Small Business Finance, LLC"/>
    <s v="Home Furnishing Merchant Wholesalers"/>
  </r>
  <r>
    <n v="311393.11"/>
    <n v="3816247003"/>
    <s v="Actual"/>
    <s v="Long Maturity"/>
    <n v="402"/>
    <x v="266"/>
    <n v="2128762.7000000002"/>
    <x v="11"/>
    <d v="2019-07-31T00:00:00"/>
    <n v="16.076712328767123"/>
    <d v="2044-12-15T00:00:00"/>
    <n v="305"/>
    <n v="288"/>
    <d v="2021-01-04T00:00:00"/>
    <s v="Gala 1 LLC dba Country Inn &amp; Suites"/>
    <s v="Saraland, AL 36571"/>
    <n v="36571"/>
    <x v="35"/>
    <x v="19"/>
    <s v="Q"/>
    <s v=""/>
    <s v=""/>
    <x v="1"/>
    <n v="0.03"/>
    <s v="Citizens Bank FAO Acclivity Financia"/>
    <s v="Hotels (except Casino Hotels) and Motels"/>
  </r>
  <r>
    <n v="311396.11"/>
    <n v="3456957206"/>
    <s v="Actual"/>
    <s v="Long Maturity"/>
    <n v="402"/>
    <x v="267"/>
    <n v="305864.86"/>
    <x v="2"/>
    <d v="2020-05-15T00:00:00"/>
    <n v="6.5753424657534243"/>
    <d v="2045-06-15T00:00:00"/>
    <n v="301"/>
    <n v="294"/>
    <d v="2021-01-01T00:00:00"/>
    <s v="Thermoclear, Inc."/>
    <s v="N. Hollywood, CA 91601"/>
    <n v="91601"/>
    <x v="10"/>
    <x v="87"/>
    <s v="Q"/>
    <s v=""/>
    <s v=""/>
    <x v="1"/>
    <n v="0.05"/>
    <s v="U.S. Metro Bank"/>
    <s v="Other Direct Selling Establishments"/>
  </r>
  <r>
    <n v="311415.11"/>
    <n v="3960307002"/>
    <s v="Actual"/>
    <s v="Long Maturity"/>
    <n v="402"/>
    <x v="268"/>
    <n v="344503.36"/>
    <x v="11"/>
    <d v="2019-10-02T00:00:00"/>
    <n v="14.038356164383561"/>
    <d v="2044-11-15T00:00:00"/>
    <n v="301"/>
    <n v="287"/>
    <d v="2021-01-02T00:00:00"/>
    <s v="D &amp; S Life LLC"/>
    <s v="Columbus, OH 43232"/>
    <n v="43232"/>
    <x v="9"/>
    <x v="2"/>
    <s v="Q"/>
    <s v=""/>
    <s v=""/>
    <x v="3"/>
    <n v="0.03"/>
    <s v="KeyBank - East"/>
    <s v="Drinking Places (Alcoholic Beverages)"/>
  </r>
  <r>
    <n v="311454.11"/>
    <n v="3362107208"/>
    <s v="Actual"/>
    <s v="Long Maturity"/>
    <n v="402"/>
    <x v="269"/>
    <n v="2200910.25"/>
    <x v="19"/>
    <d v="2020-04-28T00:00:00"/>
    <n v="7.1342465753424662"/>
    <d v="2045-06-15T00:00:00"/>
    <n v="302"/>
    <n v="294"/>
    <d v="2021-01-07T00:00:00"/>
    <s v="16052 Chase Street, LLC"/>
    <s v="North Hills, CA 91343"/>
    <n v="91343"/>
    <x v="10"/>
    <x v="46"/>
    <s v="Q"/>
    <s v=""/>
    <s v=""/>
    <x v="4"/>
    <n v="0.05"/>
    <s v="Harvest Small Business Finance, LLC"/>
    <s v="Home Health Care Services"/>
  </r>
  <r>
    <n v="311494.11"/>
    <n v="4247777002"/>
    <s v="Actual"/>
    <s v="Long Maturity"/>
    <n v="402"/>
    <x v="270"/>
    <n v="162358.1"/>
    <x v="23"/>
    <d v="2020-03-27T00:00:00"/>
    <n v="9.2000000000000011"/>
    <d v="2045-04-15T00:00:00"/>
    <n v="301"/>
    <n v="292"/>
    <d v="2021-01-03T00:00:00"/>
    <s v="Da Vinci Studio LLC"/>
    <s v="Augusta, GA 30906"/>
    <n v="30906"/>
    <x v="2"/>
    <x v="106"/>
    <s v="Q"/>
    <s v=""/>
    <s v=""/>
    <x v="2"/>
    <n v="0.05"/>
    <s v="Dogwood State Bank"/>
    <s v="Independent Artists, Writers, and Performers"/>
  </r>
  <r>
    <n v="311502.11"/>
    <n v="9287547109"/>
    <s v="Actual"/>
    <s v="Long Maturity"/>
    <n v="402"/>
    <x v="271"/>
    <n v="501746.98"/>
    <x v="4"/>
    <d v="2020-04-21T00:00:00"/>
    <n v="7.4301369863013704"/>
    <d v="2045-05-15T00:00:00"/>
    <n v="301"/>
    <n v="293"/>
    <d v="2021-01-09T00:00:00"/>
    <s v="Royal Hotel"/>
    <s v="San Pedro, CA 90731"/>
    <n v="90731"/>
    <x v="10"/>
    <x v="19"/>
    <s v="Q"/>
    <s v=""/>
    <s v=""/>
    <x v="5"/>
    <n v="0.05"/>
    <s v="Open Bank"/>
    <s v="Hotels (except Casino Hotels) and Motels"/>
  </r>
  <r>
    <n v="311503.11"/>
    <n v="7531787006"/>
    <s v="Actual"/>
    <s v="Long Maturity"/>
    <n v="402"/>
    <x v="272"/>
    <n v="126307.31"/>
    <x v="4"/>
    <d v="2020-04-09T00:00:00"/>
    <n v="7.9890410958904114"/>
    <d v="2045-05-15T00:00:00"/>
    <n v="301"/>
    <n v="293"/>
    <d v="2021-01-04T00:00:00"/>
    <s v="FAB KS Enterprises LLC dba U Beauty"/>
    <s v="Fitzgerald, GA 31750"/>
    <n v="31750"/>
    <x v="2"/>
    <x v="93"/>
    <s v="Q"/>
    <s v=""/>
    <s v=""/>
    <x v="3"/>
    <n v="0.05"/>
    <s v="Open Bank"/>
    <s v="Cosmetics, Beauty Supplies, and Perfume Stores"/>
  </r>
  <r>
    <n v="311511.11"/>
    <n v="4266287003"/>
    <s v="Actual"/>
    <s v="Long Maturity"/>
    <n v="402"/>
    <x v="273"/>
    <n v="514371.06"/>
    <x v="4"/>
    <d v="2020-03-13T00:00:00"/>
    <n v="8.6"/>
    <d v="2045-04-15T00:00:00"/>
    <n v="301"/>
    <n v="292"/>
    <d v="2021-01-05T00:00:00"/>
    <s v="Pine Lake Laporte Property LLC"/>
    <s v="La Porte, IN 46350"/>
    <n v="46350"/>
    <x v="39"/>
    <x v="4"/>
    <s v="Q"/>
    <s v=""/>
    <s v=""/>
    <x v="3"/>
    <n v="0.05"/>
    <s v="Millennium Bank"/>
    <s v="Gasoline Stations with Convenience Stores"/>
  </r>
  <r>
    <n v="311619.11"/>
    <n v="3474007000"/>
    <s v="Actual"/>
    <s v="Long Maturity"/>
    <n v="402"/>
    <x v="274"/>
    <n v="544472.27"/>
    <x v="11"/>
    <d v="2019-03-07T00:00:00"/>
    <n v="20.876712328767123"/>
    <d v="2044-04-15T00:00:00"/>
    <n v="301"/>
    <n v="280"/>
    <d v="2021-01-01T00:00:00"/>
    <s v="Complete Automotive"/>
    <s v="Conyers, GA 30094"/>
    <n v="30094"/>
    <x v="2"/>
    <x v="8"/>
    <s v="Q"/>
    <s v=""/>
    <s v=""/>
    <x v="2"/>
    <n v="0.03"/>
    <s v="Touchmark National Bank"/>
    <s v="General Automotive Repair"/>
  </r>
  <r>
    <n v="311708.11"/>
    <n v="3399987000"/>
    <s v="Actual"/>
    <s v="Long Maturity"/>
    <n v="402"/>
    <x v="275"/>
    <n v="1718250"/>
    <x v="4"/>
    <d v="2019-05-28T00:00:00"/>
    <n v="18.213698630136985"/>
    <d v="2045-10-15T00:00:00"/>
    <n v="317"/>
    <n v="298"/>
    <d v="2020-12-02T00:00:00"/>
    <s v="State Drug Testing &amp; Occupational Health Inc &amp; The Fiducia Group LLC"/>
    <s v="Savannah, GA 31408"/>
    <n v="31408"/>
    <x v="2"/>
    <x v="63"/>
    <s v="Q"/>
    <s v=""/>
    <s v=""/>
    <x v="5"/>
    <n v="0.03"/>
    <s v="Pinnacle Financial Partners FAO: Pin"/>
    <s v="Offices of Other Holding Companies"/>
  </r>
  <r>
    <n v="311769.11"/>
    <n v="9927857804"/>
    <s v="Actual"/>
    <s v="Long Maturity"/>
    <n v="402"/>
    <x v="276"/>
    <n v="568934.18000000005"/>
    <x v="18"/>
    <d v="2020-06-11T00:00:00"/>
    <n v="5.6876712328767125"/>
    <d v="2045-07-15T00:00:00"/>
    <n v="301"/>
    <n v="295"/>
    <d v="2021-01-04T00:00:00"/>
    <s v="Rogelio Velarde and Maria R. Velarde"/>
    <s v="San Fernando, CA 91340"/>
    <n v="91340"/>
    <x v="10"/>
    <x v="3"/>
    <s v="Q"/>
    <s v=""/>
    <s v=""/>
    <x v="0"/>
    <n v="0.05"/>
    <s v="Harvest Small Business Finance, LLC"/>
    <s v="Full-Service Restaurants"/>
  </r>
  <r>
    <n v="311770.11"/>
    <n v="3703617305"/>
    <s v="Actual"/>
    <s v="Long Maturity"/>
    <n v="402"/>
    <x v="277"/>
    <n v="780890.02"/>
    <x v="11"/>
    <d v="2020-06-10T00:00:00"/>
    <n v="5.720547945205479"/>
    <d v="2045-07-15T00:00:00"/>
    <n v="301"/>
    <n v="295"/>
    <d v="2021-01-04T00:00:00"/>
    <s v="15942 Arminta LLC"/>
    <s v="Los Angeles, CA 91406"/>
    <n v="91406"/>
    <x v="10"/>
    <x v="107"/>
    <s v="Q"/>
    <s v=""/>
    <s v=""/>
    <x v="0"/>
    <n v="0.05"/>
    <s v="Harvest Small Business Finance, LLC"/>
    <s v="Tile and Terrazzo Contractors"/>
  </r>
  <r>
    <n v="311771.11"/>
    <n v="9742177402"/>
    <s v="Actual"/>
    <s v="Long Maturity"/>
    <n v="402"/>
    <x v="278"/>
    <n v="454998.6"/>
    <x v="18"/>
    <d v="2020-06-10T00:00:00"/>
    <n v="5.720547945205479"/>
    <d v="2045-07-15T00:00:00"/>
    <n v="301"/>
    <n v="295"/>
    <d v="2021-01-04T00:00:00"/>
    <s v="Farzin Noohi; Southern California Private Investigators, Inc. and Docu"/>
    <s v="Tustin, CA 92780"/>
    <n v="92780"/>
    <x v="10"/>
    <x v="108"/>
    <s v="Q"/>
    <s v=""/>
    <s v=""/>
    <x v="0"/>
    <n v="0.05"/>
    <s v="Harvest Small Business Finance, LLC"/>
    <s v="Investigation Services"/>
  </r>
  <r>
    <n v="311795.11"/>
    <n v="4262447006"/>
    <s v="Actual"/>
    <s v="Long Maturity"/>
    <n v="402"/>
    <x v="279"/>
    <n v="501378.19"/>
    <x v="19"/>
    <d v="2020-06-12T00:00:00"/>
    <n v="5.6547945205479451"/>
    <d v="2045-07-15T00:00:00"/>
    <n v="301"/>
    <n v="295"/>
    <d v="2021-01-04T00:00:00"/>
    <s v="Pamela K. Thomsen and Arthur R. Thomsen"/>
    <s v="Ramona, CA 92605"/>
    <n v="92605"/>
    <x v="10"/>
    <x v="0"/>
    <s v="Q"/>
    <s v=""/>
    <s v=""/>
    <x v="4"/>
    <n v="0.05"/>
    <s v="Harvest Small Business Finance, LLC"/>
    <s v="Child Day Care Services"/>
  </r>
  <r>
    <n v="312179.11"/>
    <n v="3651297008"/>
    <s v="Actual"/>
    <s v="Long Maturity"/>
    <n v="402"/>
    <x v="280"/>
    <n v="85552.66"/>
    <x v="13"/>
    <d v="2019-05-03T00:00:00"/>
    <n v="19.232876712328768"/>
    <d v="2044-09-15T00:00:00"/>
    <n v="304"/>
    <n v="285"/>
    <d v="2021-01-07T00:00:00"/>
    <s v="Financiamiento Facil LLC"/>
    <s v="Bacliff, TX 77518"/>
    <n v="77518"/>
    <x v="0"/>
    <x v="20"/>
    <s v="Q"/>
    <s v=""/>
    <s v=""/>
    <x v="3"/>
    <n v="0.03"/>
    <s v="Wallis State Bank"/>
    <s v="Used Car Dealers"/>
  </r>
  <r>
    <n v="312224.11"/>
    <n v="6355718107"/>
    <s v="Actual"/>
    <s v="Long Maturity"/>
    <n v="402"/>
    <x v="281"/>
    <n v="1744044.9"/>
    <x v="15"/>
    <d v="2020-08-06T00:00:00"/>
    <n v="3.8465753424657536"/>
    <d v="2037-09-15T00:00:00"/>
    <n v="205"/>
    <n v="201"/>
    <d v="2021-01-04T00:00:00"/>
    <s v="Berg Imports, LLC"/>
    <s v="Ann Arbor, MI 48103"/>
    <n v="48103"/>
    <x v="8"/>
    <x v="109"/>
    <s v="Q"/>
    <s v=""/>
    <s v=""/>
    <x v="1"/>
    <n v="0.05"/>
    <s v="Genisys Credit Union"/>
    <s v="Medicinal and Botanical Manufacturing"/>
  </r>
  <r>
    <n v="312228.11"/>
    <n v="3889127003"/>
    <s v="Actual"/>
    <s v="Long Maturity"/>
    <n v="402"/>
    <x v="282"/>
    <n v="63285.7"/>
    <x v="11"/>
    <d v="2019-08-29T00:00:00"/>
    <n v="15.221917808219178"/>
    <d v="2034-10-15T00:00:00"/>
    <n v="182"/>
    <n v="166"/>
    <d v="2021-01-04T00:00:00"/>
    <s v="Danielle Gaus"/>
    <s v="Wheeling, WV 26003"/>
    <n v="26003"/>
    <x v="37"/>
    <x v="93"/>
    <s v="Q"/>
    <s v=""/>
    <s v=""/>
    <x v="1"/>
    <n v="0.03"/>
    <s v="The Huntington National Bank"/>
    <s v="Cosmetics, Beauty Supplies, and Perfume Stores"/>
  </r>
  <r>
    <n v="312432.11"/>
    <n v="4156157009"/>
    <s v="Actual"/>
    <s v="Long Maturity"/>
    <n v="402"/>
    <x v="283"/>
    <n v="1224937.6299999999"/>
    <x v="4"/>
    <d v="2019-12-23T00:00:00"/>
    <n v="11.266666666666666"/>
    <d v="2035-01-15T00:00:00"/>
    <n v="181"/>
    <n v="169"/>
    <d v="2021-01-04T00:00:00"/>
    <s v="36-42 MN Street LLC                     "/>
    <s v="Sussex, NJ 07461"/>
    <n v="7461"/>
    <x v="17"/>
    <x v="110"/>
    <s v="Q"/>
    <s v=""/>
    <s v=""/>
    <x v="2"/>
    <n v="0.05"/>
    <s v="Unity Bank"/>
    <s v="Pharmacies and Drug Stores"/>
  </r>
  <r>
    <n v="302068.11"/>
    <n v="8026115005"/>
    <s v="Actual"/>
    <s v="Long Maturity"/>
    <n v="402"/>
    <x v="284"/>
    <n v="301168.14"/>
    <x v="51"/>
    <d v="2016-01-06T00:00:00"/>
    <n v="59.112328767123287"/>
    <d v="2036-02-15T00:00:00"/>
    <n v="241"/>
    <n v="182"/>
    <d v="2021-01-05T00:00:00"/>
    <s v="Texas Moja Foods, LLC dba Mooya"/>
    <s v="Frisco, TX 75035"/>
    <n v="75035"/>
    <x v="0"/>
    <x v="22"/>
    <s v="Q"/>
    <s v=""/>
    <s v=""/>
    <x v="1"/>
    <n v="0"/>
    <s v="The First National Bank of Tom Bean"/>
    <s v="Limited-Service Restaurants"/>
  </r>
  <r>
    <n v="305918.11"/>
    <n v="1227197004"/>
    <s v="Actual"/>
    <s v="Long Maturity"/>
    <n v="402"/>
    <x v="285"/>
    <n v="1555919.97"/>
    <x v="13"/>
    <d v="2017-11-14T00:00:00"/>
    <n v="36.766666666666666"/>
    <d v="2043-10-15T00:00:00"/>
    <n v="311"/>
    <n v="274"/>
    <d v="2021-01-05T00:00:00"/>
    <s v="County Line Acquisitions, LLC"/>
    <s v="Spring Hill, FL 34610"/>
    <n v="34610"/>
    <x v="1"/>
    <x v="26"/>
    <s v="Q"/>
    <s v=""/>
    <s v=""/>
    <x v="2"/>
    <n v="0"/>
    <s v="Central Bank"/>
    <s v="Lessors of Nonresidential Buildings (except Miniwarehouses)"/>
  </r>
  <r>
    <n v="309728.11"/>
    <n v="3993137006"/>
    <s v="Actual"/>
    <s v="Long Maturity"/>
    <n v="402"/>
    <x v="286"/>
    <n v="147403"/>
    <x v="23"/>
    <d v="2019-10-21T00:00:00"/>
    <n v="13.512328767123286"/>
    <d v="2044-11-15T00:00:00"/>
    <n v="301"/>
    <n v="287"/>
    <d v="2021-01-03T00:00:00"/>
    <s v="South Hills Home Service, LLC &amp; Aveyac, Inc._x0009__x0009__x0009_"/>
    <s v="Preston, PA 15142_x0009__x0009__x0009__x0009_"/>
    <n v="15142"/>
    <x v="11"/>
    <x v="49"/>
    <s v="Q"/>
    <s v=""/>
    <s v=""/>
    <x v="0"/>
    <n v="0.03"/>
    <s v="First Commonwealth Bank"/>
    <s v="Beer, Wine, and Liquor Stores"/>
  </r>
  <r>
    <n v="309953.11"/>
    <n v="4103767000"/>
    <s v="Actual"/>
    <s v="Long Maturity"/>
    <n v="402"/>
    <x v="287"/>
    <n v="1062514.2"/>
    <x v="11"/>
    <d v="2019-11-25T00:00:00"/>
    <n v="12.263013698630136"/>
    <d v="2044-12-15T00:00:00"/>
    <n v="301"/>
    <n v="288"/>
    <d v="2021-01-05T00:00:00"/>
    <s v="Capital SA LLC dba Econo Lodge of Goldsboro"/>
    <s v="Goldsboro, NC 27534"/>
    <n v="27534"/>
    <x v="6"/>
    <x v="19"/>
    <s v="Q"/>
    <s v=""/>
    <s v=""/>
    <x v="3"/>
    <n v="0.03"/>
    <s v="First Western SBLC, Inc"/>
    <s v="Hotels (except Casino Hotels) and Motels"/>
  </r>
  <r>
    <n v="310014.11"/>
    <n v="4073457010"/>
    <s v="Actual"/>
    <s v="Long Maturity"/>
    <n v="402"/>
    <x v="288"/>
    <n v="546499.52"/>
    <x v="13"/>
    <d v="2019-11-27T00:00:00"/>
    <n v="12.361643835616437"/>
    <d v="2036-12-15T00:00:00"/>
    <n v="205"/>
    <n v="192"/>
    <d v="2021-01-05T00:00:00"/>
    <s v="Premier Printing, Inc"/>
    <s v="Brunswick, GA 31520"/>
    <n v="31520"/>
    <x v="2"/>
    <x v="111"/>
    <s v="Q"/>
    <s v=""/>
    <s v=""/>
    <x v="5"/>
    <n v="0.03"/>
    <s v="CoastalStates Bank"/>
    <s v="Commercial Printing (except Screen and Books)"/>
  </r>
  <r>
    <n v="310227.11"/>
    <n v="2931307009"/>
    <s v="Actual"/>
    <s v="Long Maturity"/>
    <n v="402"/>
    <x v="289"/>
    <n v="2426409.0699999998"/>
    <x v="19"/>
    <d v="2018-10-02T00:00:00"/>
    <n v="26.07123287671233"/>
    <d v="2043-11-15T00:00:00"/>
    <n v="301"/>
    <n v="275"/>
    <d v="2020-12-03T00:00:00"/>
    <s v="PPGE Alamo, LLC"/>
    <s v="San Antonio, TX 78207"/>
    <n v="78207"/>
    <x v="0"/>
    <x v="19"/>
    <s v="Q"/>
    <s v=""/>
    <s v=""/>
    <x v="6"/>
    <n v="0.01"/>
    <s v="PromiseOne Bank"/>
    <s v="Hotels (except Casino Hotels) and Motels"/>
  </r>
  <r>
    <n v="310512.11"/>
    <n v="4182427000"/>
    <s v="Actual"/>
    <s v="Long Maturity"/>
    <n v="402"/>
    <x v="290"/>
    <n v="2310286.0699999998"/>
    <x v="19"/>
    <d v="2020-01-11T00:00:00"/>
    <n v="10.717808219178082"/>
    <d v="2045-02-15T00:00:00"/>
    <n v="301"/>
    <n v="290"/>
    <d v="2021-01-05T00:00:00"/>
    <s v="Akron Hotel Suites, LLC dba Red Roof Inn of Akron OH"/>
    <s v="Akron, OH 44312"/>
    <n v="44312"/>
    <x v="9"/>
    <x v="19"/>
    <s v="Q"/>
    <s v=""/>
    <s v=""/>
    <x v="5"/>
    <n v="0.05"/>
    <s v="First Western SBLC, Inc"/>
    <s v="Hotels (except Casino Hotels) and Motels"/>
  </r>
  <r>
    <n v="310557.11"/>
    <n v="4001717006"/>
    <s v="Actual"/>
    <s v="Long Maturity"/>
    <n v="402"/>
    <x v="291"/>
    <n v="663035.98"/>
    <x v="18"/>
    <d v="2020-01-17T00:00:00"/>
    <n v="10.520547945205479"/>
    <d v="2045-02-15T00:00:00"/>
    <n v="301"/>
    <n v="290"/>
    <d v="2021-01-12T00:00:00"/>
    <s v="Performers Theatre Workshop, Inc."/>
    <s v="Millburn, NJ 07041"/>
    <n v="7041"/>
    <x v="17"/>
    <x v="45"/>
    <s v="Q"/>
    <s v=""/>
    <s v=""/>
    <x v="2"/>
    <n v="0.05"/>
    <s v="Peapack Gladstone Bank"/>
    <s v="Fine Arts Schools"/>
  </r>
  <r>
    <n v="310559.11"/>
    <n v="4182227010"/>
    <s v="Actual"/>
    <s v="Long Maturity"/>
    <n v="402"/>
    <x v="292"/>
    <n v="3663569.71"/>
    <x v="13"/>
    <d v="2020-01-14T00:00:00"/>
    <n v="10.61917808219178"/>
    <d v="2045-02-15T00:00:00"/>
    <n v="301"/>
    <n v="290"/>
    <d v="2021-01-02T00:00:00"/>
    <s v="ANZ Scranton LLC"/>
    <s v="Scranton, PA 18505"/>
    <n v="18505"/>
    <x v="11"/>
    <x v="19"/>
    <s v="Q"/>
    <s v=""/>
    <s v=""/>
    <x v="4"/>
    <n v="0.05"/>
    <s v="MINT National Bank"/>
    <s v="Hotels (except Casino Hotels) and Motels"/>
  </r>
  <r>
    <n v="310745.11"/>
    <n v="4036207006"/>
    <s v="Actual"/>
    <s v="Long Maturity"/>
    <n v="402"/>
    <x v="293"/>
    <n v="3018969.37"/>
    <x v="18"/>
    <d v="2019-10-24T00:00:00"/>
    <n v="13.315068493150685"/>
    <d v="2044-11-15T00:00:00"/>
    <n v="301"/>
    <n v="287"/>
    <d v="2021-01-05T00:00:00"/>
    <s v="Sleep Inn &amp; Suites Austin"/>
    <s v="Austin, TX 78728"/>
    <n v="78728"/>
    <x v="0"/>
    <x v="19"/>
    <s v="Q"/>
    <s v=""/>
    <s v=""/>
    <x v="4"/>
    <n v="0.03"/>
    <s v="First Western SBLC, Inc"/>
    <s v="Hotels (except Casino Hotels) and Motels"/>
  </r>
  <r>
    <n v="310758.11"/>
    <n v="4004277000"/>
    <s v="Actual"/>
    <s v="Long Maturity"/>
    <n v="402"/>
    <x v="294"/>
    <n v="582407.26"/>
    <x v="3"/>
    <d v="2019-10-07T00:00:00"/>
    <n v="13.972602739726028"/>
    <d v="2044-11-15T00:00:00"/>
    <n v="301"/>
    <n v="287"/>
    <d v="2021-01-03T00:00:00"/>
    <s v="B&amp;H Mart Inc."/>
    <s v="West Bend, WI 53095"/>
    <n v="53095"/>
    <x v="14"/>
    <x v="4"/>
    <s v="Q"/>
    <s v=""/>
    <s v=""/>
    <x v="1"/>
    <n v="0.03"/>
    <s v="ByLine Bank"/>
    <s v="Gasoline Stations with Convenience Stores"/>
  </r>
  <r>
    <n v="311392.11"/>
    <n v="4241227000"/>
    <s v="Actual"/>
    <s v="Long Maturity"/>
    <n v="402"/>
    <x v="295"/>
    <n v="1841103.26"/>
    <x v="19"/>
    <d v="2020-02-20T00:00:00"/>
    <n v="9.4027397260273968"/>
    <d v="2045-06-15T00:00:00"/>
    <n v="304"/>
    <n v="294"/>
    <d v="2021-01-05T00:00:00"/>
    <s v="Pawley's Island Group LLC dba Quality Inn &amp; Suites"/>
    <s v="Pawleys Island, SC 29585"/>
    <n v="29585"/>
    <x v="22"/>
    <x v="19"/>
    <s v="Q"/>
    <s v=""/>
    <s v=""/>
    <x v="4"/>
    <n v="0.05"/>
    <s v="Citizens Bank FAO Acclivity Financia"/>
    <s v="Hotels (except Casino Hotels) and Motels"/>
  </r>
  <r>
    <n v="311444.11"/>
    <n v="3450617208"/>
    <s v="Actual"/>
    <s v="Long Maturity"/>
    <n v="402"/>
    <x v="296"/>
    <n v="485314.25"/>
    <x v="15"/>
    <d v="2020-05-08T00:00:00"/>
    <n v="7.6273972602739732"/>
    <d v="2045-06-15T00:00:00"/>
    <n v="301"/>
    <n v="294"/>
    <d v="2021-01-12T00:00:00"/>
    <s v="Choice Foods, LLC and Bakers Drive-In LLC"/>
    <s v="Mckinney, TX 75069"/>
    <n v="75069"/>
    <x v="0"/>
    <x v="22"/>
    <s v="Q"/>
    <s v=""/>
    <s v=""/>
    <x v="0"/>
    <n v="0.05"/>
    <s v="Citizens Bank FAO Acclivity Financia"/>
    <s v="Limited-Service Restaurants"/>
  </r>
  <r>
    <n v="311505.11"/>
    <n v="4293377001"/>
    <s v="Actual"/>
    <s v="Long Maturity"/>
    <n v="402"/>
    <x v="297"/>
    <n v="2142609.98"/>
    <x v="13"/>
    <d v="2020-03-18T00:00:00"/>
    <n v="8.5479452054794507"/>
    <d v="2045-04-15T00:00:00"/>
    <n v="301"/>
    <n v="292"/>
    <d v="2021-01-04T00:00:00"/>
    <s v="Village Inn Restaurant &amp; Motel 6"/>
    <s v="St Helens, OR  97051"/>
    <n v="97051"/>
    <x v="21"/>
    <x v="19"/>
    <s v="Q"/>
    <s v=""/>
    <s v=""/>
    <x v="4"/>
    <n v="0.05"/>
    <s v="Open Bank"/>
    <s v="Hotels (except Casino Hotels) and Motels"/>
  </r>
  <r>
    <n v="311606.11"/>
    <n v="3494217001"/>
    <s v="Actual"/>
    <s v="Long Maturity"/>
    <n v="402"/>
    <x v="298"/>
    <n v="233055.25"/>
    <x v="11"/>
    <d v="2020-05-04T00:00:00"/>
    <n v="7.397260273972603"/>
    <d v="2045-06-15T00:00:00"/>
    <n v="301"/>
    <n v="294"/>
    <d v="2021-01-21T00:00:00"/>
    <s v="Helping Hands Maintenance Service"/>
    <s v="Eddington, ME 04428"/>
    <n v="4428"/>
    <x v="41"/>
    <x v="112"/>
    <s v="Q"/>
    <s v=""/>
    <s v=""/>
    <x v="3"/>
    <n v="0.05"/>
    <s v="KeyBank - East"/>
    <s v="All Other Specialty Trade Contractors"/>
  </r>
  <r>
    <n v="312201.11"/>
    <n v="4238937000"/>
    <s v="Actual"/>
    <s v="Long Maturity"/>
    <n v="402"/>
    <x v="299"/>
    <n v="185821.58"/>
    <x v="15"/>
    <d v="2020-06-17T00:00:00"/>
    <n v="5.5232876712328771"/>
    <d v="2045-07-15T00:00:00"/>
    <n v="301"/>
    <n v="295"/>
    <d v="2021-01-05T00:00:00"/>
    <s v="Amendment &amp; Restatement of the Green Family Trust dated 8/25/16"/>
    <s v="Pacheco, CA 94553"/>
    <n v="94553"/>
    <x v="10"/>
    <x v="113"/>
    <s v="Q"/>
    <s v=""/>
    <s v=""/>
    <x v="9"/>
    <n v="0.05"/>
    <s v="CDC Small Business Finance"/>
    <s v="Trusts, Estates, and Agency Accounts"/>
  </r>
  <r>
    <n v="304883.11"/>
    <n v="9256965002"/>
    <s v="Actual"/>
    <s v="Long Maturity"/>
    <n v="402"/>
    <x v="300"/>
    <n v="1771393.05"/>
    <x v="52"/>
    <d v="2017-02-15T00:00:00"/>
    <n v="46.684931506849317"/>
    <d v="2042-03-15T00:00:00"/>
    <n v="301"/>
    <n v="255"/>
    <d v="2021-01-05T00:00:00"/>
    <s v="Super Nine, LLC  Super Telge Enterprises, LLC"/>
    <s v="Cypress, TX 77429"/>
    <n v="77429"/>
    <x v="0"/>
    <x v="4"/>
    <s v="Q"/>
    <s v=""/>
    <s v=""/>
    <x v="5"/>
    <n v="0"/>
    <s v="Southwestern National Bank"/>
    <s v="Gasoline Stations with Convenience Stores"/>
  </r>
  <r>
    <n v="304998.11"/>
    <n v="9634335010"/>
    <s v="Actual"/>
    <s v="Long Maturity"/>
    <n v="402"/>
    <x v="301"/>
    <n v="144310.68"/>
    <x v="27"/>
    <d v="2017-11-21T00:00:00"/>
    <n v="36.800000000000004"/>
    <d v="2043-03-15T00:00:00"/>
    <n v="304"/>
    <n v="267"/>
    <d v="2021-01-26T00:00:00"/>
    <s v="Wickser Properties LLC and The Center for Natural Health, LLC"/>
    <s v="St. Charles, MO 63303"/>
    <n v="63303"/>
    <x v="28"/>
    <x v="99"/>
    <s v="Q"/>
    <s v=""/>
    <s v=""/>
    <x v="1"/>
    <n v="0"/>
    <s v="Midwest Regional Bank"/>
    <s v="Offices of All Other Miscellaneous Health Practitioners"/>
  </r>
  <r>
    <n v="305549.11"/>
    <n v="9601555010"/>
    <s v="Actual"/>
    <s v="Long Maturity"/>
    <n v="402"/>
    <x v="302"/>
    <n v="850559.21"/>
    <x v="13"/>
    <d v="2017-07-31T00:00:00"/>
    <n v="40.142465753424659"/>
    <d v="2043-02-15T00:00:00"/>
    <n v="307"/>
    <n v="266"/>
    <d v="2021-01-06T00:00:00"/>
    <s v="McAlister Leftwich House LLC EPC"/>
    <s v="Greensboro, NC 27401"/>
    <n v="27401"/>
    <x v="6"/>
    <x v="26"/>
    <s v="Q"/>
    <s v=""/>
    <s v=""/>
    <x v="2"/>
    <n v="0"/>
    <s v="Citizens Bank FAO Acclivity Financia"/>
    <s v="Lessors of Nonresidential Buildings (except Miniwarehouses)"/>
  </r>
  <r>
    <n v="308250.11"/>
    <n v="9811605010"/>
    <s v="Actual"/>
    <s v="Long Maturity"/>
    <n v="402"/>
    <x v="303"/>
    <n v="671855.97"/>
    <x v="53"/>
    <d v="2017-10-16T00:00:00"/>
    <n v="37.566666666666663"/>
    <d v="2042-11-15T00:00:00"/>
    <n v="301"/>
    <n v="263"/>
    <d v="2021-01-07T00:00:00"/>
    <s v="225 Broad Street LLC &amp; Always Faithful Pet Memorial Services LLC"/>
    <s v="Carlstadt, NJ 07072"/>
    <n v="7072"/>
    <x v="17"/>
    <x v="114"/>
    <s v="Q"/>
    <s v=""/>
    <s v=""/>
    <x v="2"/>
    <n v="0"/>
    <s v="Grand Bank, NA"/>
    <s v="Cemeteries and Crematories"/>
  </r>
  <r>
    <n v="308260.11"/>
    <n v="3612247001"/>
    <s v="Actual"/>
    <s v="Long Maturity"/>
    <n v="402"/>
    <x v="304"/>
    <n v="1810717.05"/>
    <x v="39"/>
    <d v="2019-03-28T00:00:00"/>
    <n v="20.233333333333334"/>
    <d v="2044-04-15T00:00:00"/>
    <n v="301"/>
    <n v="280"/>
    <d v="2021-01-04T00:00:00"/>
    <s v="B &amp; J Properties LLC"/>
    <s v="Los Angeles, CA 90003"/>
    <n v="90003"/>
    <x v="10"/>
    <x v="98"/>
    <s v="Q"/>
    <s v=""/>
    <s v=""/>
    <x v="7"/>
    <n v="0.03"/>
    <s v="Woori America Bank"/>
    <s v="Coin-Operated Laundries and Drycleaners"/>
  </r>
  <r>
    <n v="309203.11"/>
    <n v="3848967001"/>
    <s v="Actual"/>
    <s v="Long Maturity"/>
    <n v="402"/>
    <x v="305"/>
    <n v="176776.92"/>
    <x v="15"/>
    <d v="2019-08-02T00:00:00"/>
    <n v="16.109589041095891"/>
    <d v="2044-09-15T00:00:00"/>
    <n v="301"/>
    <n v="285"/>
    <d v="2021-01-04T00:00:00"/>
    <s v="AMSV LLC"/>
    <s v="Sheffield Village, OH 44035"/>
    <n v="44035"/>
    <x v="9"/>
    <x v="115"/>
    <s v="Q"/>
    <s v=""/>
    <s v=""/>
    <x v="1"/>
    <n v="0.03"/>
    <s v="The Huntington National Bank"/>
    <s v="Offices of Podiatrists"/>
  </r>
  <r>
    <n v="310053.11"/>
    <n v="4117787007"/>
    <s v="Actual"/>
    <s v="Long Maturity"/>
    <n v="402"/>
    <x v="306"/>
    <n v="3666711.01"/>
    <x v="4"/>
    <d v="2019-12-04T00:00:00"/>
    <n v="12"/>
    <d v="2045-01-15T00:00:00"/>
    <n v="301"/>
    <n v="289"/>
    <d v="2021-01-04T00:00:00"/>
    <s v="Mahil Enterprises II Inc."/>
    <s v="Mount Vernon, WA 98273"/>
    <n v="98273"/>
    <x v="13"/>
    <x v="4"/>
    <s v="Q"/>
    <s v=""/>
    <s v=""/>
    <x v="5"/>
    <n v="0.05"/>
    <s v="UniBank"/>
    <s v="Gasoline Stations with Convenience Stores"/>
  </r>
  <r>
    <n v="310366.11"/>
    <n v="4166397004"/>
    <s v="Actual"/>
    <s v="Long Maturity"/>
    <n v="402"/>
    <x v="307"/>
    <n v="466844.69"/>
    <x v="26"/>
    <d v="2019-12-31T00:00:00"/>
    <n v="11.17808219178082"/>
    <d v="2045-01-15T00:00:00"/>
    <n v="301"/>
    <n v="289"/>
    <d v="2021-01-04T00:00:00"/>
    <s v="Om Shri Bapa Inc."/>
    <s v="Rantoul, IL 61866"/>
    <n v="61866"/>
    <x v="3"/>
    <x v="22"/>
    <s v="Q"/>
    <s v=""/>
    <s v=""/>
    <x v="3"/>
    <n v="0.05"/>
    <s v="ByLine Bank"/>
    <s v="Limited-Service Restaurants"/>
  </r>
  <r>
    <n v="310413.11"/>
    <n v="3493967001"/>
    <s v="Actual"/>
    <s v="Long Maturity"/>
    <n v="402"/>
    <x v="308"/>
    <n v="2900935.7"/>
    <x v="4"/>
    <d v="2019-06-04T00:00:00"/>
    <n v="19.06849315068493"/>
    <d v="2045-01-15T00:00:00"/>
    <n v="307"/>
    <n v="289"/>
    <d v="2021-01-04T00:00:00"/>
    <s v="RCH Apex LLC"/>
    <s v="Apex, NC 27502"/>
    <n v="27502"/>
    <x v="6"/>
    <x v="22"/>
    <s v="Q"/>
    <s v=""/>
    <s v=""/>
    <x v="5"/>
    <n v="0.03"/>
    <s v="First Bank Financial Centre"/>
    <s v="Limited-Service Restaurants"/>
  </r>
  <r>
    <n v="310749.11"/>
    <n v="3980247005"/>
    <s v="Actual"/>
    <s v="Long Maturity"/>
    <n v="402"/>
    <x v="309"/>
    <n v="515529.78"/>
    <x v="5"/>
    <d v="2019-10-21T00:00:00"/>
    <n v="13.479452054794521"/>
    <d v="2044-11-15T00:00:00"/>
    <n v="301"/>
    <n v="287"/>
    <d v="2021-01-04T00:00:00"/>
    <s v="HIDMI Enterprises Inc."/>
    <s v="Kettering, OH 45419"/>
    <n v="45419"/>
    <x v="9"/>
    <x v="44"/>
    <s v="Q"/>
    <s v=""/>
    <s v=""/>
    <x v="3"/>
    <n v="0.03"/>
    <s v="The Huntington National Bank"/>
    <s v="Beauty Salons"/>
  </r>
  <r>
    <n v="310776.11"/>
    <n v="3907347004"/>
    <s v="Actual"/>
    <s v="Long Maturity"/>
    <n v="402"/>
    <x v="310"/>
    <n v="3266741.29"/>
    <x v="2"/>
    <d v="2019-09-25T00:00:00"/>
    <n v="14.399999999999999"/>
    <d v="2044-10-15T00:00:00"/>
    <n v="301"/>
    <n v="286"/>
    <d v="2021-01-04T00:00:00"/>
    <s v="Ampride Travel Center Inc."/>
    <s v="Denison, IA 51442"/>
    <n v="51442"/>
    <x v="38"/>
    <x v="116"/>
    <s v="Q"/>
    <s v=""/>
    <s v=""/>
    <x v="1"/>
    <n v="0.03"/>
    <s v="ByLine Bank"/>
    <s v="Other Gasoline Stations"/>
  </r>
  <r>
    <n v="310871.11"/>
    <n v="4049137008"/>
    <s v="Actual"/>
    <s v="Long Maturity"/>
    <n v="402"/>
    <x v="311"/>
    <n v="1468874.18"/>
    <x v="13"/>
    <d v="2019-10-24T00:00:00"/>
    <n v="13.446575342465753"/>
    <d v="2044-11-15T00:00:00"/>
    <n v="301"/>
    <n v="287"/>
    <d v="2021-01-04T00:00:00"/>
    <s v="Super 8"/>
    <s v="Marietta, GA 30067"/>
    <n v="30067"/>
    <x v="2"/>
    <x v="19"/>
    <s v="Q"/>
    <s v=""/>
    <s v=""/>
    <x v="4"/>
    <n v="0.03"/>
    <s v="Open Bank"/>
    <s v="Hotels (except Casino Hotels) and Motels"/>
  </r>
  <r>
    <n v="310946.11"/>
    <n v="2637747000"/>
    <s v="Actual"/>
    <s v="Long Maturity"/>
    <n v="402"/>
    <x v="312"/>
    <n v="721654.34"/>
    <x v="11"/>
    <d v="2018-06-29T00:00:00"/>
    <n v="29.326027397260276"/>
    <d v="2044-10-15T00:00:00"/>
    <n v="316"/>
    <n v="286"/>
    <d v="2021-01-05T00:00:00"/>
    <s v="DFS Enterprises LLC"/>
    <s v="Columbus, OH 43207"/>
    <n v="43207"/>
    <x v="9"/>
    <x v="114"/>
    <s v="Q"/>
    <s v=""/>
    <s v=""/>
    <x v="3"/>
    <n v="0.01"/>
    <s v="First Bank"/>
    <s v="Cemeteries and Crematories"/>
  </r>
  <r>
    <n v="311388.11"/>
    <n v="4276377010"/>
    <s v="Actual"/>
    <s v="Long Maturity"/>
    <n v="402"/>
    <x v="313"/>
    <n v="3230128.54"/>
    <x v="19"/>
    <d v="2020-03-19T00:00:00"/>
    <n v="8.5150684931506841"/>
    <d v="2045-04-15T00:00:00"/>
    <n v="301"/>
    <n v="292"/>
    <d v="2021-01-06T00:00:00"/>
    <s v="DIYA Capital Investments LLC dba LaQuinta Inn by Wyndham, Champaign"/>
    <s v="Champaign, IL 61820"/>
    <n v="61820"/>
    <x v="3"/>
    <x v="19"/>
    <s v="Q"/>
    <s v=""/>
    <s v=""/>
    <x v="5"/>
    <n v="0.05"/>
    <s v="Citizens Bank FAO Acclivity Financia"/>
    <s v="Hotels (except Casino Hotels) and Motels"/>
  </r>
  <r>
    <n v="311590.11"/>
    <n v="4148497006"/>
    <s v="Actual"/>
    <s v="Long Maturity"/>
    <n v="402"/>
    <x v="314"/>
    <n v="230213.5"/>
    <x v="23"/>
    <d v="2019-12-13T00:00:00"/>
    <n v="12.361643835616437"/>
    <d v="2045-04-15T00:00:00"/>
    <n v="304"/>
    <n v="292"/>
    <d v="2021-01-22T00:00:00"/>
    <s v="Anchor HQ LLC and Floater with a Motor dba Donner Boat Valet, as Co-Bo"/>
    <s v="Truckee, CA 96161"/>
    <n v="96161"/>
    <x v="10"/>
    <x v="117"/>
    <s v="Q"/>
    <s v=""/>
    <s v=""/>
    <x v="2"/>
    <n v="0.03"/>
    <s v="Plumas Bank"/>
    <s v="Recreational Goods Rental"/>
  </r>
  <r>
    <n v="311627.11"/>
    <n v="4291667001"/>
    <s v="Actual"/>
    <s v="Long Maturity"/>
    <n v="402"/>
    <x v="315"/>
    <n v="1045879.11"/>
    <x v="4"/>
    <d v="2020-05-28T00:00:00"/>
    <n v="6.0493150684931507"/>
    <d v="2045-06-15T00:00:00"/>
    <n v="301"/>
    <n v="294"/>
    <d v="2020-12-16T00:00:00"/>
    <s v="Likhi Enterprises LLC"/>
    <s v="Cleburne, TX 76033"/>
    <n v="76033"/>
    <x v="0"/>
    <x v="4"/>
    <s v="Q"/>
    <s v=""/>
    <s v=""/>
    <x v="2"/>
    <n v="0.05"/>
    <s v="Citizens Bank FAO Acclivity Financia"/>
    <s v="Gasoline Stations with Convenience Stores"/>
  </r>
  <r>
    <n v="311629.11"/>
    <n v="4211637004"/>
    <s v="Actual"/>
    <s v="Long Maturity"/>
    <n v="402"/>
    <x v="316"/>
    <n v="329759.35999999999"/>
    <x v="11"/>
    <d v="2020-02-04T00:00:00"/>
    <n v="9.9616438356164387"/>
    <d v="2045-03-15T00:00:00"/>
    <n v="301"/>
    <n v="291"/>
    <d v="2021-01-04T00:00:00"/>
    <s v="Loft Enterprises LLC"/>
    <s v="Oxford, NJ 07863"/>
    <n v="7863"/>
    <x v="17"/>
    <x v="26"/>
    <s v="Q"/>
    <s v=""/>
    <s v=""/>
    <x v="0"/>
    <n v="0.05"/>
    <s v="Meridian Bank"/>
    <s v="Lessors of Nonresidential Buildings (except Miniwarehouses)"/>
  </r>
  <r>
    <n v="312323.11"/>
    <n v="4337997002"/>
    <s v="Actual"/>
    <s v="Long Maturity"/>
    <n v="402"/>
    <x v="317"/>
    <n v="696664.01"/>
    <x v="16"/>
    <d v="2020-08-04T00:00:00"/>
    <n v="5"/>
    <d v="2033-09-15T00:00:00"/>
    <n v="157"/>
    <n v="153"/>
    <d v="2021-01-04T00:00:00"/>
    <s v="Mindi Mapes/St. Bernard Pharmaceutical Corp"/>
    <s v="Meraux, LA 70075"/>
    <n v="70075"/>
    <x v="20"/>
    <x v="110"/>
    <s v="Q"/>
    <s v=""/>
    <s v=""/>
    <x v="2"/>
    <n v="0"/>
    <s v="First Financial Bank, FSB"/>
    <s v="Pharmacies and Drug Stores"/>
  </r>
  <r>
    <n v="312909.11"/>
    <n v="6367538207"/>
    <s v="Actual"/>
    <s v="Long Maturity"/>
    <n v="402"/>
    <x v="318"/>
    <n v="2603199.5099999998"/>
    <x v="19"/>
    <d v="2020-09-23T00:00:00"/>
    <n v="2.3671232876712329"/>
    <d v="2037-10-15T00:00:00"/>
    <n v="205"/>
    <n v="202"/>
    <d v="2021-01-04T00:00:00"/>
    <s v="G&amp;M Land Holdings LLC"/>
    <s v="Arden, NC 28704"/>
    <n v="28704"/>
    <x v="6"/>
    <x v="118"/>
    <s v="Q"/>
    <s v=""/>
    <s v=""/>
    <x v="6"/>
    <n v="0.05"/>
    <s v="Meridian Bank"/>
    <s v="Residential Remodelers"/>
  </r>
  <r>
    <n v="312910.11"/>
    <n v="8320078202"/>
    <s v="Actual"/>
    <s v="Long Maturity"/>
    <n v="402"/>
    <x v="319"/>
    <n v="1943972.06"/>
    <x v="11"/>
    <d v="2020-09-22T00:00:00"/>
    <n v="2.4000000000000004"/>
    <d v="2037-10-15T00:00:00"/>
    <n v="205"/>
    <n v="202"/>
    <d v="2021-01-04T00:00:00"/>
    <s v="JKL Real Estate LLC"/>
    <s v="East Petersburg, PA 17520"/>
    <n v="17520"/>
    <x v="11"/>
    <x v="75"/>
    <s v="Q"/>
    <s v=""/>
    <s v=""/>
    <x v="2"/>
    <n v="0.05"/>
    <s v="Meridian Bank"/>
    <s v="Sign Manufacturing"/>
  </r>
  <r>
    <n v="304279.11"/>
    <n v="9442575007"/>
    <s v="Actual"/>
    <s v="Long Maturity"/>
    <n v="402"/>
    <x v="320"/>
    <n v="238229.74"/>
    <x v="42"/>
    <d v="2017-05-15T00:00:00"/>
    <n v="42.80547945205479"/>
    <d v="2037-06-15T00:00:00"/>
    <n v="241"/>
    <n v="198"/>
    <d v="2021-01-05T00:00:00"/>
    <s v="Dog Days"/>
    <s v="Tyrone, PA 16686"/>
    <n v="16686"/>
    <x v="11"/>
    <x v="29"/>
    <s v="Q"/>
    <s v=""/>
    <s v=""/>
    <x v="5"/>
    <n v="0"/>
    <n v="0"/>
    <s v="Veterinary Services"/>
  </r>
  <r>
    <n v="304430.11"/>
    <n v="1449227006"/>
    <s v="Actual"/>
    <s v="Long Maturity"/>
    <n v="402"/>
    <x v="321"/>
    <n v="2505471.06"/>
    <x v="54"/>
    <d v="2017-12-14T00:00:00"/>
    <n v="35.802739726027397"/>
    <d v="2033-10-15T00:00:00"/>
    <n v="190"/>
    <n v="154"/>
    <d v="2021-01-05T00:00:00"/>
    <s v="Kennedy Service Group LLC"/>
    <s v="Tulsa, OK 74114"/>
    <n v="74114"/>
    <x v="32"/>
    <x v="76"/>
    <s v="Q"/>
    <s v=""/>
    <s v=""/>
    <x v="2"/>
    <n v="0.01"/>
    <s v="Live Oak Banking Co."/>
    <s v="Funeral Homes and Funeral Services"/>
  </r>
  <r>
    <n v="305059.11"/>
    <n v="2597487010"/>
    <s v="Actual"/>
    <s v="Long Maturity"/>
    <n v="402"/>
    <x v="322"/>
    <n v="2938969.74"/>
    <x v="44"/>
    <d v="2018-05-29T00:00:00"/>
    <n v="30.246575342465754"/>
    <d v="2043-06-15T00:00:00"/>
    <n v="301"/>
    <n v="270"/>
    <d v="2021-01-05T00:00:00"/>
    <s v="Eliska Hospitality, LLC."/>
    <s v="Bolingbrook, IL 60440"/>
    <n v="60440"/>
    <x v="3"/>
    <x v="19"/>
    <s v="Q"/>
    <s v=""/>
    <s v=""/>
    <x v="2"/>
    <n v="0.01"/>
    <s v="Homestar Bank"/>
    <s v="Hotels (except Casino Hotels) and Motels"/>
  </r>
  <r>
    <n v="305238.11"/>
    <n v="9577325010"/>
    <s v="Actual"/>
    <s v="Long Maturity"/>
    <n v="402"/>
    <x v="323"/>
    <n v="3568920.18"/>
    <x v="8"/>
    <d v="2017-06-28T00:00:00"/>
    <n v="41.424657534246577"/>
    <d v="2042-09-15T00:00:00"/>
    <n v="303"/>
    <n v="261"/>
    <d v="2021-01-04T00:00:00"/>
    <s v="TNB Tucson, LLC dba Sheraton Tucson Hotel &amp; Suites"/>
    <s v="Tucson, AZ 85712"/>
    <n v="85712"/>
    <x v="5"/>
    <x v="19"/>
    <s v="Q"/>
    <s v=""/>
    <s v=""/>
    <x v="5"/>
    <n v="0"/>
    <s v="Royal Business Bank"/>
    <s v="Hotels (except Casino Hotels) and Motels"/>
  </r>
  <r>
    <n v="305319.11"/>
    <n v="9780845008"/>
    <s v="Actual"/>
    <s v="Long Maturity"/>
    <n v="402"/>
    <x v="324"/>
    <n v="1341296.19"/>
    <x v="19"/>
    <d v="2017-09-28T00:00:00"/>
    <n v="38.334246575342462"/>
    <d v="2043-08-15T00:00:00"/>
    <n v="311"/>
    <n v="272"/>
    <d v="2020-12-07T00:00:00"/>
    <s v="St Francis Animal Medical Center LLC"/>
    <s v="St. Francisville, LA  70775"/>
    <n v="70775"/>
    <x v="20"/>
    <x v="29"/>
    <s v="Q"/>
    <s v=""/>
    <s v=""/>
    <x v="3"/>
    <n v="0"/>
    <s v="United Community Bank"/>
    <s v="Veterinary Services"/>
  </r>
  <r>
    <n v="305480.11"/>
    <n v="1445507010"/>
    <s v="Actual"/>
    <s v="Long Maturity"/>
    <n v="402"/>
    <x v="325"/>
    <n v="205027.16"/>
    <x v="48"/>
    <d v="2017-11-27T00:00:00"/>
    <n v="36.361643835616441"/>
    <d v="2042-12-15T00:00:00"/>
    <n v="301"/>
    <n v="264"/>
    <d v="2021-01-05T00:00:00"/>
    <s v="Boundarath Phomphakdy"/>
    <s v="Orem, UT 84058"/>
    <n v="84058"/>
    <x v="34"/>
    <x v="3"/>
    <s v="Q"/>
    <s v=""/>
    <s v=""/>
    <x v="2"/>
    <n v="0"/>
    <s v="Meadows Bank"/>
    <s v="Full-Service Restaurants"/>
  </r>
  <r>
    <n v="305939.11"/>
    <n v="1200127005"/>
    <s v="Actual"/>
    <s v="Long Maturity"/>
    <n v="402"/>
    <x v="326"/>
    <n v="1123479.07"/>
    <x v="4"/>
    <d v="2017-11-15T00:00:00"/>
    <n v="36.756164383561647"/>
    <d v="2043-09-15T00:00:00"/>
    <n v="310"/>
    <n v="273"/>
    <d v="2021-01-05T00:00:00"/>
    <s v="Geddo Corp"/>
    <s v="La Habra, CA 90631"/>
    <n v="90631"/>
    <x v="10"/>
    <x v="22"/>
    <s v="Q"/>
    <s v=""/>
    <s v=""/>
    <x v="0"/>
    <n v="0"/>
    <s v="Banner Bank"/>
    <s v="Limited-Service Restaurants"/>
  </r>
  <r>
    <n v="307774.11"/>
    <n v="3248127003"/>
    <s v="Actual"/>
    <s v="Long Maturity"/>
    <n v="402"/>
    <x v="327"/>
    <n v="174929.78"/>
    <x v="11"/>
    <d v="2018-12-07T00:00:00"/>
    <n v="23.934246575342467"/>
    <d v="2035-01-15T00:00:00"/>
    <n v="193"/>
    <n v="169"/>
    <d v="2021-01-05T00:00:00"/>
    <s v="G &amp; K Liquor, LLC"/>
    <s v="Trinity, TX 75862"/>
    <n v="75862"/>
    <x v="0"/>
    <x v="49"/>
    <s v="Q"/>
    <s v=""/>
    <s v=""/>
    <x v="1"/>
    <n v="0.03"/>
    <s v="First Home Bank"/>
    <s v="Beer, Wine, and Liquor Stores"/>
  </r>
  <r>
    <n v="308163.11"/>
    <n v="2629477002"/>
    <s v="Actual"/>
    <s v="Long Maturity"/>
    <n v="402"/>
    <x v="328"/>
    <n v="3684655.08"/>
    <x v="18"/>
    <d v="2018-06-29T00:00:00"/>
    <n v="29.326027397260276"/>
    <d v="2044-07-15T00:00:00"/>
    <n v="313"/>
    <n v="283"/>
    <d v="2021-01-05T00:00:00"/>
    <s v="The Fountains in Cartersville LLC"/>
    <s v="Marietta, GA 30120"/>
    <n v="30120"/>
    <x v="2"/>
    <x v="15"/>
    <s v="Q"/>
    <s v=""/>
    <s v=""/>
    <x v="0"/>
    <n v="0.01"/>
    <s v="Live Oak Banking Co."/>
    <s v="Assisted Living Facilities for the Elderly"/>
  </r>
  <r>
    <n v="308358.11"/>
    <n v="3536147003"/>
    <s v="Actual"/>
    <s v="Long Maturity"/>
    <n v="402"/>
    <x v="329"/>
    <n v="1654038.36"/>
    <x v="11"/>
    <d v="2019-03-22T00:00:00"/>
    <n v="20.515068493150686"/>
    <d v="2034-04-15T00:00:00"/>
    <n v="181"/>
    <n v="160"/>
    <d v="2021-01-05T00:00:00"/>
    <s v="Dracool USA Inc."/>
    <s v="Carlisle, OH 45005"/>
    <n v="45005"/>
    <x v="9"/>
    <x v="119"/>
    <s v="Q"/>
    <s v=""/>
    <s v=""/>
    <x v="1"/>
    <n v="0.03"/>
    <s v="The Huntington National Bank"/>
    <s v="Commercial and Industrial Machinery and Equipment (except Automotive and Electronic) Repair and Maintenance"/>
  </r>
  <r>
    <n v="308365.11"/>
    <n v="1814807002"/>
    <s v="Actual"/>
    <s v="Long Maturity"/>
    <n v="402"/>
    <x v="330"/>
    <n v="454501.35"/>
    <x v="11"/>
    <d v="2019-03-21T00:00:00"/>
    <n v="20.547945205479451"/>
    <d v="2037-04-15T00:00:00"/>
    <n v="217"/>
    <n v="196"/>
    <d v="2021-01-05T00:00:00"/>
    <s v="Management Systems LLC"/>
    <s v="Wayland, MI 49348"/>
    <n v="49348"/>
    <x v="8"/>
    <x v="4"/>
    <s v="Q"/>
    <s v=""/>
    <s v=""/>
    <x v="2"/>
    <n v="0.03"/>
    <s v="The Huntington National Bank"/>
    <s v="Gasoline Stations with Convenience Stores"/>
  </r>
  <r>
    <n v="308459.11"/>
    <n v="3622217007"/>
    <s v="Actual"/>
    <s v="Long Maturity"/>
    <n v="402"/>
    <x v="331"/>
    <n v="94755.26"/>
    <x v="16"/>
    <d v="2019-04-18T00:00:00"/>
    <n v="19.633333333333333"/>
    <d v="2044-05-15T00:00:00"/>
    <n v="301"/>
    <n v="281"/>
    <d v="2021-01-05T00:00:00"/>
    <s v="Twinkle Market LLC"/>
    <s v="Hollister, MO 65672"/>
    <n v="65672"/>
    <x v="28"/>
    <x v="120"/>
    <s v="Q"/>
    <s v=""/>
    <s v=""/>
    <x v="5"/>
    <n v="0.03"/>
    <s v="Simmons Bank"/>
    <s v="Used Merchandise Stores"/>
  </r>
  <r>
    <n v="308565.11"/>
    <n v="3313607002"/>
    <s v="Actual"/>
    <s v="Long Maturity"/>
    <n v="402"/>
    <x v="332"/>
    <n v="272431.23"/>
    <x v="13"/>
    <d v="2019-05-21T00:00:00"/>
    <n v="18.509589041095889"/>
    <d v="2044-06-15T00:00:00"/>
    <n v="301"/>
    <n v="282"/>
    <d v="2020-12-04T00:00:00"/>
    <s v="La Fondita Truck Restaurant Inc"/>
    <s v="Seattle, WA 98146"/>
    <n v="98146"/>
    <x v="13"/>
    <x v="65"/>
    <s v="Q"/>
    <s v=""/>
    <s v=""/>
    <x v="5"/>
    <n v="0.03"/>
    <s v="River Valley Bank"/>
    <s v="Mobile Food Services"/>
  </r>
  <r>
    <n v="308910.11"/>
    <n v="3619407004"/>
    <s v="Actual"/>
    <s v="Long Maturity"/>
    <n v="402"/>
    <x v="333"/>
    <n v="313643.78000000003"/>
    <x v="44"/>
    <d v="2019-04-08T00:00:00"/>
    <n v="20.021917808219179"/>
    <d v="2044-05-15T00:00:00"/>
    <n v="301"/>
    <n v="281"/>
    <d v="2021-01-05T00:00:00"/>
    <s v="Flying Saucer Pie Company, Inc."/>
    <s v="Houston, TX 77018"/>
    <n v="77018"/>
    <x v="0"/>
    <x v="121"/>
    <s v="Q"/>
    <s v=""/>
    <s v=""/>
    <x v="2"/>
    <n v="0.03"/>
    <s v="Texas Citizens Bank"/>
    <s v="Baked Goods Stores"/>
  </r>
  <r>
    <n v="308916.11"/>
    <n v="2964917000"/>
    <s v="Actual"/>
    <s v="Long Maturity"/>
    <n v="402"/>
    <x v="334"/>
    <n v="810172.64"/>
    <x v="44"/>
    <d v="2018-09-28T00:00:00"/>
    <n v="26.268493150684929"/>
    <d v="2043-10-15T00:00:00"/>
    <n v="301"/>
    <n v="274"/>
    <d v="2021-01-05T00:00:00"/>
    <s v="Weezy Properties LLC"/>
    <s v="Fombell, PA 16123"/>
    <n v="16123"/>
    <x v="11"/>
    <x v="122"/>
    <s v="Q"/>
    <s v=""/>
    <s v=""/>
    <x v="2"/>
    <n v="0.01"/>
    <s v="The Huntington National Bank"/>
    <s v="Automotive Parts and Accessories Stores"/>
  </r>
  <r>
    <n v="308917.11"/>
    <n v="2660927004"/>
    <s v="Actual"/>
    <s v="Long Maturity"/>
    <n v="402"/>
    <x v="335"/>
    <n v="659088.62"/>
    <x v="10"/>
    <d v="2019-07-11T00:00:00"/>
    <n v="16.865753424657534"/>
    <d v="2044-08-15T00:00:00"/>
    <n v="301"/>
    <n v="284"/>
    <d v="2021-01-05T00:00:00"/>
    <s v="Boomer Franklin Properties"/>
    <s v="Bolivar, OH 44612"/>
    <n v="44612"/>
    <x v="9"/>
    <x v="12"/>
    <s v="Q"/>
    <s v=""/>
    <s v=""/>
    <x v="1"/>
    <n v="0.03"/>
    <s v="The Huntington National Bank"/>
    <s v="Breweries"/>
  </r>
  <r>
    <n v="309064.11"/>
    <n v="3755877010"/>
    <s v="Actual"/>
    <s v="Long Maturity"/>
    <n v="402"/>
    <x v="336"/>
    <n v="1781713.3"/>
    <x v="29"/>
    <d v="2019-07-19T00:00:00"/>
    <n v="16.602739726027398"/>
    <d v="2044-08-15T00:00:00"/>
    <n v="301"/>
    <n v="284"/>
    <d v="2021-01-05T00:00:00"/>
    <s v="JMD Magnificat, L.L.C. and JMD Excelsior LLC"/>
    <s v="Mount Vernon, TX 75457"/>
    <n v="75457"/>
    <x v="0"/>
    <x v="15"/>
    <s v="Q"/>
    <s v=""/>
    <s v=""/>
    <x v="5"/>
    <n v="0.03"/>
    <s v="Guaranty Bank &amp; Trust, N.A."/>
    <s v="Assisted Living Facilities for the Elderly"/>
  </r>
  <r>
    <n v="309077.11"/>
    <n v="3859467010"/>
    <s v="Actual"/>
    <s v="Long Maturity"/>
    <n v="402"/>
    <x v="337"/>
    <n v="249148.58"/>
    <x v="15"/>
    <d v="2019-07-31T00:00:00"/>
    <n v="16.175342465753424"/>
    <d v="2044-08-15T00:00:00"/>
    <n v="301"/>
    <n v="284"/>
    <d v="2021-01-05T00:00:00"/>
    <s v="Rustic Investments LLC dba Sunset Motel"/>
    <s v="Murphy, NC 28906"/>
    <n v="28906"/>
    <x v="6"/>
    <x v="19"/>
    <s v="Q"/>
    <s v=""/>
    <s v=""/>
    <x v="1"/>
    <n v="0.03"/>
    <s v="Paragon Bank/Paragon Small Business "/>
    <s v="Hotels (except Casino Hotels) and Motels"/>
  </r>
  <r>
    <n v="309199.11"/>
    <n v="3904407003"/>
    <s v="Actual"/>
    <s v="Long Maturity"/>
    <n v="402"/>
    <x v="338"/>
    <n v="353783.56"/>
    <x v="15"/>
    <d v="2019-08-09T00:00:00"/>
    <n v="15.912328767123288"/>
    <d v="2044-09-15T00:00:00"/>
    <n v="301"/>
    <n v="285"/>
    <d v="2021-01-05T00:00:00"/>
    <s v="Vrindavan LLC"/>
    <s v="Ortonville, MI 48642"/>
    <n v="48642"/>
    <x v="8"/>
    <x v="49"/>
    <s v="Q"/>
    <s v=""/>
    <s v=""/>
    <x v="1"/>
    <n v="0.03"/>
    <s v="The Huntington National Bank"/>
    <s v="Beer, Wine, and Liquor Stores"/>
  </r>
  <r>
    <n v="309200.11"/>
    <n v="3878737003"/>
    <s v="Actual"/>
    <s v="Long Maturity"/>
    <n v="402"/>
    <x v="339"/>
    <n v="387901.91"/>
    <x v="15"/>
    <d v="2019-07-31T00:00:00"/>
    <n v="16.208219178082189"/>
    <d v="2044-08-15T00:00:00"/>
    <n v="301"/>
    <n v="284"/>
    <d v="2021-01-05T00:00:00"/>
    <s v="Mandeep Management LLC"/>
    <s v="Hubbard, OH 44425"/>
    <n v="44425"/>
    <x v="9"/>
    <x v="4"/>
    <s v="Q"/>
    <s v=""/>
    <s v=""/>
    <x v="1"/>
    <n v="0.03"/>
    <s v="The Huntington National Bank"/>
    <s v="Gasoline Stations with Convenience Stores"/>
  </r>
  <r>
    <n v="309202.11"/>
    <n v="3858217003"/>
    <s v="Actual"/>
    <s v="Long Maturity"/>
    <n v="402"/>
    <x v="340"/>
    <n v="231906.74"/>
    <x v="11"/>
    <d v="2019-07-19T00:00:00"/>
    <n v="16.602739726027398"/>
    <d v="2044-08-15T00:00:00"/>
    <n v="301"/>
    <n v="284"/>
    <d v="2021-01-05T00:00:00"/>
    <s v="Melendez Ins and Fin Svcs Inc"/>
    <s v="Chicago, IL 60634"/>
    <n v="60634"/>
    <x v="3"/>
    <x v="123"/>
    <s v="Q"/>
    <s v=""/>
    <s v=""/>
    <x v="2"/>
    <n v="0.03"/>
    <s v="The Huntington National Bank"/>
    <s v="Direct Property and Casualty Insurance Carriers"/>
  </r>
  <r>
    <n v="309349.11"/>
    <n v="3887977007"/>
    <s v="Actual"/>
    <s v="Long Maturity"/>
    <n v="402"/>
    <x v="341"/>
    <n v="1295732.7"/>
    <x v="18"/>
    <d v="2019-08-08T00:00:00"/>
    <n v="16.010958904109589"/>
    <d v="2034-10-15T00:00:00"/>
    <n v="182"/>
    <n v="166"/>
    <d v="2021-01-05T00:00:00"/>
    <s v="Cederquist Medical Wellness Center Inc."/>
    <s v="Naples, FL 34109"/>
    <n v="34109"/>
    <x v="1"/>
    <x v="99"/>
    <s v="Q"/>
    <s v=""/>
    <s v=""/>
    <x v="0"/>
    <n v="0.03"/>
    <s v="Radius Bank"/>
    <s v="Offices of All Other Miscellaneous Health Practitioners"/>
  </r>
  <r>
    <n v="309355.11"/>
    <n v="3864617001"/>
    <s v="Actual"/>
    <s v="Long Maturity"/>
    <n v="402"/>
    <x v="342"/>
    <n v="126352.38"/>
    <x v="15"/>
    <d v="2019-07-31T00:00:00"/>
    <n v="16.208219178082189"/>
    <d v="2044-08-15T00:00:00"/>
    <n v="301"/>
    <n v="284"/>
    <d v="2021-01-05T00:00:00"/>
    <s v="Lockhart Investments"/>
    <s v="Porterville, CA 93257"/>
    <n v="93257"/>
    <x v="10"/>
    <x v="124"/>
    <s v="Q"/>
    <s v=""/>
    <s v=""/>
    <x v="1"/>
    <n v="0.03"/>
    <s v="First Savings Bank"/>
    <s v="Residential Property Managers"/>
  </r>
  <r>
    <n v="309367.11"/>
    <n v="9641345000"/>
    <s v="Actual"/>
    <s v="Long Maturity"/>
    <n v="402"/>
    <x v="343"/>
    <n v="1917363.37"/>
    <x v="22"/>
    <d v="2017-08-22T00:00:00"/>
    <n v="39.550684931506851"/>
    <d v="2043-03-15T00:00:00"/>
    <n v="307"/>
    <n v="267"/>
    <d v="2021-01-05T00:00:00"/>
    <s v="VRB Hotel LLC dba Garden Inn"/>
    <s v="Houston, TX 77093"/>
    <n v="77093"/>
    <x v="0"/>
    <x v="19"/>
    <s v="Q"/>
    <s v=""/>
    <s v=""/>
    <x v="3"/>
    <n v="0"/>
    <s v="Texas Advantage Community Bank"/>
    <s v="Hotels (except Casino Hotels) and Motels"/>
  </r>
  <r>
    <n v="309480.11"/>
    <n v="2838457003"/>
    <s v="Actual"/>
    <s v="Long Maturity"/>
    <n v="402"/>
    <x v="344"/>
    <n v="3028878.19"/>
    <x v="4"/>
    <d v="2018-09-07T00:00:00"/>
    <n v="26.958904109589042"/>
    <d v="2044-10-15T00:00:00"/>
    <n v="313"/>
    <n v="286"/>
    <d v="2021-01-05T00:00:00"/>
    <s v="TCB Lin LLC"/>
    <s v="Selma, TX 78154"/>
    <n v="78154"/>
    <x v="0"/>
    <x v="22"/>
    <s v="Q"/>
    <s v=""/>
    <s v=""/>
    <x v="4"/>
    <n v="0.01"/>
    <s v="Texas Capital Bank"/>
    <s v="Limited-Service Restaurants"/>
  </r>
  <r>
    <n v="309665.11"/>
    <n v="3904357001"/>
    <s v="Actual"/>
    <s v="Long Maturity"/>
    <n v="402"/>
    <x v="345"/>
    <n v="3315052.96"/>
    <x v="12"/>
    <d v="2019-10-08T00:00:00"/>
    <n v="14.005479452054796"/>
    <d v="2044-11-15T00:00:00"/>
    <n v="301"/>
    <n v="287"/>
    <d v="2021-01-05T00:00:00"/>
    <s v="Laptain LLC"/>
    <s v="Rancho Cucamonga, CA  91730"/>
    <n v="91730"/>
    <x v="10"/>
    <x v="105"/>
    <s v="Q"/>
    <s v=""/>
    <s v=""/>
    <x v="5"/>
    <n v="0.03"/>
    <s v="CalPrivate Bank"/>
    <s v="Home Furnishing Merchant Wholesalers"/>
  </r>
  <r>
    <n v="309726.11"/>
    <n v="4051577010"/>
    <s v="Actual"/>
    <s v="Long Maturity"/>
    <n v="402"/>
    <x v="346"/>
    <n v="2890186.45"/>
    <x v="12"/>
    <d v="2019-10-29T00:00:00"/>
    <n v="13.24931506849315"/>
    <d v="2044-11-15T00:00:00"/>
    <n v="301"/>
    <n v="287"/>
    <d v="2021-01-05T00:00:00"/>
    <s v="SRI KRSNA LLC"/>
    <s v="Seneca, SC 29678"/>
    <n v="29678"/>
    <x v="22"/>
    <x v="19"/>
    <s v="Q"/>
    <s v=""/>
    <s v=""/>
    <x v="5"/>
    <n v="0.03"/>
    <s v="Ameris Bank"/>
    <s v="Hotels (except Casino Hotels) and Motels"/>
  </r>
  <r>
    <n v="309747.11"/>
    <n v="3926327004"/>
    <s v="Actual"/>
    <s v="Long Maturity"/>
    <n v="402"/>
    <x v="347"/>
    <n v="1362319.29"/>
    <x v="45"/>
    <d v="2019-08-29T00:00:00"/>
    <n v="15.32054794520548"/>
    <d v="2044-09-15T00:00:00"/>
    <n v="301"/>
    <n v="285"/>
    <d v="2021-01-05T00:00:00"/>
    <s v="APEX Federal LLC"/>
    <s v="Brush Prairie, WA 98606"/>
    <n v="98606"/>
    <x v="13"/>
    <x v="17"/>
    <s v="Q"/>
    <s v=""/>
    <s v=""/>
    <x v="10"/>
    <n v="0.03"/>
    <s v="Live Oak Banking Co."/>
    <s v="Automotive Oil Change and Lubrication Shops"/>
  </r>
  <r>
    <n v="309769.11"/>
    <n v="2866477006"/>
    <s v="Actual"/>
    <s v="Long Maturity"/>
    <n v="402"/>
    <x v="348"/>
    <n v="1290336.26"/>
    <x v="25"/>
    <d v="2018-08-20T00:00:00"/>
    <n v="27.715068493150689"/>
    <d v="2044-03-15T00:00:00"/>
    <n v="307"/>
    <n v="279"/>
    <d v="2021-01-06T00:00:00"/>
    <s v="G&amp;H Holdings, LLC"/>
    <s v="Ogden, UT 84401"/>
    <n v="84401"/>
    <x v="34"/>
    <x v="16"/>
    <s v="Q"/>
    <s v=""/>
    <s v=""/>
    <x v="5"/>
    <n v="0.01"/>
    <s v="First Utah Bank"/>
    <s v="Car Washes"/>
  </r>
  <r>
    <n v="309778.11"/>
    <n v="3279357005"/>
    <s v="Actual"/>
    <s v="Long Maturity"/>
    <n v="402"/>
    <x v="349"/>
    <n v="143491.97"/>
    <x v="4"/>
    <d v="2018-12-31T00:00:00"/>
    <n v="23.243835616438353"/>
    <d v="2044-01-15T00:00:00"/>
    <n v="301"/>
    <n v="277"/>
    <d v="2021-01-05T00:00:00"/>
    <s v="Fortune Hospitality LLC dba Days Inn &amp; Suites"/>
    <s v="Mobile, AL 36619"/>
    <n v="36619"/>
    <x v="35"/>
    <x v="19"/>
    <s v="Q"/>
    <s v=""/>
    <s v=""/>
    <x v="5"/>
    <n v="0.03"/>
    <s v="Embassy National Bank"/>
    <s v="Hotels (except Casino Hotels) and Motels"/>
  </r>
  <r>
    <n v="309807.11"/>
    <n v="3474997004"/>
    <s v="Actual"/>
    <s v="Long Maturity"/>
    <n v="402"/>
    <x v="350"/>
    <n v="282458.84000000003"/>
    <x v="2"/>
    <d v="2019-04-23T00:00:00"/>
    <n v="19.463013698630135"/>
    <d v="2044-05-15T00:00:00"/>
    <n v="301"/>
    <n v="281"/>
    <d v="2020-12-05T00:00:00"/>
    <s v="Golden Leaf Tribute Center"/>
    <s v="Cincinnati, OH 45237"/>
    <n v="45237"/>
    <x v="9"/>
    <x v="2"/>
    <s v="Q"/>
    <s v=""/>
    <s v=""/>
    <x v="1"/>
    <n v="0.03"/>
    <s v="The Huntington National Bank"/>
    <s v="Drinking Places (Alcoholic Beverages)"/>
  </r>
  <r>
    <n v="309912.11"/>
    <n v="4070667008"/>
    <s v="Actual"/>
    <s v="Long Maturity"/>
    <n v="402"/>
    <x v="351"/>
    <n v="249414.06"/>
    <x v="13"/>
    <d v="2019-11-07T00:00:00"/>
    <n v="13.019178082191781"/>
    <d v="2044-12-15T00:00:00"/>
    <n v="301"/>
    <n v="288"/>
    <d v="2021-01-05T00:00:00"/>
    <s v="Lucky Market Grocery"/>
    <s v="Everett, WA 98201"/>
    <n v="98201"/>
    <x v="13"/>
    <x v="27"/>
    <s v="Q"/>
    <s v=""/>
    <s v=""/>
    <x v="6"/>
    <n v="0.03"/>
    <s v="Pacific City Bank"/>
    <s v="Convenience Stores"/>
  </r>
  <r>
    <n v="310065.11"/>
    <n v="3845077010"/>
    <s v="Actual"/>
    <s v="Long Maturity"/>
    <n v="402"/>
    <x v="352"/>
    <n v="554592.82999999996"/>
    <x v="23"/>
    <d v="2019-07-30T00:00:00"/>
    <n v="16.233333333333334"/>
    <d v="2044-08-15T00:00:00"/>
    <n v="301"/>
    <n v="284"/>
    <d v="2021-01-05T00:00:00"/>
    <s v="ST Auto SPA "/>
    <s v="Springfield, MO 65810"/>
    <n v="65810"/>
    <x v="28"/>
    <x v="16"/>
    <s v="Q"/>
    <s v=""/>
    <s v=""/>
    <x v="2"/>
    <n v="0.03"/>
    <s v="Guaranty Bank"/>
    <s v="Car Washes"/>
  </r>
  <r>
    <n v="310088.11"/>
    <n v="4041577006"/>
    <s v="Actual"/>
    <s v="Long Maturity"/>
    <n v="402"/>
    <x v="353"/>
    <n v="326662.05"/>
    <x v="26"/>
    <d v="2019-11-12T00:00:00"/>
    <n v="12.854794520547944"/>
    <d v="2044-12-15T00:00:00"/>
    <n v="301"/>
    <n v="288"/>
    <d v="2021-01-05T00:00:00"/>
    <s v="R &amp; R Property Investment, LLC"/>
    <s v="San Bernardino, CA 92408"/>
    <n v="92408"/>
    <x v="10"/>
    <x v="8"/>
    <s v="Q"/>
    <s v=""/>
    <s v=""/>
    <x v="3"/>
    <n v="0.03"/>
    <s v="Meadows Bank"/>
    <s v="General Automotive Repair"/>
  </r>
  <r>
    <n v="310097.11"/>
    <n v="3934697010"/>
    <s v="Actual"/>
    <s v="Long Maturity"/>
    <n v="402"/>
    <x v="354"/>
    <n v="1758629.23"/>
    <x v="19"/>
    <d v="2019-09-27T00:00:00"/>
    <n v="14.367123287671234"/>
    <d v="2044-10-15T00:00:00"/>
    <n v="301"/>
    <n v="286"/>
    <d v="2021-01-05T00:00:00"/>
    <s v="East Stanley LLC"/>
    <s v="Granite Falls, WA 98252"/>
    <n v="98252"/>
    <x v="13"/>
    <x v="110"/>
    <s v="Q"/>
    <s v=""/>
    <s v=""/>
    <x v="4"/>
    <n v="0.03"/>
    <s v="Live Oak Banking Co."/>
    <s v="Pharmacies and Drug Stores"/>
  </r>
  <r>
    <n v="310104.11"/>
    <n v="3690607008"/>
    <s v="Actual"/>
    <s v="Long Maturity"/>
    <n v="402"/>
    <x v="355"/>
    <n v="50746.98"/>
    <x v="16"/>
    <d v="2019-05-08T00:00:00"/>
    <n v="18.969863013698632"/>
    <d v="2034-06-15T00:00:00"/>
    <n v="181"/>
    <n v="162"/>
    <d v="2021-01-05T00:00:00"/>
    <s v="Impact Building Solutions Inc"/>
    <s v="Medina, OH 44256"/>
    <n v="44256"/>
    <x v="9"/>
    <x v="112"/>
    <s v="Q"/>
    <s v=""/>
    <s v=""/>
    <x v="2"/>
    <n v="0.03"/>
    <s v="The Huntington National Bank"/>
    <s v="All Other Specialty Trade Contractors"/>
  </r>
  <r>
    <n v="310107.11"/>
    <n v="3800557008"/>
    <s v="Actual"/>
    <s v="Long Maturity"/>
    <n v="402"/>
    <x v="356"/>
    <n v="1057784.07"/>
    <x v="18"/>
    <d v="2019-12-09T00:00:00"/>
    <n v="11.901369863013699"/>
    <d v="2045-01-15T00:00:00"/>
    <n v="301"/>
    <n v="289"/>
    <d v="2021-01-05T00:00:00"/>
    <s v="Innocent Ubunama, LLC (Midwest Vascular)"/>
    <s v="Holland, OH 43528"/>
    <n v="43528"/>
    <x v="9"/>
    <x v="71"/>
    <s v="Q"/>
    <s v=""/>
    <s v=""/>
    <x v="0"/>
    <n v="0.05"/>
    <s v="The Huntington National Bank"/>
    <s v="Offices of Physicians (except Mental Health Specialists)"/>
  </r>
  <r>
    <n v="310110.11"/>
    <n v="4090487010"/>
    <s v="Actual"/>
    <s v="Long Maturity"/>
    <n v="402"/>
    <x v="357"/>
    <n v="1357854.83"/>
    <x v="11"/>
    <d v="2019-12-04T00:00:00"/>
    <n v="12.065753424657533"/>
    <d v="2045-01-15T00:00:00"/>
    <n v="301"/>
    <n v="289"/>
    <d v="2021-01-05T00:00:00"/>
    <s v="9261 Governors Way LLC"/>
    <s v="Cincinnati, OH 45249"/>
    <n v="45249"/>
    <x v="9"/>
    <x v="125"/>
    <s v="Q"/>
    <s v=""/>
    <s v=""/>
    <x v="3"/>
    <n v="0.03"/>
    <s v="The Huntington National Bank"/>
    <s v="Women's Clothing Stores"/>
  </r>
  <r>
    <n v="310112.11"/>
    <n v="4096907006"/>
    <s v="Actual"/>
    <s v="Long Maturity"/>
    <n v="402"/>
    <x v="358"/>
    <n v="398679.73"/>
    <x v="11"/>
    <d v="2019-12-06T00:00:00"/>
    <n v="12"/>
    <d v="2037-01-15T00:00:00"/>
    <n v="205"/>
    <n v="193"/>
    <d v="2021-01-05T00:00:00"/>
    <s v="NGPP, LLC EPC/Sanuy Enterprises LLC OC"/>
    <s v="Dayton, OH 45409"/>
    <n v="45409"/>
    <x v="9"/>
    <x v="4"/>
    <s v="Q"/>
    <s v=""/>
    <s v=""/>
    <x v="2"/>
    <n v="0.05"/>
    <s v="The Huntington National Bank"/>
    <s v="Gasoline Stations with Convenience Stores"/>
  </r>
  <r>
    <n v="310114.11"/>
    <n v="3911137003"/>
    <s v="Actual"/>
    <s v="Long Maturity"/>
    <n v="402"/>
    <x v="359"/>
    <n v="31910"/>
    <x v="11"/>
    <d v="2019-09-24T00:00:00"/>
    <n v="14.399999999999999"/>
    <d v="2034-11-15T00:00:00"/>
    <n v="182"/>
    <n v="167"/>
    <d v="2021-01-05T00:00:00"/>
    <s v="Metro Appliance Outlet LLC"/>
    <s v="Lincoln Park, MI 48146"/>
    <n v="48146"/>
    <x v="8"/>
    <x v="126"/>
    <s v="Q"/>
    <s v=""/>
    <s v=""/>
    <x v="1"/>
    <n v="0.03"/>
    <s v="The Huntington National Bank"/>
    <s v="Household Appliance Stores"/>
  </r>
  <r>
    <n v="310115.11"/>
    <n v="4124777002"/>
    <s v="Actual"/>
    <s v="Long Maturity"/>
    <n v="402"/>
    <x v="360"/>
    <n v="320182.14"/>
    <x v="23"/>
    <d v="2019-12-02T00:00:00"/>
    <n v="12.131506849315068"/>
    <d v="2037-01-15T00:00:00"/>
    <n v="205"/>
    <n v="193"/>
    <d v="2021-01-05T00:00:00"/>
    <s v="Messiha Investment LLC"/>
    <s v="Pontiac, MI 48342"/>
    <n v="48342"/>
    <x v="8"/>
    <x v="49"/>
    <s v="Q"/>
    <s v=""/>
    <s v=""/>
    <x v="0"/>
    <n v="0.03"/>
    <s v="The Huntington National Bank"/>
    <s v="Beer, Wine, and Liquor Stores"/>
  </r>
  <r>
    <n v="310120.11"/>
    <n v="3915347004"/>
    <s v="Actual"/>
    <s v="Long Maturity"/>
    <n v="402"/>
    <x v="361"/>
    <n v="492170.27"/>
    <x v="4"/>
    <d v="2019-09-16T00:00:00"/>
    <n v="14.728767123287671"/>
    <d v="2044-10-15T00:00:00"/>
    <n v="301"/>
    <n v="286"/>
    <d v="2021-01-05T00:00:00"/>
    <s v="Marsh Dog Kennels"/>
    <s v="Giddings, TX 78942"/>
    <n v="78942"/>
    <x v="0"/>
    <x v="24"/>
    <s v="Q"/>
    <s v=""/>
    <s v=""/>
    <x v="5"/>
    <n v="0.03"/>
    <s v="Texas Advantage Community Bank"/>
    <s v="Pet Care (except Veterinary) Services"/>
  </r>
  <r>
    <n v="310130.11"/>
    <n v="4080017005"/>
    <s v="Actual"/>
    <s v="Long Maturity"/>
    <n v="402"/>
    <x v="362"/>
    <n v="273929.65000000002"/>
    <x v="46"/>
    <d v="2019-11-25T00:00:00"/>
    <n v="12.361643835616437"/>
    <d v="2044-12-15T00:00:00"/>
    <n v="301"/>
    <n v="288"/>
    <d v="2021-01-05T00:00:00"/>
    <s v="Sunny Side Up Cafe, LLC"/>
    <s v="New Berlin, WI 53151"/>
    <n v="53151"/>
    <x v="14"/>
    <x v="3"/>
    <s v="Q"/>
    <s v=""/>
    <s v=""/>
    <x v="1"/>
    <n v="0.03"/>
    <s v="First Savings Bank"/>
    <s v="Full-Service Restaurants"/>
  </r>
  <r>
    <n v="310206.11"/>
    <n v="3969917004"/>
    <s v="Actual"/>
    <s v="Long Maturity"/>
    <n v="402"/>
    <x v="363"/>
    <n v="629811.25"/>
    <x v="2"/>
    <d v="2019-09-13T00:00:00"/>
    <n v="14.761643835616438"/>
    <d v="2044-10-15T00:00:00"/>
    <n v="301"/>
    <n v="286"/>
    <d v="2021-01-05T00:00:00"/>
    <s v="1130 Milepost LLC"/>
    <s v="Columbus, OH 43228"/>
    <n v="43228"/>
    <x v="9"/>
    <x v="60"/>
    <s v="Q"/>
    <s v=""/>
    <s v=""/>
    <x v="1"/>
    <n v="0.03"/>
    <s v="The Huntington National Bank"/>
    <s v="General Freight Trucking, Local"/>
  </r>
  <r>
    <n v="310207.11"/>
    <n v="4076447002"/>
    <s v="Actual"/>
    <s v="Long Maturity"/>
    <n v="402"/>
    <x v="364"/>
    <n v="137989.51"/>
    <x v="46"/>
    <d v="2019-11-08T00:00:00"/>
    <n v="12.920547945205477"/>
    <d v="2044-12-15T00:00:00"/>
    <n v="301"/>
    <n v="288"/>
    <d v="2021-01-05T00:00:00"/>
    <s v="Chicks &amp; Mortar LLC"/>
    <s v="Waterville, OH 43566"/>
    <n v="43566"/>
    <x v="9"/>
    <x v="58"/>
    <s v="Q"/>
    <s v=""/>
    <s v=""/>
    <x v="1"/>
    <n v="0.03"/>
    <s v="The Huntington National Bank"/>
    <s v="Offices of Certified Public Accountants"/>
  </r>
  <r>
    <n v="310212.11"/>
    <n v="4143647004"/>
    <s v="Actual"/>
    <s v="Long Maturity"/>
    <n v="402"/>
    <x v="365"/>
    <n v="341436.68"/>
    <x v="18"/>
    <d v="2019-12-13T00:00:00"/>
    <n v="11.769863013698629"/>
    <d v="2035-01-15T00:00:00"/>
    <n v="181"/>
    <n v="169"/>
    <d v="2021-01-05T00:00:00"/>
    <s v="Sean Devon Holdings LLC"/>
    <s v="East Lake, OH 44095"/>
    <n v="44095"/>
    <x v="9"/>
    <x v="62"/>
    <s v="Q"/>
    <s v=""/>
    <s v=""/>
    <x v="0"/>
    <n v="0.05"/>
    <s v="The Huntington National Bank"/>
    <s v="Plumbing, Heating, and Air-Conditioning Contractors"/>
  </r>
  <r>
    <n v="310274.11"/>
    <n v="3925277000"/>
    <s v="Actual"/>
    <s v="Long Maturity"/>
    <n v="402"/>
    <x v="366"/>
    <n v="221513.57"/>
    <x v="2"/>
    <d v="2019-08-29T00:00:00"/>
    <n v="15.32054794520548"/>
    <d v="2044-09-15T00:00:00"/>
    <n v="301"/>
    <n v="285"/>
    <d v="2020-12-07T00:00:00"/>
    <s v="Imani Works, LLC"/>
    <s v="New Orleans, LA 70126"/>
    <n v="70126"/>
    <x v="20"/>
    <x v="0"/>
    <s v="Q"/>
    <s v=""/>
    <s v=""/>
    <x v="1"/>
    <n v="0.03"/>
    <s v="United Community Bank"/>
    <s v="Child Day Care Services"/>
  </r>
  <r>
    <n v="310469.11"/>
    <n v="4108997009"/>
    <s v="Actual"/>
    <s v="Long Maturity"/>
    <n v="402"/>
    <x v="367"/>
    <n v="1684273.43"/>
    <x v="4"/>
    <d v="2019-12-23T00:00:00"/>
    <n v="12.230136986301371"/>
    <d v="2045-01-15T00:00:00"/>
    <n v="301"/>
    <n v="289"/>
    <d v="2021-01-04T00:00:00"/>
    <s v="Signature Hospitality, LLC"/>
    <s v="Belleville, MI  48111"/>
    <n v="48111"/>
    <x v="8"/>
    <x v="19"/>
    <s v="Q"/>
    <s v=""/>
    <s v=""/>
    <x v="2"/>
    <n v="0.03"/>
    <s v="Home Loan Investment Bank, FSB"/>
    <s v="Hotels (except Casino Hotels) and Motels"/>
  </r>
  <r>
    <n v="310489.11"/>
    <n v="2918987009"/>
    <s v="Actual"/>
    <s v="Long Maturity"/>
    <n v="402"/>
    <x v="368"/>
    <n v="570465.87"/>
    <x v="11"/>
    <d v="2020-01-06T00:00:00"/>
    <n v="10.915068493150685"/>
    <d v="2045-02-15T00:00:00"/>
    <n v="301"/>
    <n v="290"/>
    <d v="2021-01-14T00:00:00"/>
    <s v="Leah's CLC LLC"/>
    <s v="Cleveland, OH 44109"/>
    <n v="44109"/>
    <x v="9"/>
    <x v="0"/>
    <s v="Q"/>
    <s v=""/>
    <s v=""/>
    <x v="0"/>
    <n v="0.05"/>
    <s v="KeyBank - East"/>
    <s v="Child Day Care Services"/>
  </r>
  <r>
    <n v="310509.11"/>
    <n v="2564377005"/>
    <s v="Actual"/>
    <s v="Long Maturity"/>
    <n v="402"/>
    <x v="369"/>
    <n v="124571.84"/>
    <x v="4"/>
    <d v="2018-12-05T00:00:00"/>
    <n v="23.9"/>
    <d v="2039-01-15T00:00:00"/>
    <n v="241"/>
    <n v="217"/>
    <d v="2021-01-04T00:00:00"/>
    <s v="Marmol Holdings LLC and The Catfe Co."/>
    <s v="Lawrenceville, GA 30044"/>
    <n v="30044"/>
    <x v="2"/>
    <x v="84"/>
    <s v="Q"/>
    <s v=""/>
    <s v=""/>
    <x v="2"/>
    <n v="0.03"/>
    <s v="Renasant Bank"/>
    <s v="Snack and Nonalcoholic Beverage Bars"/>
  </r>
  <r>
    <n v="310516.11"/>
    <n v="3757207001"/>
    <s v="Actual"/>
    <s v="Long Maturity"/>
    <n v="402"/>
    <x v="370"/>
    <n v="332018.56"/>
    <x v="50"/>
    <d v="2019-07-30T00:00:00"/>
    <n v="16.306849315068494"/>
    <d v="2044-08-15T00:00:00"/>
    <n v="301"/>
    <n v="284"/>
    <d v="2021-01-05T00:00:00"/>
    <s v="Metropolitan Medical Transportation"/>
    <s v="Barnegat, NJ 08005"/>
    <n v="8005"/>
    <x v="17"/>
    <x v="127"/>
    <s v="Q"/>
    <s v=""/>
    <s v=""/>
    <x v="2"/>
    <n v="0.03"/>
    <s v="FinWise Bank aka Utah Community Bank"/>
    <s v="Ambulance Services"/>
  </r>
  <r>
    <n v="310551.11"/>
    <n v="4145667003"/>
    <s v="Actual"/>
    <s v="Long Maturity"/>
    <n v="402"/>
    <x v="371"/>
    <n v="3314039"/>
    <x v="13"/>
    <d v="2020-01-23T00:00:00"/>
    <n v="10.421917808219177"/>
    <d v="2045-02-15T00:00:00"/>
    <n v="301"/>
    <n v="290"/>
    <d v="2021-01-05T00:00:00"/>
    <s v="Just Believe Recovery Center LLC"/>
    <s v="Port Saint Lucie, FL 34983"/>
    <n v="34983"/>
    <x v="1"/>
    <x v="128"/>
    <s v="Q"/>
    <s v=""/>
    <s v=""/>
    <x v="3"/>
    <n v="0.05"/>
    <s v="Texas Capital Bank"/>
    <s v="Outpatient Mental Health and Substance Abuse Centers"/>
  </r>
  <r>
    <n v="310661.11"/>
    <n v="4205317006"/>
    <s v="Actual"/>
    <s v="Long Maturity"/>
    <n v="402"/>
    <x v="372"/>
    <n v="454699.73"/>
    <x v="23"/>
    <d v="2020-01-30T00:00:00"/>
    <n v="10.257534246575343"/>
    <d v="2045-02-15T00:00:00"/>
    <n v="301"/>
    <n v="290"/>
    <d v="2021-01-05T00:00:00"/>
    <s v="Pearl Care Home LLC"/>
    <s v="Henderson,NV 89052"/>
    <n v="89052"/>
    <x v="40"/>
    <x v="15"/>
    <s v="Q"/>
    <s v=""/>
    <s v=""/>
    <x v="1"/>
    <n v="0.05"/>
    <s v="Evolve Bank &amp; Trust"/>
    <s v="Assisted Living Facilities for the Elderly"/>
  </r>
  <r>
    <n v="310667.11"/>
    <n v="3889917004"/>
    <s v="Actual"/>
    <s v="Long Maturity"/>
    <n v="402"/>
    <x v="373"/>
    <n v="2399183.52"/>
    <x v="18"/>
    <d v="2019-08-12T00:00:00"/>
    <n v="16.010958904109589"/>
    <d v="2044-09-15T00:00:00"/>
    <n v="301"/>
    <n v="285"/>
    <d v="2021-01-05T00:00:00"/>
    <s v="Responsible Liquor Inc."/>
    <s v="Brooklyn,NY 11225"/>
    <n v="11225"/>
    <x v="15"/>
    <x v="49"/>
    <s v="Q"/>
    <s v=""/>
    <s v=""/>
    <x v="2"/>
    <n v="0.03"/>
    <s v="FinWise Bank aka Utah Community Bank"/>
    <s v="Beer, Wine, and Liquor Stores"/>
  </r>
  <r>
    <n v="310676.11"/>
    <n v="4077517001"/>
    <s v="Actual"/>
    <s v="Long Maturity"/>
    <n v="402"/>
    <x v="374"/>
    <n v="2497974.96"/>
    <x v="19"/>
    <d v="2019-12-19T00:00:00"/>
    <n v="11.638356164383563"/>
    <d v="2045-01-15T00:00:00"/>
    <n v="301"/>
    <n v="289"/>
    <d v="2021-01-05T00:00:00"/>
    <s v="Star Care Network Inc"/>
    <s v="Goose Creek, SC 29445"/>
    <n v="29445"/>
    <x v="22"/>
    <x v="15"/>
    <s v="Q"/>
    <s v=""/>
    <s v=""/>
    <x v="5"/>
    <n v="0.05"/>
    <s v="Live Oak Banking Co."/>
    <s v="Assisted Living Facilities for the Elderly"/>
  </r>
  <r>
    <n v="310695.11"/>
    <n v="4209407006"/>
    <s v="Actual"/>
    <s v="Long Maturity"/>
    <n v="402"/>
    <x v="375"/>
    <n v="343401.76"/>
    <x v="11"/>
    <d v="2020-01-31T00:00:00"/>
    <n v="10.158904109589042"/>
    <d v="2045-02-15T00:00:00"/>
    <n v="301"/>
    <n v="290"/>
    <d v="2021-01-05T00:00:00"/>
    <s v="Cranberry Mini Mart"/>
    <s v="Cranberry Township, PA 16066"/>
    <n v="16066"/>
    <x v="11"/>
    <x v="27"/>
    <s v="Q"/>
    <s v=""/>
    <s v=""/>
    <x v="1"/>
    <n v="0.05"/>
    <s v="The Huntington National Bank"/>
    <s v="Convenience Stores"/>
  </r>
  <r>
    <n v="310696.11"/>
    <n v="4218657002"/>
    <s v="Actual"/>
    <s v="Long Maturity"/>
    <n v="402"/>
    <x v="376"/>
    <n v="276401.91999999998"/>
    <x v="11"/>
    <d v="2020-02-03T00:00:00"/>
    <n v="10.06027397260274"/>
    <d v="2045-03-15T00:00:00"/>
    <n v="301"/>
    <n v="291"/>
    <d v="2021-01-05T00:00:00"/>
    <s v="Ecksto Holdings Ltd. "/>
    <s v="Canton, OH 44709"/>
    <n v="44709"/>
    <x v="9"/>
    <x v="129"/>
    <s v="Q"/>
    <s v=""/>
    <s v=""/>
    <x v="1"/>
    <n v="0.05"/>
    <s v="The Huntington National Bank"/>
    <s v="Other Miscellaneous Durable Goods Merchant Wholesalers"/>
  </r>
  <r>
    <n v="310721.11"/>
    <n v="2647307001"/>
    <s v="Actual"/>
    <s v="Long Maturity"/>
    <n v="402"/>
    <x v="377"/>
    <n v="1026156.38"/>
    <x v="14"/>
    <d v="2019-11-19T00:00:00"/>
    <n v="12.55890410958904"/>
    <d v="2044-12-15T00:00:00"/>
    <n v="301"/>
    <n v="288"/>
    <d v="2021-01-05T00:00:00"/>
    <s v="VA Holdings, LLC"/>
    <s v="Geneva, OH 44041"/>
    <n v="44041"/>
    <x v="9"/>
    <x v="3"/>
    <s v="Q"/>
    <s v=""/>
    <s v=""/>
    <x v="0"/>
    <n v="0.03"/>
    <s v="The Huntington National Bank"/>
    <s v="Full-Service Restaurants"/>
  </r>
  <r>
    <n v="310725.11"/>
    <n v="4070987010"/>
    <s v="Actual"/>
    <s v="Long Maturity"/>
    <n v="402"/>
    <x v="378"/>
    <n v="255515.78"/>
    <x v="3"/>
    <d v="2019-11-13T00:00:00"/>
    <n v="12.756164383561645"/>
    <d v="2044-12-15T00:00:00"/>
    <n v="301"/>
    <n v="288"/>
    <d v="2021-01-05T00:00:00"/>
    <s v="Starkey Estates LLC/Starkey Chiropractic &amp; Wellness LLC"/>
    <s v="Wadsworth, OH 44281"/>
    <n v="44281"/>
    <x v="9"/>
    <x v="35"/>
    <s v="Q"/>
    <s v=""/>
    <s v=""/>
    <x v="1"/>
    <n v="0.03"/>
    <s v="The Huntington National Bank"/>
    <s v="Offices of Chiropractors"/>
  </r>
  <r>
    <n v="310727.11"/>
    <n v="4074377001"/>
    <s v="Actual"/>
    <s v="Long Maturity"/>
    <n v="402"/>
    <x v="379"/>
    <n v="788453.82"/>
    <x v="5"/>
    <d v="2019-11-06T00:00:00"/>
    <n v="13.052054794520549"/>
    <d v="2044-12-15T00:00:00"/>
    <n v="301"/>
    <n v="288"/>
    <d v="2021-01-05T00:00:00"/>
    <s v="Keith Ealy"/>
    <s v="Orange, CA 92867"/>
    <n v="92867"/>
    <x v="10"/>
    <x v="112"/>
    <s v="Q"/>
    <s v=""/>
    <s v=""/>
    <x v="3"/>
    <n v="0.03"/>
    <s v="CalPrivate Bank"/>
    <s v="All Other Specialty Trade Contractors"/>
  </r>
  <r>
    <n v="310729.11"/>
    <n v="4082177000"/>
    <s v="Actual"/>
    <s v="Long Maturity"/>
    <n v="402"/>
    <x v="380"/>
    <n v="458722.31"/>
    <x v="14"/>
    <d v="2019-11-08T00:00:00"/>
    <n v="12.920547945205477"/>
    <d v="2044-12-15T00:00:00"/>
    <n v="301"/>
    <n v="288"/>
    <d v="2021-01-05T00:00:00"/>
    <s v="US Screen Co."/>
    <s v="Wellington, OH 44090"/>
    <n v="44090"/>
    <x v="9"/>
    <x v="130"/>
    <s v="Q"/>
    <s v=""/>
    <s v=""/>
    <x v="0"/>
    <n v="0.03"/>
    <s v="The Huntington National Bank"/>
    <s v="All Other Miscellaneous Fabricated Metal Product Manufacturing"/>
  </r>
  <r>
    <n v="310733.11"/>
    <n v="4061877010"/>
    <s v="Actual"/>
    <s v="Long Maturity"/>
    <n v="402"/>
    <x v="381"/>
    <n v="528678.49"/>
    <x v="3"/>
    <d v="2019-10-29T00:00:00"/>
    <n v="13.315068493150685"/>
    <d v="2044-12-15T00:00:00"/>
    <n v="302"/>
    <n v="288"/>
    <d v="2021-01-05T00:00:00"/>
    <s v="Aesthetic Collective LLC"/>
    <s v="Scottsdale, AZ 85254"/>
    <n v="85254"/>
    <x v="5"/>
    <x v="78"/>
    <s v="Q"/>
    <s v=""/>
    <s v=""/>
    <x v="1"/>
    <n v="0.03"/>
    <s v="Harvest Small Business Finance, LLC"/>
    <s v="Other Personal Care Services"/>
  </r>
  <r>
    <n v="310735.11"/>
    <n v="4033877002"/>
    <s v="Actual"/>
    <s v="Long Maturity"/>
    <n v="402"/>
    <x v="382"/>
    <n v="617962.02"/>
    <x v="3"/>
    <d v="2019-10-29T00:00:00"/>
    <n v="13.315068493150685"/>
    <d v="2044-11-15T00:00:00"/>
    <n v="301"/>
    <n v="287"/>
    <d v="2021-01-05T00:00:00"/>
    <s v="Lavender Equities, Inc."/>
    <s v="Jonesboro, GA 30238"/>
    <n v="30238"/>
    <x v="2"/>
    <x v="0"/>
    <s v="Q"/>
    <s v=""/>
    <s v=""/>
    <x v="1"/>
    <n v="0.03"/>
    <s v="Harvest Small Business Finance, LLC"/>
    <s v="Child Day Care Services"/>
  </r>
  <r>
    <n v="310738.11"/>
    <n v="4066677008"/>
    <s v="Actual"/>
    <s v="Long Maturity"/>
    <n v="402"/>
    <x v="383"/>
    <n v="214176.63"/>
    <x v="3"/>
    <d v="2019-10-31T00:00:00"/>
    <n v="13.183561643835617"/>
    <d v="2044-11-15T00:00:00"/>
    <n v="301"/>
    <n v="287"/>
    <d v="2021-01-05T00:00:00"/>
    <s v="Stephensons LLC"/>
    <s v="Bentleyville, PA 15314"/>
    <n v="15314"/>
    <x v="11"/>
    <x v="131"/>
    <s v="Q"/>
    <s v=""/>
    <s v=""/>
    <x v="1"/>
    <n v="0.03"/>
    <s v="The Huntington National Bank"/>
    <s v="Public Relations Agencies"/>
  </r>
  <r>
    <n v="310744.11"/>
    <n v="4042847006"/>
    <s v="Actual"/>
    <s v="Long Maturity"/>
    <n v="402"/>
    <x v="384"/>
    <n v="343851.75"/>
    <x v="3"/>
    <d v="2019-10-23T00:00:00"/>
    <n v="13.512328767123286"/>
    <d v="2044-11-15T00:00:00"/>
    <n v="301"/>
    <n v="287"/>
    <d v="2021-01-05T00:00:00"/>
    <s v="JWM Companies Inc"/>
    <s v="Riverside, CA 92504"/>
    <n v="92504"/>
    <x v="10"/>
    <x v="132"/>
    <s v="Q"/>
    <s v=""/>
    <s v=""/>
    <x v="1"/>
    <n v="0.03"/>
    <s v="CalPrivate Bank"/>
    <s v="Landscape Architectural Services"/>
  </r>
  <r>
    <n v="310751.11"/>
    <n v="4013227009"/>
    <s v="Actual"/>
    <s v="Long Maturity"/>
    <n v="402"/>
    <x v="385"/>
    <n v="331141.56"/>
    <x v="3"/>
    <d v="2019-10-17T00:00:00"/>
    <n v="13.709589041095892"/>
    <d v="2044-11-15T00:00:00"/>
    <n v="301"/>
    <n v="287"/>
    <d v="2021-01-05T00:00:00"/>
    <s v="Tarasco Inc."/>
    <s v="Rogue River, OR 97537"/>
    <n v="97537"/>
    <x v="21"/>
    <x v="3"/>
    <s v="Q"/>
    <s v=""/>
    <s v=""/>
    <x v="1"/>
    <n v="0.03"/>
    <s v="Evolve Bank &amp; Trust"/>
    <s v="Full-Service Restaurants"/>
  </r>
  <r>
    <n v="310763.11"/>
    <n v="3997307006"/>
    <s v="Actual"/>
    <s v="Long Maturity"/>
    <n v="402"/>
    <x v="386"/>
    <n v="186475.39"/>
    <x v="3"/>
    <d v="2019-10-02T00:00:00"/>
    <n v="14.136986301369863"/>
    <d v="2044-11-15T00:00:00"/>
    <n v="301"/>
    <n v="287"/>
    <d v="2021-01-05T00:00:00"/>
    <s v="ET Two LLC"/>
    <s v="West Bloomfield, MI 48322"/>
    <n v="48322"/>
    <x v="8"/>
    <x v="85"/>
    <s v="Q"/>
    <s v=""/>
    <s v=""/>
    <x v="1"/>
    <n v="0.03"/>
    <s v="The Huntington National Bank"/>
    <s v="Nursing Care Facilities (Skilled Nursing Facilities)"/>
  </r>
  <r>
    <n v="310766.11"/>
    <n v="3988317007"/>
    <s v="Actual"/>
    <s v="Long Maturity"/>
    <n v="402"/>
    <x v="387"/>
    <n v="1220060.78"/>
    <x v="25"/>
    <d v="2019-10-01T00:00:00"/>
    <n v="14.169863013698629"/>
    <d v="2044-11-15T00:00:00"/>
    <n v="301"/>
    <n v="287"/>
    <d v="2021-01-05T00:00:00"/>
    <s v="ARRT Services LLC dba Stonebridge Cleaners"/>
    <s v="Mckinney, TX 75071"/>
    <n v="75071"/>
    <x v="0"/>
    <x v="81"/>
    <s v="Q"/>
    <s v=""/>
    <s v=""/>
    <x v="5"/>
    <n v="0.03"/>
    <s v="Texas Capital Bank"/>
    <s v="Drycleaning and Laundry Services (except Coin-Operated)"/>
  </r>
  <r>
    <n v="310767.11"/>
    <n v="3995667005"/>
    <s v="Actual"/>
    <s v="Long Maturity"/>
    <n v="402"/>
    <x v="388"/>
    <n v="367284.6"/>
    <x v="3"/>
    <d v="2019-10-01T00:00:00"/>
    <n v="14.235616438356164"/>
    <d v="2044-11-15T00:00:00"/>
    <n v="301"/>
    <n v="287"/>
    <d v="2021-01-05T00:00:00"/>
    <s v="LA Pine DQ Grill and Chill/All the Queen's Men"/>
    <s v="La Pine, OR 97739"/>
    <n v="97739"/>
    <x v="21"/>
    <x v="22"/>
    <s v="Q"/>
    <s v=""/>
    <s v=""/>
    <x v="1"/>
    <n v="0.03"/>
    <s v="Evolve Bank &amp; Trust"/>
    <s v="Limited-Service Restaurants"/>
  </r>
  <r>
    <n v="310775.11"/>
    <n v="3957537000"/>
    <s v="Actual"/>
    <s v="Long Maturity"/>
    <n v="402"/>
    <x v="389"/>
    <n v="330803.36"/>
    <x v="3"/>
    <d v="2019-09-26T00:00:00"/>
    <n v="14.334246575342465"/>
    <d v="2044-10-15T00:00:00"/>
    <n v="301"/>
    <n v="286"/>
    <d v="2021-01-05T00:00:00"/>
    <s v="Shinnston Memorial Cemetery and Mausoleum Inc."/>
    <s v="Shinnston, WV 26431"/>
    <n v="26431"/>
    <x v="37"/>
    <x v="114"/>
    <s v="Q"/>
    <s v=""/>
    <s v=""/>
    <x v="1"/>
    <n v="0.03"/>
    <s v="The Huntington National Bank"/>
    <s v="Cemeteries and Crematories"/>
  </r>
  <r>
    <n v="310778.11"/>
    <n v="3988117006"/>
    <s v="Actual"/>
    <s v="Long Maturity"/>
    <n v="402"/>
    <x v="390"/>
    <n v="247624.64"/>
    <x v="55"/>
    <d v="2019-09-23T00:00:00"/>
    <n v="14.432876712328767"/>
    <d v="2044-10-15T00:00:00"/>
    <n v="301"/>
    <n v="286"/>
    <d v="2021-01-05T00:00:00"/>
    <s v="Bright Pines Links LLC"/>
    <s v="Whitehall, MI 49461"/>
    <n v="49461"/>
    <x v="8"/>
    <x v="22"/>
    <s v="Q"/>
    <s v=""/>
    <s v=""/>
    <x v="1"/>
    <n v="0.03"/>
    <s v="The Huntington National Bank"/>
    <s v="Limited-Service Restaurants"/>
  </r>
  <r>
    <n v="310779.11"/>
    <n v="3975077008"/>
    <s v="Actual"/>
    <s v="Long Maturity"/>
    <n v="402"/>
    <x v="391"/>
    <n v="489221.37"/>
    <x v="3"/>
    <d v="2019-09-20T00:00:00"/>
    <n v="14.531506849315068"/>
    <d v="2044-10-15T00:00:00"/>
    <n v="301"/>
    <n v="286"/>
    <d v="2021-01-05T00:00:00"/>
    <s v="Maple Glen Real Estate LLC"/>
    <s v="East Amherst, NY 14051"/>
    <n v="14051"/>
    <x v="15"/>
    <x v="6"/>
    <s v="Q"/>
    <s v=""/>
    <s v=""/>
    <x v="1"/>
    <n v="0.03"/>
    <s v="The Huntington National Bank"/>
    <s v="Offices of Dentists"/>
  </r>
  <r>
    <n v="310786.11"/>
    <n v="3687007004"/>
    <s v="Actual"/>
    <s v="Long Maturity"/>
    <n v="402"/>
    <x v="392"/>
    <n v="434137.72"/>
    <x v="14"/>
    <d v="2019-05-01T00:00:00"/>
    <n v="19.200000000000003"/>
    <d v="2044-06-15T00:00:00"/>
    <n v="301"/>
    <n v="282"/>
    <d v="2021-01-05T00:00:00"/>
    <s v="83 &amp; Chestnut Pub and Eatery LLC"/>
    <s v="North Ridgeville, OH 44039"/>
    <n v="44039"/>
    <x v="9"/>
    <x v="3"/>
    <s v="Q"/>
    <s v=""/>
    <s v=""/>
    <x v="0"/>
    <n v="0.03"/>
    <s v="The Huntington National Bank"/>
    <s v="Full-Service Restaurants"/>
  </r>
  <r>
    <n v="310792.11"/>
    <n v="3998657008"/>
    <s v="Actual"/>
    <s v="Long Maturity"/>
    <n v="402"/>
    <x v="393"/>
    <n v="662588.11"/>
    <x v="3"/>
    <d v="2019-09-26T00:00:00"/>
    <n v="14.334246575342465"/>
    <d v="2035-10-15T00:00:00"/>
    <n v="193"/>
    <n v="178"/>
    <d v="2021-01-05T00:00:00"/>
    <s v="Launchpad Holdings LLC"/>
    <s v="Evans City, PA 16033"/>
    <n v="16033"/>
    <x v="11"/>
    <x v="133"/>
    <s v="Q"/>
    <s v=""/>
    <s v=""/>
    <x v="1"/>
    <n v="0.03"/>
    <s v="The Huntington National Bank"/>
    <s v="Electroplating, Plating, Polishing, Anodizing, and Coloring"/>
  </r>
  <r>
    <n v="310825.11"/>
    <n v="3989317009"/>
    <s v="Actual"/>
    <s v="Long Maturity"/>
    <n v="402"/>
    <x v="394"/>
    <n v="511567.98"/>
    <x v="19"/>
    <d v="2019-09-30T00:00:00"/>
    <n v="14.268493150684932"/>
    <d v="2044-10-15T00:00:00"/>
    <n v="301"/>
    <n v="286"/>
    <d v="2021-01-05T00:00:00"/>
    <s v="Nelson Holdings, LLC"/>
    <s v="Casco, ME 04015"/>
    <n v="4015"/>
    <x v="41"/>
    <x v="76"/>
    <s v="Q"/>
    <s v=""/>
    <s v=""/>
    <x v="7"/>
    <n v="0.03"/>
    <s v="Live Oak Banking Co."/>
    <s v="Funeral Homes and Funeral Services"/>
  </r>
  <r>
    <n v="310851.11"/>
    <n v="4218417000"/>
    <s v="Actual"/>
    <s v="Long Maturity"/>
    <n v="402"/>
    <x v="395"/>
    <n v="169721.17"/>
    <x v="11"/>
    <d v="2020-02-18T00:00:00"/>
    <n v="9.632876712328768"/>
    <d v="2045-03-15T00:00:00"/>
    <n v="301"/>
    <n v="291"/>
    <d v="2021-01-05T00:00:00"/>
    <s v="Anointed Touch Hair Salon, LLC"/>
    <s v="Ellenwood, GA 30294"/>
    <n v="30294"/>
    <x v="2"/>
    <x v="44"/>
    <s v="Q"/>
    <s v=""/>
    <s v=""/>
    <x v="1"/>
    <n v="0.05"/>
    <s v="Harvest Small Business Finance, LLC"/>
    <s v="Beauty Salons"/>
  </r>
  <r>
    <n v="310947.11"/>
    <n v="2909917008"/>
    <s v="Actual"/>
    <s v="Long Maturity"/>
    <n v="402"/>
    <x v="396"/>
    <n v="3127247.18"/>
    <x v="19"/>
    <d v="2018-12-27T00:00:00"/>
    <n v="23.375342465753427"/>
    <d v="2044-11-15T00:00:00"/>
    <n v="311"/>
    <n v="287"/>
    <d v="2021-01-05T00:00:00"/>
    <s v="Lunar Land LLC"/>
    <s v="Wilmington, NC 28401"/>
    <n v="28401"/>
    <x v="6"/>
    <x v="0"/>
    <s v="Q"/>
    <s v=""/>
    <s v=""/>
    <x v="7"/>
    <n v="0.03"/>
    <s v="First Bank"/>
    <s v="Child Day Care Services"/>
  </r>
  <r>
    <n v="310948.11"/>
    <n v="2930917002"/>
    <s v="Actual"/>
    <s v="Long Maturity"/>
    <n v="402"/>
    <x v="397"/>
    <n v="1664161.21"/>
    <x v="23"/>
    <d v="2018-09-19T00:00:00"/>
    <n v="25.578082191780823"/>
    <d v="2044-06-15T00:00:00"/>
    <n v="309"/>
    <n v="282"/>
    <d v="2020-11-05T00:00:00"/>
    <s v="Naia Inc"/>
    <s v="Hercules, CA 94547"/>
    <n v="94547"/>
    <x v="10"/>
    <x v="134"/>
    <s v="Q"/>
    <s v=""/>
    <s v=""/>
    <x v="2"/>
    <n v="0.01"/>
    <s v="First Bank"/>
    <s v="Ice Cream and Frozen Dessert Manufacturing"/>
  </r>
  <r>
    <n v="310949.11"/>
    <n v="2951217003"/>
    <s v="Actual"/>
    <s v="Long Maturity"/>
    <n v="402"/>
    <x v="398"/>
    <n v="2218069.96"/>
    <x v="18"/>
    <d v="2018-10-24T00:00:00"/>
    <n v="25.479452054794521"/>
    <d v="2044-11-15T00:00:00"/>
    <n v="313"/>
    <n v="287"/>
    <d v="2021-01-05T00:00:00"/>
    <s v="JHF Investments, LLC"/>
    <s v="Lakeville, MN 55044"/>
    <n v="55044"/>
    <x v="24"/>
    <x v="15"/>
    <s v="Q"/>
    <s v=""/>
    <s v=""/>
    <x v="4"/>
    <n v="0.01"/>
    <s v="First Bank"/>
    <s v="Assisted Living Facilities for the Elderly"/>
  </r>
  <r>
    <n v="311059.11"/>
    <n v="4166147010"/>
    <s v="Actual"/>
    <s v="Long Maturity"/>
    <n v="402"/>
    <x v="399"/>
    <n v="3678167.75"/>
    <x v="19"/>
    <d v="2020-01-02T00:00:00"/>
    <n v="11.17808219178082"/>
    <d v="2045-02-15T00:00:00"/>
    <n v="301"/>
    <n v="290"/>
    <d v="2021-01-05T00:00:00"/>
    <s v="Little Walker Holdings LLC"/>
    <s v="Brooklyn, NY 11219"/>
    <n v="11219"/>
    <x v="15"/>
    <x v="15"/>
    <s v="Q"/>
    <s v=""/>
    <s v=""/>
    <x v="5"/>
    <n v="0.05"/>
    <s v="Live Oak Banking Co."/>
    <s v="Assisted Living Facilities for the Elderly"/>
  </r>
  <r>
    <n v="311060.11"/>
    <n v="2884417003"/>
    <s v="Actual"/>
    <s v="Long Maturity"/>
    <n v="402"/>
    <x v="400"/>
    <n v="186436.83"/>
    <x v="16"/>
    <d v="2018-09-04T00:00:00"/>
    <n v="27.12328767123288"/>
    <d v="2033-09-15T00:00:00"/>
    <n v="180"/>
    <n v="153"/>
    <d v="2021-01-05T00:00:00"/>
    <s v="Watkins Brothers Funeral Homes Inc."/>
    <s v="Perry, MI 48872"/>
    <n v="48872"/>
    <x v="8"/>
    <x v="76"/>
    <s v="Q"/>
    <s v=""/>
    <s v=""/>
    <x v="2"/>
    <n v="0.01"/>
    <s v="Live Oak Banking Co."/>
    <s v="Funeral Homes and Funeral Services"/>
  </r>
  <r>
    <n v="311087.11"/>
    <n v="4044547003"/>
    <s v="Actual"/>
    <s v="Long Maturity"/>
    <n v="402"/>
    <x v="401"/>
    <n v="254133.18"/>
    <x v="56"/>
    <d v="2019-10-29T00:00:00"/>
    <n v="13.315068493150685"/>
    <d v="2034-03-15T00:00:00"/>
    <n v="173"/>
    <n v="159"/>
    <d v="2021-01-05T00:00:00"/>
    <s v="Hi Wire Brewing"/>
    <s v="Asheville, NC 28801"/>
    <n v="28801"/>
    <x v="6"/>
    <x v="12"/>
    <s v="Q"/>
    <s v=""/>
    <s v=""/>
    <x v="11"/>
    <n v="0"/>
    <s v="Live Oak Banking Co."/>
    <s v="Breweries"/>
  </r>
  <r>
    <n v="311089.11"/>
    <n v="3906367008"/>
    <s v="Actual"/>
    <s v="Long Maturity"/>
    <n v="402"/>
    <x v="402"/>
    <n v="122350.35"/>
    <x v="2"/>
    <d v="2019-08-15T00:00:00"/>
    <n v="15.780821917808218"/>
    <d v="2044-09-15T00:00:00"/>
    <n v="301"/>
    <n v="285"/>
    <d v="2021-01-05T00:00:00"/>
    <s v="Lighthouse Wealth Partners"/>
    <s v="Wilmington, NC 28403"/>
    <n v="28403"/>
    <x v="6"/>
    <x v="135"/>
    <s v="Q"/>
    <s v=""/>
    <s v=""/>
    <x v="1"/>
    <n v="0.03"/>
    <s v="Live Oak Banking Co."/>
    <s v="Investment Advice"/>
  </r>
  <r>
    <n v="311099.11"/>
    <n v="3625667008"/>
    <s v="Actual"/>
    <s v="Long Maturity"/>
    <n v="402"/>
    <x v="403"/>
    <n v="2488680.5299999998"/>
    <x v="57"/>
    <d v="2019-05-08T00:00:00"/>
    <n v="19.035616438356165"/>
    <d v="2033-06-15T00:00:00"/>
    <n v="169"/>
    <n v="150"/>
    <d v="2021-01-05T00:00:00"/>
    <s v="Rock Hill Pharmacy"/>
    <s v="Rock Hill, NY 12775"/>
    <n v="12775"/>
    <x v="15"/>
    <x v="110"/>
    <s v="Q"/>
    <s v=""/>
    <s v=""/>
    <x v="5"/>
    <n v="0"/>
    <s v="Live Oak Banking Co."/>
    <s v="Pharmacies and Drug Stores"/>
  </r>
  <r>
    <n v="311113.11"/>
    <n v="3326377004"/>
    <s v="Actual"/>
    <s v="Long Maturity"/>
    <n v="402"/>
    <x v="404"/>
    <n v="1685223.93"/>
    <x v="58"/>
    <d v="2019-02-21T00:00:00"/>
    <n v="21.534246575342465"/>
    <d v="2034-03-15T00:00:00"/>
    <n v="181"/>
    <n v="159"/>
    <d v="2021-01-05T00:00:00"/>
    <s v="Martin-Nez Sporting Goods, LLC"/>
    <s v="Vicksburg, MS 39180"/>
    <n v="39180"/>
    <x v="23"/>
    <x v="136"/>
    <s v="Q"/>
    <s v=""/>
    <s v=""/>
    <x v="6"/>
    <n v="0.03"/>
    <s v="Live Oak Banking Co."/>
    <s v="Sporting Goods Stores"/>
  </r>
  <r>
    <n v="311264.11"/>
    <n v="4279827009"/>
    <s v="Actual"/>
    <s v="Long Maturity"/>
    <n v="402"/>
    <x v="405"/>
    <n v="144797.06"/>
    <x v="11"/>
    <d v="2020-03-26T00:00:00"/>
    <n v="8.4164383561643845"/>
    <d v="2045-04-15T00:00:00"/>
    <n v="301"/>
    <n v="292"/>
    <d v="2021-01-05T00:00:00"/>
    <s v="Roberto Quezada"/>
    <s v="Lancaster, CA 93534"/>
    <n v="93534"/>
    <x v="10"/>
    <x v="74"/>
    <s v="Q"/>
    <s v=""/>
    <s v=""/>
    <x v="1"/>
    <n v="0.05"/>
    <s v="Harvest Small Business Finance, LLC"/>
    <s v="All Other Personal Services"/>
  </r>
  <r>
    <n v="311265.11"/>
    <n v="4294147004"/>
    <s v="Actual"/>
    <s v="Long Maturity"/>
    <n v="402"/>
    <x v="406"/>
    <n v="118302.53"/>
    <x v="11"/>
    <d v="2020-03-18T00:00:00"/>
    <n v="8.6794520547945204"/>
    <d v="2045-04-15T00:00:00"/>
    <n v="301"/>
    <n v="292"/>
    <d v="2021-01-05T00:00:00"/>
    <s v="Cater Truck Concepts, LLC"/>
    <s v="Montebello , CA 90640"/>
    <n v="90640"/>
    <x v="10"/>
    <x v="137"/>
    <s v="Q"/>
    <s v=""/>
    <s v=""/>
    <x v="3"/>
    <n v="0.05"/>
    <s v="Harvest Small Business Finance, LLC"/>
    <s v="Automotive Body, Paint, and Interior Repair and Maintenance"/>
  </r>
  <r>
    <n v="311266.11"/>
    <n v="4294087010"/>
    <s v="Actual"/>
    <s v="Long Maturity"/>
    <n v="402"/>
    <x v="407"/>
    <n v="343077.39"/>
    <x v="11"/>
    <d v="2020-03-18T00:00:00"/>
    <n v="8.6794520547945204"/>
    <d v="2045-04-15T00:00:00"/>
    <n v="301"/>
    <n v="292"/>
    <d v="2021-01-05T00:00:00"/>
    <s v="Cater Truck Concepts, LLC"/>
    <s v="Montebello, CA 90640"/>
    <n v="90640"/>
    <x v="10"/>
    <x v="137"/>
    <s v="Q"/>
    <s v=""/>
    <s v=""/>
    <x v="3"/>
    <n v="0.05"/>
    <s v="Harvest Small Business Finance, LLC"/>
    <s v="Automotive Body, Paint, and Interior Repair and Maintenance"/>
  </r>
  <r>
    <n v="311335.11"/>
    <n v="4216987003"/>
    <s v="Actual"/>
    <s v="Long Maturity"/>
    <n v="402"/>
    <x v="408"/>
    <n v="280903.92"/>
    <x v="2"/>
    <d v="2020-02-06T00:00:00"/>
    <n v="10.027397260273972"/>
    <d v="2045-03-15T00:00:00"/>
    <n v="301"/>
    <n v="291"/>
    <d v="2021-01-05T00:00:00"/>
    <s v="2293 International, LLC"/>
    <s v="Oakland, CA 94606"/>
    <n v="94606"/>
    <x v="10"/>
    <x v="22"/>
    <s v="Q"/>
    <s v=""/>
    <s v=""/>
    <x v="1"/>
    <n v="0.05"/>
    <s v="First Bank"/>
    <s v="Limited-Service Restaurants"/>
  </r>
  <r>
    <n v="311337.11"/>
    <n v="4029637008"/>
    <s v="Actual"/>
    <s v="Long Maturity"/>
    <n v="402"/>
    <x v="409"/>
    <n v="677139.19"/>
    <x v="23"/>
    <d v="2019-11-06T00:00:00"/>
    <n v="13.052054794520549"/>
    <d v="2044-12-15T00:00:00"/>
    <n v="301"/>
    <n v="288"/>
    <d v="2021-01-05T00:00:00"/>
    <s v="R &amp; G Enterprises, Inc."/>
    <s v="Amboy, WA 98601"/>
    <n v="98601"/>
    <x v="13"/>
    <x v="138"/>
    <s v="Q"/>
    <s v=""/>
    <s v=""/>
    <x v="1"/>
    <n v="0.03"/>
    <s v="First Bank"/>
    <s v="Hardware Stores"/>
  </r>
  <r>
    <n v="311464.11"/>
    <n v="4314137010"/>
    <s v="Actual"/>
    <s v="Long Maturity"/>
    <n v="402"/>
    <x v="410"/>
    <n v="582346.39"/>
    <x v="23"/>
    <d v="2020-03-27T00:00:00"/>
    <n v="8.3178082191780831"/>
    <d v="2045-04-15T00:00:00"/>
    <n v="301"/>
    <n v="292"/>
    <d v="2021-01-05T00:00:00"/>
    <s v="JJEMG Holdings LLC"/>
    <s v="Owosso, MI 48867"/>
    <n v="48867"/>
    <x v="8"/>
    <x v="94"/>
    <s v="Q"/>
    <s v=""/>
    <s v=""/>
    <x v="1"/>
    <n v="0.05"/>
    <s v="The Huntington National Bank"/>
    <s v="Pet and Pet Supplies Stores"/>
  </r>
  <r>
    <n v="311467.11"/>
    <n v="3412787005"/>
    <s v="Actual"/>
    <s v="Long Maturity"/>
    <n v="402"/>
    <x v="411"/>
    <n v="482394.32"/>
    <x v="11"/>
    <d v="2020-04-17T00:00:00"/>
    <n v="7.6273972602739732"/>
    <d v="2038-05-15T00:00:00"/>
    <n v="217"/>
    <n v="209"/>
    <d v="2021-01-05T00:00:00"/>
    <s v="EF Walter Holdings LLC"/>
    <s v="Pittsburgh, PA 15201"/>
    <n v="15201"/>
    <x v="11"/>
    <x v="26"/>
    <s v="Q"/>
    <s v=""/>
    <s v=""/>
    <x v="1"/>
    <n v="0.05"/>
    <s v="The Huntington National Bank"/>
    <s v="Lessors of Nonresidential Buildings (except Miniwarehouses)"/>
  </r>
  <r>
    <n v="311498.11"/>
    <n v="4273227005"/>
    <s v="Actual"/>
    <s v="Long Maturity"/>
    <n v="402"/>
    <x v="412"/>
    <n v="747997.91"/>
    <x v="19"/>
    <d v="2020-03-16T00:00:00"/>
    <n v="8.5"/>
    <d v="2045-04-15T00:00:00"/>
    <n v="301"/>
    <n v="292"/>
    <d v="2021-01-04T00:00:00"/>
    <s v="Runway Express LLC dba Soni Food and Gas"/>
    <s v="Gilbert, AZ 85233"/>
    <n v="85233"/>
    <x v="5"/>
    <x v="4"/>
    <s v="Q"/>
    <s v=""/>
    <s v=""/>
    <x v="7"/>
    <n v="0.05"/>
    <s v="Metro Phoenix Bank"/>
    <s v="Gasoline Stations with Convenience Stores"/>
  </r>
  <r>
    <n v="311554.11"/>
    <n v="4105067006"/>
    <s v="Actual"/>
    <s v="Long Maturity"/>
    <n v="402"/>
    <x v="413"/>
    <n v="395501.79"/>
    <x v="4"/>
    <d v="2019-12-03T00:00:00"/>
    <n v="12.164383561643836"/>
    <d v="2045-01-15T00:00:00"/>
    <n v="301"/>
    <n v="289"/>
    <d v="2021-01-05T00:00:00"/>
    <s v="Playlearn USA Inc."/>
    <s v="Stoney Point, NY 10980"/>
    <n v="10980"/>
    <x v="15"/>
    <x v="87"/>
    <s v="Q"/>
    <s v=""/>
    <s v=""/>
    <x v="2"/>
    <n v="0.03"/>
    <s v="FinWise Bank aka Utah Community Bank"/>
    <s v="Other Direct Selling Establishments"/>
  </r>
  <r>
    <n v="311591.11"/>
    <n v="2713137008"/>
    <s v="Actual"/>
    <s v="Long Maturity"/>
    <n v="402"/>
    <x v="414"/>
    <n v="577644.48"/>
    <x v="13"/>
    <d v="2018-06-27T00:00:00"/>
    <n v="29.391780821917806"/>
    <d v="2044-02-15T00:00:00"/>
    <n v="308"/>
    <n v="278"/>
    <d v="2021-01-05T00:00:00"/>
    <s v="Starks Funeral Properties, LLC"/>
    <s v="Salt Lake City, UT  84106"/>
    <n v="84106"/>
    <x v="34"/>
    <x v="76"/>
    <s v="Q"/>
    <s v=""/>
    <s v=""/>
    <x v="5"/>
    <n v="0.01"/>
    <s v="Meadows Bank"/>
    <s v="Funeral Homes and Funeral Services"/>
  </r>
  <r>
    <n v="311639.11"/>
    <n v="3631367008"/>
    <s v="Actual"/>
    <s v="Long Maturity"/>
    <n v="402"/>
    <x v="415"/>
    <n v="2656366.1800000002"/>
    <x v="4"/>
    <d v="2019-04-15T00:00:00"/>
    <n v="19.857534246575344"/>
    <d v="2044-11-15T00:00:00"/>
    <n v="307"/>
    <n v="287"/>
    <d v="2021-01-05T00:00:00"/>
    <s v="Janvee Krishna LLC dba Studio 6 - Katy"/>
    <s v="Houston, TX 77082"/>
    <n v="77082"/>
    <x v="0"/>
    <x v="19"/>
    <s v="Q"/>
    <s v=""/>
    <s v=""/>
    <x v="2"/>
    <n v="0.03"/>
    <s v="Texas Advantage Community Bank"/>
    <s v="Hotels (except Casino Hotels) and Motels"/>
  </r>
  <r>
    <n v="311683.11"/>
    <n v="4075247010"/>
    <s v="Actual"/>
    <s v="Long Maturity"/>
    <n v="402"/>
    <x v="416"/>
    <n v="336708.3"/>
    <x v="13"/>
    <d v="2019-11-21T00:00:00"/>
    <n v="12.493150684931507"/>
    <d v="2039-12-15T00:00:00"/>
    <n v="241"/>
    <n v="228"/>
    <d v="2021-01-12T00:00:00"/>
    <s v="Portable Pup Inc."/>
    <s v="Elk Grove, CA 95758"/>
    <n v="95758"/>
    <x v="10"/>
    <x v="7"/>
    <s v="Q"/>
    <s v=""/>
    <s v=""/>
    <x v="3"/>
    <n v="0.03"/>
    <s v="Live Oak Banking Co."/>
    <s v="Lessors of Miniwarehouses and Self-Storage Units"/>
  </r>
  <r>
    <n v="311706.11"/>
    <n v="3039567010"/>
    <s v="Actual"/>
    <s v="Long Maturity"/>
    <n v="402"/>
    <x v="417"/>
    <n v="433964.49"/>
    <x v="19"/>
    <d v="2018-10-16T00:00:00"/>
    <n v="25.742465753424657"/>
    <d v="2043-12-15T00:00:00"/>
    <n v="302"/>
    <n v="276"/>
    <d v="2021-01-05T00:00:00"/>
    <s v="CELOZO LLC"/>
    <s v="S. Lake Tahoe, CA 96150"/>
    <n v="96150"/>
    <x v="10"/>
    <x v="19"/>
    <s v="Q"/>
    <s v=""/>
    <s v=""/>
    <x v="6"/>
    <n v="0.01"/>
    <s v="Pinnacle Bank"/>
    <s v="Hotels (except Casino Hotels) and Motels"/>
  </r>
  <r>
    <n v="311743.11"/>
    <n v="3959447001"/>
    <s v="Actual"/>
    <s v="Long Maturity"/>
    <n v="402"/>
    <x v="418"/>
    <n v="86881.52"/>
    <x v="59"/>
    <d v="2019-09-13T00:00:00"/>
    <n v="14.761643835616438"/>
    <d v="2044-10-15T00:00:00"/>
    <n v="301"/>
    <n v="286"/>
    <d v="2021-01-05T00:00:00"/>
    <s v="Ice Cream Island LLC"/>
    <s v="Cadiz, OH 43907"/>
    <n v="43907"/>
    <x v="9"/>
    <x v="139"/>
    <s v="Q"/>
    <s v=""/>
    <s v=""/>
    <x v="1"/>
    <n v="0.03"/>
    <s v="The Huntington National Bank"/>
    <s v="Snack and Nonalcoholic Beverage Bars"/>
  </r>
  <r>
    <n v="311744.11"/>
    <n v="4184147003"/>
    <s v="Actual"/>
    <s v="Long Maturity"/>
    <n v="402"/>
    <x v="419"/>
    <n v="147747.71"/>
    <x v="15"/>
    <d v="2020-01-24T00:00:00"/>
    <n v="10.389041095890411"/>
    <d v="2045-02-15T00:00:00"/>
    <n v="301"/>
    <n v="290"/>
    <d v="2021-01-05T00:00:00"/>
    <s v="The Service Station LLC"/>
    <s v="Muskegon, MI 49442"/>
    <n v="49442"/>
    <x v="8"/>
    <x v="8"/>
    <s v="Q"/>
    <s v=""/>
    <s v=""/>
    <x v="0"/>
    <n v="0.05"/>
    <s v="The Huntington National Bank"/>
    <s v="General Automotive Repair"/>
  </r>
  <r>
    <n v="311747.11"/>
    <n v="4315627006"/>
    <s v="Actual"/>
    <s v="Long Maturity"/>
    <n v="402"/>
    <x v="420"/>
    <n v="3679628.03"/>
    <x v="13"/>
    <d v="2020-03-31T00:00:00"/>
    <n v="8.1863013698630134"/>
    <d v="2045-04-15T00:00:00"/>
    <n v="301"/>
    <n v="292"/>
    <d v="2021-01-05T00:00:00"/>
    <s v="Best Choice Field House LLC"/>
    <s v="Fishers, IN 46038"/>
    <n v="46038"/>
    <x v="39"/>
    <x v="1"/>
    <s v="Q"/>
    <s v=""/>
    <s v=""/>
    <x v="4"/>
    <n v="0.05"/>
    <s v="The Huntington National Bank"/>
    <s v="Fitness and Recreational Sports Centers"/>
  </r>
  <r>
    <n v="311748.11"/>
    <n v="3422607208"/>
    <s v="Actual"/>
    <s v="Long Maturity"/>
    <n v="402"/>
    <x v="421"/>
    <n v="306331.94"/>
    <x v="18"/>
    <d v="2020-04-30T00:00:00"/>
    <n v="7.956164383561644"/>
    <d v="2045-05-15T00:00:00"/>
    <n v="301"/>
    <n v="293"/>
    <d v="2020-12-28T00:00:00"/>
    <s v="DJK Acres LLC"/>
    <s v="Madison, OH 44057"/>
    <n v="44057"/>
    <x v="9"/>
    <x v="85"/>
    <s v="Q"/>
    <s v=""/>
    <s v=""/>
    <x v="0"/>
    <n v="0.05"/>
    <s v="The Huntington National Bank"/>
    <s v="Nursing Care Facilities (Skilled Nursing Facilities)"/>
  </r>
  <r>
    <n v="311749.11"/>
    <n v="3840577008"/>
    <s v="Actual"/>
    <s v="Long Maturity"/>
    <n v="402"/>
    <x v="422"/>
    <n v="297823.59000000003"/>
    <x v="2"/>
    <d v="2019-07-17T00:00:00"/>
    <n v="16.668493150684931"/>
    <d v="2044-08-15T00:00:00"/>
    <n v="301"/>
    <n v="284"/>
    <d v="2021-01-05T00:00:00"/>
    <s v="TMG &amp; TA Properties, LLC"/>
    <s v="Arkon, OH 44333"/>
    <n v="44333"/>
    <x v="9"/>
    <x v="3"/>
    <s v="Q"/>
    <s v=""/>
    <s v=""/>
    <x v="1"/>
    <n v="0.03"/>
    <s v="The Huntington National Bank"/>
    <s v="Full-Service Restaurants"/>
  </r>
  <r>
    <n v="311750.11"/>
    <n v="4300837007"/>
    <s v="Actual"/>
    <s v="Long Maturity"/>
    <n v="402"/>
    <x v="423"/>
    <n v="294186.03999999998"/>
    <x v="11"/>
    <d v="2020-03-24T00:00:00"/>
    <n v="8.4164383561643845"/>
    <d v="2034-04-15T00:00:00"/>
    <n v="169"/>
    <n v="160"/>
    <d v="2021-01-05T00:00:00"/>
    <s v="Green Flame Climate Control"/>
    <s v="Flint, MI 48506"/>
    <n v="48506"/>
    <x v="8"/>
    <x v="62"/>
    <s v="Q"/>
    <s v=""/>
    <s v=""/>
    <x v="1"/>
    <n v="0"/>
    <s v="The Huntington National Bank"/>
    <s v="Plumbing, Heating, and Air-Conditioning Contractors"/>
  </r>
  <r>
    <n v="311751.11"/>
    <n v="3363557205"/>
    <s v="Actual"/>
    <s v="Long Maturity"/>
    <n v="402"/>
    <x v="424"/>
    <n v="275289.75"/>
    <x v="15"/>
    <d v="2020-04-29T00:00:00"/>
    <n v="7.5616438356164384"/>
    <d v="2045-05-15T00:00:00"/>
    <n v="301"/>
    <n v="293"/>
    <d v="2021-01-06T00:00:00"/>
    <s v="815 Grandview Properties LLC"/>
    <s v="Columbus, OH 43215"/>
    <n v="43215"/>
    <x v="9"/>
    <x v="21"/>
    <s v="Q"/>
    <s v=""/>
    <s v=""/>
    <x v="0"/>
    <n v="0.05"/>
    <s v="The Huntington National Bank"/>
    <s v="Other Activities Related to Real Estate"/>
  </r>
  <r>
    <n v="311759.11"/>
    <n v="2884157008"/>
    <s v="Actual"/>
    <s v="Long Maturity"/>
    <n v="402"/>
    <x v="425"/>
    <n v="2498923.3199999998"/>
    <x v="18"/>
    <d v="2018-09-13T00:00:00"/>
    <n v="26.827397260273976"/>
    <d v="2044-04-15T00:00:00"/>
    <n v="307"/>
    <n v="280"/>
    <d v="2021-01-05T00:00:00"/>
    <s v="Prien Lake Charles Storage"/>
    <s v="Lake Charles, LA 70605"/>
    <n v="70605"/>
    <x v="20"/>
    <x v="7"/>
    <s v="Q"/>
    <s v=""/>
    <s v=""/>
    <x v="3"/>
    <n v="0.01"/>
    <s v="First State Bank of Texas"/>
    <s v="Lessors of Miniwarehouses and Self-Storage Units"/>
  </r>
  <r>
    <n v="311933.11"/>
    <n v="9808428002"/>
    <s v="Actual"/>
    <s v="Long Maturity"/>
    <n v="402"/>
    <x v="426"/>
    <n v="373707.43"/>
    <x v="13"/>
    <d v="2020-07-10T00:00:00"/>
    <n v="4.8657534246575338"/>
    <d v="2045-08-15T00:00:00"/>
    <n v="301"/>
    <n v="296"/>
    <d v="2021-01-05T00:00:00"/>
    <s v="Front Street Associates LLC"/>
    <s v="Columbus, OH 43206"/>
    <n v="43206"/>
    <x v="9"/>
    <x v="140"/>
    <s v="Q"/>
    <s v=""/>
    <s v=""/>
    <x v="3"/>
    <n v="0.05"/>
    <s v="The Huntington National Bank"/>
    <s v="Offices of Mental Health Practitioners (except Physicians)"/>
  </r>
  <r>
    <n v="311934.11"/>
    <n v="4182317002"/>
    <s v="Actual"/>
    <s v="Long Maturity"/>
    <n v="402"/>
    <x v="427"/>
    <n v="534180.54"/>
    <x v="4"/>
    <d v="2020-06-19T00:00:00"/>
    <n v="5.5561643835616437"/>
    <d v="2045-07-15T00:00:00"/>
    <n v="301"/>
    <n v="295"/>
    <d v="2021-01-16T00:00:00"/>
    <s v="The Kids Club Real Estate LLC"/>
    <s v="Chargrin Falls, OH 44023"/>
    <n v="44023"/>
    <x v="9"/>
    <x v="0"/>
    <s v="Q"/>
    <s v=""/>
    <s v=""/>
    <x v="3"/>
    <n v="0.05"/>
    <s v="The Huntington National Bank"/>
    <s v="Child Day Care Services"/>
  </r>
  <r>
    <n v="311973.11"/>
    <n v="3886977201"/>
    <s v="Actual"/>
    <s v="Long Maturity"/>
    <n v="402"/>
    <x v="428"/>
    <n v="1180618.26"/>
    <x v="11"/>
    <d v="2020-07-21T00:00:00"/>
    <n v="4.5698630136986296"/>
    <d v="2038-08-15T00:00:00"/>
    <n v="217"/>
    <n v="212"/>
    <d v="2021-01-05T00:00:00"/>
    <s v="Ocean Woods Landscaping Co Inc"/>
    <s v="Hilton Head Island, SC 29926"/>
    <n v="29926"/>
    <x v="22"/>
    <x v="39"/>
    <s v="Q"/>
    <s v=""/>
    <s v=""/>
    <x v="1"/>
    <n v="0.05"/>
    <s v="Evolve Bank &amp; Trust"/>
    <s v="Landscaping Services"/>
  </r>
  <r>
    <n v="312012.11"/>
    <n v="4331987009"/>
    <s v="Actual"/>
    <s v="Long Maturity"/>
    <n v="402"/>
    <x v="429"/>
    <n v="702461.32"/>
    <x v="15"/>
    <d v="2020-05-05T00:00:00"/>
    <n v="7.1013698630136988"/>
    <d v="2036-06-15T00:00:00"/>
    <n v="193"/>
    <n v="186"/>
    <d v="2021-01-05T00:00:00"/>
    <s v="CCJC Enterprises Inc dba Redbox North/Northeast Houston"/>
    <s v="Fulshear, TX 77441"/>
    <n v="77441"/>
    <x v="0"/>
    <x v="141"/>
    <s v="Q"/>
    <s v=""/>
    <s v=""/>
    <x v="1"/>
    <n v="0.05"/>
    <s v="Evolve Bank &amp; Trust"/>
    <s v="All Other Miscellaneous Waste Management Services"/>
  </r>
  <r>
    <n v="312079.11"/>
    <n v="4140947005"/>
    <s v="Actual"/>
    <s v="Long Maturity"/>
    <n v="402"/>
    <x v="430"/>
    <n v="639750"/>
    <x v="13"/>
    <d v="2019-12-23T00:00:00"/>
    <n v="11.441095890410958"/>
    <d v="2040-01-15T00:00:00"/>
    <n v="241"/>
    <n v="229"/>
    <d v="2021-01-05T00:00:00"/>
    <s v="MI Box of San Diego LLC"/>
    <s v="Lakeside, CA 92040"/>
    <n v="92040"/>
    <x v="10"/>
    <x v="7"/>
    <s v="Q"/>
    <s v=""/>
    <s v=""/>
    <x v="3"/>
    <n v="0.05"/>
    <s v="Live Oak Banking Co."/>
    <s v="Lessors of Miniwarehouses and Self-Storage Units"/>
  </r>
  <r>
    <n v="312089.11"/>
    <n v="3973067001"/>
    <s v="Actual"/>
    <s v="Long Maturity"/>
    <n v="402"/>
    <x v="431"/>
    <n v="1072500"/>
    <x v="13"/>
    <d v="2019-09-23T00:00:00"/>
    <n v="14.432876712328767"/>
    <d v="2039-10-15T00:00:00"/>
    <n v="241"/>
    <n v="226"/>
    <d v="2021-01-05T00:00:00"/>
    <s v="MI Box of Central NH LLC"/>
    <s v="Merrimack, NH 03054"/>
    <n v="3054"/>
    <x v="42"/>
    <x v="7"/>
    <s v="Q"/>
    <s v=""/>
    <s v=""/>
    <x v="3"/>
    <n v="0.03"/>
    <s v="Live Oak Banking Co."/>
    <s v="Lessors of Miniwarehouses and Self-Storage Units"/>
  </r>
  <r>
    <n v="312234.11"/>
    <n v="1290198101"/>
    <s v="Actual"/>
    <s v="Long Maturity"/>
    <n v="402"/>
    <x v="432"/>
    <n v="1221408.3400000001"/>
    <x v="19"/>
    <d v="2020-07-15T00:00:00"/>
    <n v="4.7013698630136984"/>
    <d v="2035-08-15T00:00:00"/>
    <n v="181"/>
    <n v="176"/>
    <d v="2021-01-05T00:00:00"/>
    <s v="Habdab LLC"/>
    <s v="Mundelein, IL 60060"/>
    <n v="60060"/>
    <x v="3"/>
    <x v="142"/>
    <s v="Q"/>
    <s v=""/>
    <s v=""/>
    <x v="4"/>
    <n v="0.05"/>
    <s v="The Huntington National Bank"/>
    <s v="Remediation Services"/>
  </r>
  <r>
    <n v="312237.11"/>
    <n v="3492437004"/>
    <s v="Actual"/>
    <s v="Long Maturity"/>
    <n v="402"/>
    <x v="433"/>
    <n v="393633.52"/>
    <x v="18"/>
    <d v="2019-09-30T00:00:00"/>
    <n v="14.202739726027398"/>
    <d v="2044-10-15T00:00:00"/>
    <n v="301"/>
    <n v="286"/>
    <d v="2021-01-05T00:00:00"/>
    <s v="Waffles Incaffeinated Co"/>
    <s v="Wexford, PA 15090"/>
    <n v="15090"/>
    <x v="11"/>
    <x v="3"/>
    <s v="Q"/>
    <s v=""/>
    <s v=""/>
    <x v="0"/>
    <n v="0.03"/>
    <s v="The Huntington National Bank"/>
    <s v="Full-Service Restaurants"/>
  </r>
  <r>
    <n v="312496.11"/>
    <n v="1671378209"/>
    <s v="Actual"/>
    <s v="Long Maturity"/>
    <n v="402"/>
    <x v="434"/>
    <n v="1468441.98"/>
    <x v="11"/>
    <d v="2020-07-31T00:00:00"/>
    <n v="4.1753424657534248"/>
    <d v="2038-08-15T00:00:00"/>
    <n v="217"/>
    <n v="212"/>
    <d v="2021-01-05T00:00:00"/>
    <s v="RLH Real Holdings LLC"/>
    <s v="Vermilion, OH 44089"/>
    <n v="44089"/>
    <x v="9"/>
    <x v="72"/>
    <s v="Q"/>
    <s v=""/>
    <s v=""/>
    <x v="1"/>
    <n v="0.05"/>
    <s v="The Huntington National Bank"/>
    <s v="Supermarkets and Other Grocery (except Convenience) Stores"/>
  </r>
  <r>
    <n v="312516.11"/>
    <n v="6928708200"/>
    <s v="Actual"/>
    <s v="Long Maturity"/>
    <n v="402"/>
    <x v="435"/>
    <n v="726642.36"/>
    <x v="11"/>
    <d v="2020-08-31T00:00:00"/>
    <n v="3.1561643835616433"/>
    <d v="2034-09-15T00:00:00"/>
    <n v="169"/>
    <n v="165"/>
    <d v="2021-01-05T00:00:00"/>
    <s v="Level Up Holdings LLC"/>
    <s v="Tallmadge, OH 44278"/>
    <n v="44278"/>
    <x v="9"/>
    <x v="143"/>
    <s v="Q"/>
    <s v=""/>
    <s v=""/>
    <x v="1"/>
    <n v="0"/>
    <s v="The Huntington National Bank"/>
    <s v="Custom Computer Programming Services"/>
  </r>
  <r>
    <n v="313008.11"/>
    <n v="3485427003"/>
    <s v="Actual"/>
    <s v="Long Maturity"/>
    <n v="402"/>
    <x v="436"/>
    <n v="1012500"/>
    <x v="13"/>
    <d v="2019-02-15T00:00:00"/>
    <n v="21.665753424657535"/>
    <d v="2039-03-15T00:00:00"/>
    <n v="241"/>
    <n v="219"/>
    <d v="2021-01-05T00:00:00"/>
    <s v="Layton Mobile Storage LLC"/>
    <s v="Olympia, WA 98502"/>
    <n v="98502"/>
    <x v="13"/>
    <x v="7"/>
    <s v="Q"/>
    <s v=""/>
    <s v=""/>
    <x v="3"/>
    <n v="0.03"/>
    <s v="Live Oak Banking Co."/>
    <s v="Lessors of Miniwarehouses and Self-Storage Units"/>
  </r>
  <r>
    <n v="313009.11"/>
    <n v="3506717007"/>
    <s v="Actual"/>
    <s v="Long Maturity"/>
    <n v="402"/>
    <x v="437"/>
    <n v="881690.49"/>
    <x v="13"/>
    <d v="2019-02-27T00:00:00"/>
    <n v="21.271232876712329"/>
    <d v="2039-03-15T00:00:00"/>
    <n v="241"/>
    <n v="219"/>
    <d v="2021-01-05T00:00:00"/>
    <s v="MI-BOX of Greater Billerica &amp; Burlington"/>
    <s v="Nashua, NH 03063"/>
    <n v="3063"/>
    <x v="42"/>
    <x v="7"/>
    <s v="Q"/>
    <s v=""/>
    <s v=""/>
    <x v="3"/>
    <n v="0.03"/>
    <s v="Live Oak Banking Co."/>
    <s v="Lessors of Miniwarehouses and Self-Storage Units"/>
  </r>
  <r>
    <n v="305680.11"/>
    <n v="9128765007"/>
    <s v="Actual"/>
    <s v="Long Maturity"/>
    <n v="402"/>
    <x v="438"/>
    <n v="954399.09"/>
    <x v="8"/>
    <d v="2017-02-24T00:00:00"/>
    <n v="45.43333333333333"/>
    <d v="2042-03-15T00:00:00"/>
    <n v="301"/>
    <n v="255"/>
    <d v="2021-01-06T00:00:00"/>
    <s v="Ayana Hospitality, LLC"/>
    <s v="Warner Robins, GA  31093"/>
    <n v="31093"/>
    <x v="2"/>
    <x v="19"/>
    <s v="Q"/>
    <s v=""/>
    <s v=""/>
    <x v="5"/>
    <n v="0"/>
    <s v="Quantum National Bank"/>
    <s v="Hotels (except Casino Hotels) and Motels"/>
  </r>
  <r>
    <n v="308184.11"/>
    <n v="3589217004"/>
    <s v="Actual"/>
    <s v="Long Maturity"/>
    <n v="402"/>
    <x v="439"/>
    <n v="2510161.31"/>
    <x v="19"/>
    <d v="2019-03-20T00:00:00"/>
    <n v="20.580821917808219"/>
    <d v="2044-04-15T00:00:00"/>
    <n v="301"/>
    <n v="280"/>
    <d v="2021-01-14T00:00:00"/>
    <s v="The Cross Dock Option"/>
    <s v="Laredo, TX 78045"/>
    <n v="78045"/>
    <x v="0"/>
    <x v="82"/>
    <s v="Q"/>
    <s v=""/>
    <s v=""/>
    <x v="6"/>
    <n v="0.03"/>
    <s v="Vantage Bank"/>
    <s v="General Freight Trucking, Long-Distance, Truckload"/>
  </r>
  <r>
    <n v="308803.11"/>
    <n v="3114947007"/>
    <s v="Actual"/>
    <s v="Long Maturity"/>
    <n v="402"/>
    <x v="440"/>
    <n v="1087368.98"/>
    <x v="10"/>
    <d v="2018-10-31T00:00:00"/>
    <n v="24.230136986301368"/>
    <d v="2044-03-15T00:00:00"/>
    <n v="305"/>
    <n v="279"/>
    <d v="2020-11-06T00:00:00"/>
    <s v="Dala 1 Inc."/>
    <s v="Spring Lake Park, MN 55432"/>
    <n v="55432"/>
    <x v="24"/>
    <x v="3"/>
    <s v="Q"/>
    <s v=""/>
    <s v=""/>
    <x v="1"/>
    <n v="0.01"/>
    <s v="ByLine Bank"/>
    <s v="Full-Service Restaurants"/>
  </r>
  <r>
    <n v="309224.11"/>
    <n v="3894707005"/>
    <s v="Actual"/>
    <s v="Long Maturity"/>
    <n v="402"/>
    <x v="441"/>
    <n v="3643369.03"/>
    <x v="45"/>
    <d v="2019-08-08T00:00:00"/>
    <n v="16.701369863013699"/>
    <d v="2044-09-15T00:00:00"/>
    <n v="301"/>
    <n v="285"/>
    <d v="2020-12-28T00:00:00"/>
    <s v="CVMI, LLC dba Casa Via Mar Inn"/>
    <s v="Port Hueneme, CA 93041"/>
    <n v="93041"/>
    <x v="10"/>
    <x v="19"/>
    <s v="Q"/>
    <s v=""/>
    <s v=""/>
    <x v="7"/>
    <n v="0.03"/>
    <s v="American Continental Bank"/>
    <s v="Hotels (except Casino Hotels) and Motels"/>
  </r>
  <r>
    <n v="310174.11"/>
    <n v="1928957010"/>
    <s v="Actual"/>
    <s v="Long Maturity"/>
    <n v="402"/>
    <x v="442"/>
    <n v="283513.24"/>
    <x v="15"/>
    <d v="2018-01-31T00:00:00"/>
    <n v="34.257534246575347"/>
    <d v="2043-02-15T00:00:00"/>
    <n v="301"/>
    <n v="266"/>
    <d v="2021-01-11T00:00:00"/>
    <s v="BZ Wood Properties"/>
    <s v="Boynton Beach, FL 33435"/>
    <n v="33435"/>
    <x v="1"/>
    <x v="144"/>
    <s v="Q"/>
    <s v=""/>
    <s v=""/>
    <x v="1"/>
    <n v="0.01"/>
    <s v="Northeast Bank"/>
    <s v="Unknown"/>
  </r>
  <r>
    <n v="310268.11"/>
    <n v="4145627002"/>
    <s v="Actual"/>
    <s v="Long Maturity"/>
    <n v="402"/>
    <x v="443"/>
    <n v="946060.92"/>
    <x v="46"/>
    <d v="2019-12-17T00:00:00"/>
    <n v="12"/>
    <d v="2045-01-15T00:00:00"/>
    <n v="301"/>
    <n v="289"/>
    <d v="2021-01-26T00:00:00"/>
    <s v="Cross Creek Ranch, Inc. "/>
    <s v="Dover, FL 33527"/>
    <n v="33527"/>
    <x v="1"/>
    <x v="145"/>
    <s v="Q"/>
    <s v=""/>
    <s v=""/>
    <x v="1"/>
    <n v="0.05"/>
    <s v="First Citrus Bank"/>
    <s v="Convention and Trade Show Organizers"/>
  </r>
  <r>
    <n v="310664.11"/>
    <n v="4211617009"/>
    <s v="Actual"/>
    <s v="Long Maturity"/>
    <n v="402"/>
    <x v="444"/>
    <n v="187331.99"/>
    <x v="11"/>
    <d v="2020-02-07T00:00:00"/>
    <n v="9.9945205479452053"/>
    <d v="2045-03-15T00:00:00"/>
    <n v="301"/>
    <n v="291"/>
    <d v="2021-01-07T00:00:00"/>
    <s v="Little Dreamers Christian Academy LLC"/>
    <s v="Baker, LA 70714"/>
    <n v="70714"/>
    <x v="20"/>
    <x v="0"/>
    <s v="Q"/>
    <s v=""/>
    <s v=""/>
    <x v="1"/>
    <n v="0.05"/>
    <s v="Celtic Bank"/>
    <s v="Child Day Care Services"/>
  </r>
  <r>
    <n v="310720.11"/>
    <n v="3964867003"/>
    <s v="Actual"/>
    <s v="Long Maturity"/>
    <n v="402"/>
    <x v="445"/>
    <n v="254560.62"/>
    <x v="5"/>
    <d v="2019-09-23T00:00:00"/>
    <n v="15.254794520547946"/>
    <d v="2045-01-15T00:00:00"/>
    <n v="304"/>
    <n v="289"/>
    <d v="2020-12-30T00:00:00"/>
    <s v="Sunshine's Health &amp; Wellness LLC"/>
    <s v="Houston, TX 77020"/>
    <n v="77020"/>
    <x v="0"/>
    <x v="3"/>
    <s v="Q"/>
    <s v=""/>
    <s v=""/>
    <x v="3"/>
    <n v="0.03"/>
    <s v="Wallis State Bank"/>
    <s v="Full-Service Restaurants"/>
  </r>
  <r>
    <n v="310728.11"/>
    <n v="4072267010"/>
    <s v="Actual"/>
    <s v="Long Maturity"/>
    <n v="402"/>
    <x v="446"/>
    <n v="878893.02"/>
    <x v="10"/>
    <d v="2019-11-08T00:00:00"/>
    <n v="11.967123287671233"/>
    <d v="2044-12-15T00:00:00"/>
    <n v="301"/>
    <n v="288"/>
    <d v="2020-11-06T00:00:00"/>
    <s v="HKY LLC dba Travelodge Lima and Haresh Brucia"/>
    <s v="Lima, OH 45804"/>
    <n v="45804"/>
    <x v="9"/>
    <x v="19"/>
    <s v="Q"/>
    <s v=""/>
    <s v=""/>
    <x v="4"/>
    <n v="0.05"/>
    <s v="Incredible Bank"/>
    <s v="Hotels (except Casino Hotels) and Motels"/>
  </r>
  <r>
    <n v="311360.11"/>
    <n v="3447797204"/>
    <s v="Actual"/>
    <s v="Long Maturity"/>
    <n v="402"/>
    <x v="447"/>
    <n v="572194.35"/>
    <x v="11"/>
    <d v="2020-05-06T00:00:00"/>
    <n v="6.9698630136986299"/>
    <d v="2045-06-15T00:00:00"/>
    <n v="301"/>
    <n v="294"/>
    <d v="2020-12-04T00:00:00"/>
    <s v="JG Nimsgern PC, LLC"/>
    <s v="Phillips, WI 54555"/>
    <n v="54555"/>
    <x v="14"/>
    <x v="76"/>
    <s v="Q"/>
    <s v=""/>
    <s v=""/>
    <x v="3"/>
    <n v="0.05"/>
    <s v="Incredible Bank"/>
    <s v="Funeral Homes and Funeral Services"/>
  </r>
  <r>
    <n v="312180.11"/>
    <n v="3929067004"/>
    <s v="Actual"/>
    <s v="Long Maturity"/>
    <n v="402"/>
    <x v="448"/>
    <n v="417397.46"/>
    <x v="13"/>
    <d v="2019-09-05T00:00:00"/>
    <n v="15.123287671232877"/>
    <d v="2045-01-15T00:00:00"/>
    <n v="304"/>
    <n v="289"/>
    <d v="2021-01-05T00:00:00"/>
    <s v="Howdy's Express Inc."/>
    <s v="Mesquite, TX 75149"/>
    <n v="75149"/>
    <x v="0"/>
    <x v="4"/>
    <s v="Q"/>
    <s v=""/>
    <s v=""/>
    <x v="3"/>
    <n v="0.03"/>
    <s v="Wallis State Bank"/>
    <s v="Gasoline Stations with Convenience Stores"/>
  </r>
  <r>
    <n v="309358.11"/>
    <n v="3010397003"/>
    <s v="Actual"/>
    <s v="Long Maturity"/>
    <n v="402"/>
    <x v="449"/>
    <n v="420366.69"/>
    <x v="13"/>
    <d v="2018-10-15T00:00:00"/>
    <n v="25.775342465753425"/>
    <d v="2034-05-15T00:00:00"/>
    <n v="187"/>
    <n v="161"/>
    <d v="2021-01-04T00:00:00"/>
    <s v="Jai Ganesh Hospitality, LLC"/>
    <s v="Orlando, FL 32808"/>
    <n v="32808"/>
    <x v="1"/>
    <x v="19"/>
    <s v="Q"/>
    <s v=""/>
    <s v=""/>
    <x v="3"/>
    <n v="0.01"/>
    <s v="MINT National Bank"/>
    <s v="Hotels (except Casino Hotels) and Motels"/>
  </r>
  <r>
    <n v="309366.11"/>
    <n v="3893437005"/>
    <s v="Actual"/>
    <s v="Long Maturity"/>
    <n v="402"/>
    <x v="450"/>
    <n v="230914.7"/>
    <x v="19"/>
    <d v="2019-08-07T00:00:00"/>
    <n v="16"/>
    <d v="2044-09-15T00:00:00"/>
    <n v="301"/>
    <n v="285"/>
    <d v="2021-01-07T00:00:00"/>
    <s v="KLC Global Solutions, Inc."/>
    <s v="Fullerton, CA 92831"/>
    <n v="92831"/>
    <x v="10"/>
    <x v="38"/>
    <s v="Q"/>
    <s v=""/>
    <s v=""/>
    <x v="6"/>
    <n v="0.03"/>
    <s v="Woori America Bank"/>
    <s v="Insurance Agencies and Brokerages"/>
  </r>
  <r>
    <n v="310367.11"/>
    <n v="4105687004"/>
    <s v="Actual"/>
    <s v="Long Maturity"/>
    <n v="402"/>
    <x v="451"/>
    <n v="103247.21"/>
    <x v="46"/>
    <d v="2019-12-27T00:00:00"/>
    <n v="11.30958904109589"/>
    <d v="2045-01-15T00:00:00"/>
    <n v="301"/>
    <n v="289"/>
    <d v="2021-01-05T00:00:00"/>
    <s v="Ravneet Petro Inc. II"/>
    <s v="Milwaukee, WI 53210"/>
    <n v="53210"/>
    <x v="14"/>
    <x v="4"/>
    <s v="Q"/>
    <s v=""/>
    <s v=""/>
    <x v="1"/>
    <n v="0.05"/>
    <s v="ByLine Bank"/>
    <s v="Gasoline Stations with Convenience Stores"/>
  </r>
  <r>
    <n v="310868.11"/>
    <n v="4220687010"/>
    <s v="Actual"/>
    <s v="Long Maturity"/>
    <n v="402"/>
    <x v="452"/>
    <n v="2351614.14"/>
    <x v="13"/>
    <d v="2020-02-07T00:00:00"/>
    <n v="9.9945205479452053"/>
    <d v="2037-03-15T00:00:00"/>
    <n v="205"/>
    <n v="195"/>
    <d v="2021-01-07T00:00:00"/>
    <s v="HSA Bedrock LLC"/>
    <s v="Brighton, CO 80601"/>
    <n v="80601"/>
    <x v="33"/>
    <x v="132"/>
    <s v="Q"/>
    <s v=""/>
    <s v=""/>
    <x v="5"/>
    <n v="0.05"/>
    <s v="KeyBank - West"/>
    <s v="Landscape Architectural Services"/>
  </r>
  <r>
    <n v="309612.11"/>
    <n v="3994947004"/>
    <s v="Actual"/>
    <s v="Long Maturity"/>
    <n v="402"/>
    <x v="453"/>
    <n v="106357.02"/>
    <x v="15"/>
    <d v="2019-10-03T00:00:00"/>
    <n v="14.136986301369863"/>
    <d v="2044-11-15T00:00:00"/>
    <n v="301"/>
    <n v="287"/>
    <d v="2021-01-06T00:00:00"/>
    <s v="Derrick T. Wells LLC"/>
    <s v="Centralia, IL  62801"/>
    <n v="62801"/>
    <x v="3"/>
    <x v="135"/>
    <s v="Q"/>
    <s v=""/>
    <s v=""/>
    <x v="1"/>
    <n v="0.03"/>
    <s v="ByLine Bank"/>
    <s v="Investment Advice"/>
  </r>
  <r>
    <n v="310142.11"/>
    <n v="3926417007"/>
    <s v="Actual"/>
    <s v="Long Maturity"/>
    <n v="402"/>
    <x v="454"/>
    <n v="1027601.53"/>
    <x v="11"/>
    <d v="2019-09-10T00:00:00"/>
    <n v="14.893150684931506"/>
    <d v="2044-10-15T00:00:00"/>
    <n v="301"/>
    <n v="286"/>
    <d v="2021-01-06T00:00:00"/>
    <s v="Om Shree Vishnu LLC"/>
    <s v="Plainfield, IL 60586"/>
    <n v="60586"/>
    <x v="3"/>
    <x v="146"/>
    <s v="Q"/>
    <s v=""/>
    <s v=""/>
    <x v="3"/>
    <n v="0.03"/>
    <s v="ByLine Bank"/>
    <s v="Office Administrative Services"/>
  </r>
  <r>
    <n v="310164.11"/>
    <n v="2993487001"/>
    <s v="Actual"/>
    <s v="Long Maturity"/>
    <n v="402"/>
    <x v="455"/>
    <n v="2002944.68"/>
    <x v="13"/>
    <d v="2018-11-20T00:00:00"/>
    <n v="24.599999999999998"/>
    <d v="2044-12-15T00:00:00"/>
    <n v="313"/>
    <n v="288"/>
    <d v="2021-01-09T00:00:00"/>
    <s v="Grace David Properties LLC"/>
    <s v="Clifton Park, NY 12065"/>
    <n v="12065"/>
    <x v="15"/>
    <x v="29"/>
    <s v="Q"/>
    <s v=""/>
    <s v=""/>
    <x v="6"/>
    <n v="0.01"/>
    <s v="Mid Penn Bank"/>
    <s v="Veterinary Services"/>
  </r>
  <r>
    <n v="310941.11"/>
    <n v="3782657009"/>
    <s v="Actual"/>
    <s v="Long Maturity"/>
    <n v="402"/>
    <x v="456"/>
    <n v="346578.83"/>
    <x v="11"/>
    <d v="2019-07-08T00:00:00"/>
    <n v="17.063013698630137"/>
    <d v="2044-08-15T00:00:00"/>
    <n v="301"/>
    <n v="284"/>
    <d v="2021-01-08T00:00:00"/>
    <s v="21611 Tungsten Road LLC / Hanlon Composites LLC"/>
    <s v="Euclid, OH 44117"/>
    <n v="44117"/>
    <x v="9"/>
    <x v="147"/>
    <s v="Q"/>
    <s v=""/>
    <s v=""/>
    <x v="3"/>
    <n v="0.03"/>
    <s v="KeyBank - East"/>
    <s v="Plastics Material and Resin Manufacturing"/>
  </r>
  <r>
    <n v="308199.11"/>
    <n v="9527635000"/>
    <s v="Actual"/>
    <s v="Long Maturity"/>
    <n v="402"/>
    <x v="457"/>
    <n v="1250302.6200000001"/>
    <x v="35"/>
    <d v="2017-06-09T00:00:00"/>
    <n v="42.049315068493151"/>
    <d v="2042-07-15T00:00:00"/>
    <n v="301"/>
    <n v="259"/>
    <d v="2021-01-11T00:00:00"/>
    <s v="Sinndar Business LLC dba Time Express #3"/>
    <s v="Spring, TX 77389"/>
    <n v="77389"/>
    <x v="0"/>
    <x v="4"/>
    <s v="Q"/>
    <s v=""/>
    <s v=""/>
    <x v="3"/>
    <n v="0"/>
    <s v="Wallis State Bank"/>
    <s v="Gasoline Stations with Convenience Stores"/>
  </r>
  <r>
    <n v="308960.11"/>
    <n v="9198985009"/>
    <s v="Actual"/>
    <s v="Long Maturity"/>
    <n v="402"/>
    <x v="458"/>
    <n v="1274664.6100000001"/>
    <x v="22"/>
    <d v="2017-08-07T00:00:00"/>
    <n v="40.043835616438358"/>
    <d v="2042-09-15T00:00:00"/>
    <n v="301"/>
    <n v="261"/>
    <d v="2021-01-07T00:00:00"/>
    <s v="Digpri Investment Inc. DBA Days Inn"/>
    <s v="Freeport, TX 77541"/>
    <n v="77541"/>
    <x v="0"/>
    <x v="19"/>
    <s v="Q"/>
    <s v=""/>
    <s v=""/>
    <x v="3"/>
    <n v="0"/>
    <s v="Wallis State Bank"/>
    <s v="Hotels (except Casino Hotels) and Motels"/>
  </r>
  <r>
    <n v="309071.11"/>
    <n v="2891577003"/>
    <s v="Actual"/>
    <s v="Long Maturity"/>
    <n v="402"/>
    <x v="459"/>
    <n v="1345437.29"/>
    <x v="40"/>
    <d v="2018-09-10T00:00:00"/>
    <n v="26.966666666666669"/>
    <d v="2044-09-15T00:00:00"/>
    <n v="312"/>
    <n v="285"/>
    <d v="2021-01-10T00:00:00"/>
    <s v="Shahid 786 LLC"/>
    <s v="Des Plaines, IL 60018"/>
    <n v="60018"/>
    <x v="3"/>
    <x v="16"/>
    <s v="Q"/>
    <s v=""/>
    <s v=""/>
    <x v="4"/>
    <n v="0.01"/>
    <s v="Millennium Bank"/>
    <s v="Car Washes"/>
  </r>
  <r>
    <n v="309191.11"/>
    <n v="3849817004"/>
    <s v="Actual"/>
    <s v="Long Maturity"/>
    <n v="402"/>
    <x v="460"/>
    <n v="3302744.68"/>
    <x v="19"/>
    <d v="2019-07-17T00:00:00"/>
    <n v="16.865753424657534"/>
    <d v="2044-09-15T00:00:00"/>
    <n v="302"/>
    <n v="285"/>
    <d v="2021-01-11T00:00:00"/>
    <s v="Santa Rosa Hospitality, LLC"/>
    <s v="Santa Rosa, CA 95409"/>
    <n v="95409"/>
    <x v="10"/>
    <x v="19"/>
    <s v="Q"/>
    <s v=""/>
    <s v=""/>
    <x v="6"/>
    <n v="0.03"/>
    <s v="Pinnacle Bank"/>
    <s v="Hotels (except Casino Hotels) and Motels"/>
  </r>
  <r>
    <n v="309994.11"/>
    <n v="4095227001"/>
    <s v="Actual"/>
    <s v="Long Maturity"/>
    <n v="402"/>
    <x v="461"/>
    <n v="3667736.24"/>
    <x v="11"/>
    <d v="2019-11-25T00:00:00"/>
    <n v="12.263013698630136"/>
    <d v="2045-01-15T00:00:00"/>
    <n v="302"/>
    <n v="289"/>
    <d v="2021-01-04T00:00:00"/>
    <s v="Mel-O-Cream Donuts International, Inc"/>
    <s v="Springfield, IL 62711"/>
    <n v="62711"/>
    <x v="3"/>
    <x v="148"/>
    <s v="Q"/>
    <s v=""/>
    <s v=""/>
    <x v="1"/>
    <n v="0.03"/>
    <s v="Umpqua Bank – La Mesa    "/>
    <s v="Frozen Cakes, Pies, and Other Pastries Manufacturing"/>
  </r>
  <r>
    <n v="310675.11"/>
    <n v="2693957009"/>
    <s v="Actual"/>
    <s v="Long Maturity"/>
    <n v="402"/>
    <x v="462"/>
    <n v="2985070.53"/>
    <x v="23"/>
    <d v="2018-07-20T00:00:00"/>
    <n v="28.602739726027401"/>
    <d v="2045-03-15T00:00:00"/>
    <n v="320"/>
    <n v="291"/>
    <d v="2021-01-04T00:00:00"/>
    <s v="Davis Archway Centers for Addiction Treatment, Inc./JCL Management Co."/>
    <s v="Butler, PA 16002"/>
    <n v="16002"/>
    <x v="11"/>
    <x v="9"/>
    <s v="Q"/>
    <s v=""/>
    <s v=""/>
    <x v="2"/>
    <n v="0.01"/>
    <s v="First Commonwealth Bank"/>
    <s v="Residential Mental Health and Substance Abuse Facilities"/>
  </r>
  <r>
    <n v="310760.11"/>
    <n v="4005357002"/>
    <s v="Actual"/>
    <s v="Long Maturity"/>
    <n v="402"/>
    <x v="463"/>
    <n v="2986623.27"/>
    <x v="4"/>
    <d v="2019-10-04T00:00:00"/>
    <n v="14.169863013698629"/>
    <d v="2044-11-15T00:00:00"/>
    <n v="301"/>
    <n v="287"/>
    <d v="2021-01-08T00:00:00"/>
    <s v="CHG Medical Center LLC"/>
    <s v="Houston, TX 77025"/>
    <n v="77025"/>
    <x v="0"/>
    <x v="19"/>
    <s v="Q"/>
    <s v=""/>
    <s v=""/>
    <x v="5"/>
    <n v="0.03"/>
    <s v="Wallis State Bank"/>
    <s v="Hotels (except Casino Hotels) and Motels"/>
  </r>
  <r>
    <n v="310769.11"/>
    <n v="3996437008"/>
    <s v="Actual"/>
    <s v="Long Maturity"/>
    <n v="402"/>
    <x v="464"/>
    <n v="588310.76"/>
    <x v="3"/>
    <d v="2019-09-30T00:00:00"/>
    <n v="14.498630136986302"/>
    <d v="2044-10-15T00:00:00"/>
    <n v="301"/>
    <n v="286"/>
    <d v="2021-01-19T00:00:00"/>
    <s v="WJ Molding Inc."/>
    <s v="Schaumburg, IL 60193"/>
    <n v="60193"/>
    <x v="3"/>
    <x v="149"/>
    <s v="Q"/>
    <s v=""/>
    <s v=""/>
    <x v="1"/>
    <n v="0.03"/>
    <s v="ByLine Bank"/>
    <s v="Special Die and Tool, Die Set, Jig, and Fixture Manufacturing"/>
  </r>
  <r>
    <n v="311062.11"/>
    <n v="9236025005"/>
    <s v="Actual"/>
    <s v="Long Maturity"/>
    <n v="402"/>
    <x v="465"/>
    <n v="2401477.98"/>
    <x v="31"/>
    <d v="2017-01-27T00:00:00"/>
    <n v="45.435616438356163"/>
    <d v="2043-02-15T00:00:00"/>
    <n v="313"/>
    <n v="266"/>
    <d v="2021-01-08T00:00:00"/>
    <s v="Eastern Shore Oral, Facial &amp; Implant Surgery Center, P.C."/>
    <s v="Fairhope, AL 36532"/>
    <n v="36532"/>
    <x v="35"/>
    <x v="6"/>
    <s v="Q"/>
    <s v=""/>
    <s v=""/>
    <x v="0"/>
    <n v="0"/>
    <s v="Live Oak Banking Co."/>
    <s v="Offices of Dentists"/>
  </r>
  <r>
    <n v="311398.11"/>
    <n v="4282187008"/>
    <s v="Actual"/>
    <s v="Long Maturity"/>
    <n v="402"/>
    <x v="466"/>
    <n v="415114.23999999999"/>
    <x v="15"/>
    <d v="2020-04-13T00:00:00"/>
    <n v="7.6931506849315072"/>
    <d v="2045-05-15T00:00:00"/>
    <n v="301"/>
    <n v="293"/>
    <d v="2021-01-08T00:00:00"/>
    <s v="Morton Construction"/>
    <s v="Ventura, CA 93003"/>
    <n v="93003"/>
    <x v="10"/>
    <x v="150"/>
    <s v="Q"/>
    <s v=""/>
    <s v=""/>
    <x v="0"/>
    <n v="0.05"/>
    <s v="U.S. Metro Bank"/>
    <s v="New Single-Family Housing Construction (except For-Sale Builders)"/>
  </r>
  <r>
    <n v="311547.11"/>
    <n v="4259847007"/>
    <s v="Actual"/>
    <s v="Long Maturity"/>
    <n v="402"/>
    <x v="467"/>
    <n v="690120.17"/>
    <x v="4"/>
    <d v="2020-03-26T00:00:00"/>
    <n v="8.3506849315068497"/>
    <d v="2045-04-15T00:00:00"/>
    <n v="301"/>
    <n v="292"/>
    <d v="2021-01-05T00:00:00"/>
    <s v="Serenity Bean LLC"/>
    <s v="Kirksville, MO 63501"/>
    <n v="63501"/>
    <x v="28"/>
    <x v="84"/>
    <s v="Q"/>
    <s v=""/>
    <s v=""/>
    <x v="3"/>
    <n v="0.05"/>
    <s v="Ameris Bank"/>
    <s v="Snack and Nonalcoholic Beverage Bars"/>
  </r>
  <r>
    <n v="303774.11"/>
    <n v="9140955008"/>
    <s v="Actual"/>
    <s v="Long Maturity"/>
    <n v="402"/>
    <x v="468"/>
    <n v="544685.19999999995"/>
    <x v="60"/>
    <d v="2017-01-09T00:00:00"/>
    <n v="47.046575342465758"/>
    <d v="2042-02-15T00:00:00"/>
    <n v="301"/>
    <n v="254"/>
    <d v="2021-01-11T00:00:00"/>
    <s v="Opelousas Hospitality, LLC"/>
    <s v="Opelousas, LA  70570"/>
    <n v="70570"/>
    <x v="20"/>
    <x v="19"/>
    <s v="Q"/>
    <s v=""/>
    <s v=""/>
    <x v="3"/>
    <n v="0"/>
    <s v="NOA Bank"/>
    <s v="Hotels (except Casino Hotels) and Motels"/>
  </r>
  <r>
    <n v="307861.11"/>
    <n v="9847085000"/>
    <s v="Actual"/>
    <s v="Long Maturity"/>
    <n v="402"/>
    <x v="469"/>
    <n v="885788.28"/>
    <x v="30"/>
    <d v="2017-10-10T00:00:00"/>
    <n v="38.038356164383558"/>
    <d v="2042-11-15T00:00:00"/>
    <n v="301"/>
    <n v="263"/>
    <d v="2021-01-11T00:00:00"/>
    <s v="Westpart Operations LLC dba Vineyard Market"/>
    <s v="Sugarland, TX 77479"/>
    <n v="77479"/>
    <x v="0"/>
    <x v="4"/>
    <s v="Q"/>
    <s v=""/>
    <s v=""/>
    <x v="4"/>
    <n v="0"/>
    <s v="Wallis State Bank"/>
    <s v="Gasoline Stations with Convenience Stores"/>
  </r>
  <r>
    <n v="308078.11"/>
    <n v="9930905009"/>
    <s v="Actual"/>
    <s v="Long Maturity"/>
    <n v="402"/>
    <x v="470"/>
    <n v="2174690.4300000002"/>
    <x v="13"/>
    <d v="2017-10-24T00:00:00"/>
    <n v="36.591780821917808"/>
    <d v="2043-05-15T00:00:00"/>
    <n v="307"/>
    <n v="269"/>
    <d v="2020-11-10T00:00:00"/>
    <s v="Rangoli, Inc. dba Monart School of Art"/>
    <s v="Pearland, TX 77584"/>
    <n v="77584"/>
    <x v="0"/>
    <x v="45"/>
    <s v="Q"/>
    <s v=""/>
    <s v=""/>
    <x v="3"/>
    <n v="0"/>
    <s v="Texas Citizens Bank"/>
    <s v="Fine Arts Schools"/>
  </r>
  <r>
    <n v="308367.11"/>
    <n v="3624237006"/>
    <s v="Actual"/>
    <s v="Long Maturity"/>
    <n v="402"/>
    <x v="471"/>
    <n v="150933.92000000001"/>
    <x v="15"/>
    <d v="2019-04-10T00:00:00"/>
    <n v="20.054794520547944"/>
    <d v="2044-05-15T00:00:00"/>
    <n v="301"/>
    <n v="281"/>
    <d v="2021-01-08T00:00:00"/>
    <s v="W.L. Harder, Incorporated"/>
    <s v="Mammoth Lakes, CA 93546"/>
    <n v="93546"/>
    <x v="10"/>
    <x v="150"/>
    <s v="Q"/>
    <s v=""/>
    <s v=""/>
    <x v="1"/>
    <n v="0.03"/>
    <s v="Celtic Bank"/>
    <s v="New Single-Family Housing Construction (except For-Sale Builders)"/>
  </r>
  <r>
    <n v="309081.11"/>
    <n v="2536817009"/>
    <s v="Actual"/>
    <s v="Long Maturity"/>
    <n v="402"/>
    <x v="472"/>
    <n v="1923832.69"/>
    <x v="11"/>
    <d v="2018-09-14T00:00:00"/>
    <n v="25.906849315068492"/>
    <d v="2043-10-15T00:00:00"/>
    <n v="301"/>
    <n v="274"/>
    <d v="2020-11-10T00:00:00"/>
    <s v="Allegra Banquet Convention Center LLC"/>
    <s v="Schiller Park, IL 60176"/>
    <n v="60176"/>
    <x v="3"/>
    <x v="33"/>
    <s v="Q"/>
    <s v=""/>
    <s v=""/>
    <x v="2"/>
    <n v="0.01"/>
    <s v="ByLine Bank"/>
    <s v="Caterers"/>
  </r>
  <r>
    <n v="309182.11"/>
    <n v="3883797004"/>
    <s v="Actual"/>
    <s v="Long Maturity"/>
    <n v="402"/>
    <x v="473"/>
    <n v="658107.31999999995"/>
    <x v="13"/>
    <d v="2019-08-02T00:00:00"/>
    <n v="16.339726027397262"/>
    <d v="2044-09-15T00:00:00"/>
    <n v="301"/>
    <n v="285"/>
    <d v="2021-01-08T00:00:00"/>
    <s v="Makka Auto Sales"/>
    <s v="Dallas, TX  75229"/>
    <n v="75229"/>
    <x v="0"/>
    <x v="20"/>
    <s v="Q"/>
    <s v=""/>
    <s v=""/>
    <x v="5"/>
    <n v="0.03"/>
    <s v="Open Bank"/>
    <s v="Used Car Dealers"/>
  </r>
  <r>
    <n v="309237.11"/>
    <n v="3897437002"/>
    <s v="Actual"/>
    <s v="Long Maturity"/>
    <n v="402"/>
    <x v="474"/>
    <n v="3657500.62"/>
    <x v="45"/>
    <d v="2019-08-14T00:00:00"/>
    <n v="15.912328767123288"/>
    <d v="2044-09-15T00:00:00"/>
    <n v="301"/>
    <n v="285"/>
    <d v="2021-01-11T00:00:00"/>
    <s v="Valiba Inc."/>
    <s v="Sacramento, CA 95817"/>
    <n v="95817"/>
    <x v="10"/>
    <x v="19"/>
    <s v="Q"/>
    <s v=""/>
    <s v=""/>
    <x v="7"/>
    <n v="0.03"/>
    <s v="Pinnacle Bank"/>
    <s v="Hotels (except Casino Hotels) and Motels"/>
  </r>
  <r>
    <n v="309365.11"/>
    <n v="3826507002"/>
    <s v="Actual"/>
    <s v="Long Maturity"/>
    <n v="402"/>
    <x v="475"/>
    <n v="176134.16"/>
    <x v="15"/>
    <d v="2019-08-28T00:00:00"/>
    <n v="15.400000000000002"/>
    <d v="2044-09-15T00:00:00"/>
    <n v="301"/>
    <n v="285"/>
    <d v="2021-01-10T00:00:00"/>
    <s v="Khari E. J. Myers &amp; 190 Minerva LLC"/>
    <s v="Tonawanda, NY 14150"/>
    <n v="14150"/>
    <x v="15"/>
    <x v="151"/>
    <s v="Q"/>
    <s v=""/>
    <s v=""/>
    <x v="1"/>
    <n v="0.03"/>
    <s v="Newtek Small Business Finance, Inc."/>
    <s v="Photography Studios, Portrait"/>
  </r>
  <r>
    <n v="309710.11"/>
    <n v="3368407009"/>
    <s v="Actual"/>
    <s v="Long Maturity"/>
    <n v="402"/>
    <x v="476"/>
    <n v="909574.46"/>
    <x v="15"/>
    <d v="2018-12-21T00:00:00"/>
    <n v="23.671232876712327"/>
    <d v="2044-07-15T00:00:00"/>
    <n v="307"/>
    <n v="283"/>
    <d v="2021-01-11T00:00:00"/>
    <s v="Dyno Climb LLC"/>
    <s v="Deland, FL 32720"/>
    <n v="32720"/>
    <x v="1"/>
    <x v="1"/>
    <s v="Q"/>
    <s v=""/>
    <s v=""/>
    <x v="1"/>
    <n v="0.03"/>
    <s v="CFBank"/>
    <s v="Fitness and Recreational Sports Centers"/>
  </r>
  <r>
    <n v="310033.11"/>
    <n v="4075187005"/>
    <s v="Actual"/>
    <s v="Long Maturity"/>
    <n v="402"/>
    <x v="477"/>
    <n v="3251758.63"/>
    <x v="13"/>
    <d v="2019-11-15T00:00:00"/>
    <n v="12.854794520547944"/>
    <d v="2044-12-15T00:00:00"/>
    <n v="301"/>
    <n v="288"/>
    <d v="2021-01-11T00:00:00"/>
    <s v="Liberty Business Venture, LLC dba Best Western Salisbury Plaza"/>
    <s v="Salisbury, MD 21801"/>
    <n v="21801"/>
    <x v="19"/>
    <x v="19"/>
    <s v="Q"/>
    <s v=""/>
    <s v=""/>
    <x v="3"/>
    <n v="0.03"/>
    <s v="Harvest Small Business Finance, LLC"/>
    <s v="Hotels (except Casino Hotels) and Motels"/>
  </r>
  <r>
    <n v="310040.11"/>
    <n v="2690697008"/>
    <s v="Actual"/>
    <s v="Long Maturity"/>
    <n v="402"/>
    <x v="478"/>
    <n v="1581394.73"/>
    <x v="13"/>
    <d v="2018-06-29T00:00:00"/>
    <n v="29.424657534246577"/>
    <d v="2043-07-15T00:00:00"/>
    <n v="301"/>
    <n v="271"/>
    <d v="2021-01-08T00:00:00"/>
    <s v="Sedalia Hotel LLC"/>
    <s v="Sedalia, MO 65301"/>
    <n v="65301"/>
    <x v="28"/>
    <x v="19"/>
    <s v="Q"/>
    <s v=""/>
    <s v=""/>
    <x v="5"/>
    <n v="0.01"/>
    <s v="Northeast Bank"/>
    <s v="Hotels (except Casino Hotels) and Motels"/>
  </r>
  <r>
    <n v="310098.11"/>
    <n v="4106147008"/>
    <s v="Actual"/>
    <s v="Long Maturity"/>
    <n v="402"/>
    <x v="479"/>
    <n v="244627.28"/>
    <x v="26"/>
    <d v="2019-12-05T00:00:00"/>
    <n v="12.197260273972603"/>
    <d v="2045-01-15T00:00:00"/>
    <n v="301"/>
    <n v="289"/>
    <d v="2021-01-11T00:00:00"/>
    <s v="2711 Property Holdings, LLC"/>
    <s v="Anderson, SC  29621"/>
    <n v="29621"/>
    <x v="22"/>
    <x v="38"/>
    <s v="Q"/>
    <s v=""/>
    <s v=""/>
    <x v="3"/>
    <n v="0.03"/>
    <s v="Signature Bank of Georgia"/>
    <s v="Insurance Agencies and Brokerages"/>
  </r>
  <r>
    <n v="310165.11"/>
    <n v="4123407005"/>
    <s v="Actual"/>
    <s v="Long Maturity"/>
    <n v="402"/>
    <x v="480"/>
    <n v="516841.05"/>
    <x v="2"/>
    <d v="2019-12-16T00:00:00"/>
    <n v="11.835616438356164"/>
    <d v="2045-01-15T00:00:00"/>
    <n v="301"/>
    <n v="289"/>
    <d v="2021-01-11T00:00:00"/>
    <s v="HG and Son, Inc."/>
    <s v="Amityville, NY 11701"/>
    <n v="11701"/>
    <x v="15"/>
    <x v="8"/>
    <s v="Q"/>
    <s v=""/>
    <s v=""/>
    <x v="1"/>
    <n v="0.05"/>
    <s v="Harvest Small Business Finance, LLC"/>
    <s v="General Automotive Repair"/>
  </r>
  <r>
    <n v="310285.11"/>
    <n v="4127657007"/>
    <s v="Actual"/>
    <s v="Long Maturity"/>
    <n v="402"/>
    <x v="481"/>
    <n v="443292.68"/>
    <x v="2"/>
    <d v="2019-12-23T00:00:00"/>
    <n v="11.566666666666666"/>
    <d v="2045-01-15T00:00:00"/>
    <n v="301"/>
    <n v="289"/>
    <d v="2021-01-19T00:00:00"/>
    <s v="Food Civilization Services LLC "/>
    <s v="Houston, TX 77008"/>
    <n v="77008"/>
    <x v="0"/>
    <x v="152"/>
    <s v="Q"/>
    <s v=""/>
    <s v=""/>
    <x v="1"/>
    <n v="0.05"/>
    <s v="Newtek Small Business Finance, Inc."/>
    <s v="Lessors of Other Real Estate Property"/>
  </r>
  <r>
    <n v="310287.11"/>
    <n v="1747217001"/>
    <s v="Actual"/>
    <s v="Long Maturity"/>
    <n v="402"/>
    <x v="482"/>
    <n v="1361238.26"/>
    <x v="18"/>
    <d v="2018-04-03T00:00:00"/>
    <n v="32.284931506849311"/>
    <d v="2044-06-15T00:00:00"/>
    <n v="314"/>
    <n v="282"/>
    <d v="2021-01-10T00:00:00"/>
    <s v="The Spotted Trotter"/>
    <s v="Atlanta, GA 30316"/>
    <n v="30316"/>
    <x v="2"/>
    <x v="153"/>
    <s v="Q"/>
    <s v=""/>
    <s v=""/>
    <x v="4"/>
    <n v="0.01"/>
    <s v="Ameris Bank"/>
    <s v="Meat Markets"/>
  </r>
  <r>
    <n v="310295.11"/>
    <n v="4140807009"/>
    <s v="Actual"/>
    <s v="Long Maturity"/>
    <n v="402"/>
    <x v="483"/>
    <n v="2323485.71"/>
    <x v="11"/>
    <d v="2019-12-30T00:00:00"/>
    <n v="11.333333333333332"/>
    <d v="2045-01-15T00:00:00"/>
    <n v="301"/>
    <n v="289"/>
    <d v="2021-01-10T00:00:00"/>
    <s v="Spinnaker Vero, Inc."/>
    <s v="Vero Beach, FL 32960"/>
    <n v="32960"/>
    <x v="1"/>
    <x v="111"/>
    <s v="Q"/>
    <s v=""/>
    <s v=""/>
    <x v="1"/>
    <n v="0.05"/>
    <s v="Newtek Small Business Finance, Inc."/>
    <s v="Commercial Printing (except Screen and Books)"/>
  </r>
  <r>
    <n v="310517.11"/>
    <n v="3851997000"/>
    <s v="Actual"/>
    <s v="Long Maturity"/>
    <n v="402"/>
    <x v="484"/>
    <n v="2356096.2799999998"/>
    <x v="12"/>
    <d v="2019-08-05T00:00:00"/>
    <n v="16.208219178082189"/>
    <d v="2044-09-15T00:00:00"/>
    <n v="301"/>
    <n v="285"/>
    <d v="2021-01-11T00:00:00"/>
    <s v="812 Dunn Jax Holdings LLC"/>
    <s v="Jacksonville, FL 32218"/>
    <n v="32218"/>
    <x v="1"/>
    <x v="19"/>
    <s v="Q"/>
    <s v=""/>
    <s v=""/>
    <x v="5"/>
    <n v="0.03"/>
    <s v="FinWise Bank aka Utah Community Bank"/>
    <s v="Hotels (except Casino Hotels) and Motels"/>
  </r>
  <r>
    <n v="310739.11"/>
    <n v="4054167000"/>
    <s v="Actual"/>
    <s v="Long Maturity"/>
    <n v="402"/>
    <x v="485"/>
    <n v="215043.41"/>
    <x v="3"/>
    <d v="2019-10-28T00:00:00"/>
    <n v="13.446575342465753"/>
    <d v="2044-11-15T00:00:00"/>
    <n v="301"/>
    <n v="287"/>
    <d v="2021-01-11T00:00:00"/>
    <s v="Bridget Nicoll Ruiz"/>
    <s v="Pittsburg, CA 94565"/>
    <n v="94565"/>
    <x v="10"/>
    <x v="154"/>
    <s v="Q"/>
    <s v=""/>
    <s v=""/>
    <x v="1"/>
    <n v="0.03"/>
    <s v="Harvest Small Business Finance, LLC"/>
    <s v="Travel Agencies"/>
  </r>
  <r>
    <n v="310743.11"/>
    <n v="3989127000"/>
    <s v="Actual"/>
    <s v="Long Maturity"/>
    <n v="402"/>
    <x v="486"/>
    <n v="1140673.57"/>
    <x v="14"/>
    <d v="2019-10-17T00:00:00"/>
    <n v="13.80821917808219"/>
    <d v="2044-11-15T00:00:00"/>
    <n v="301"/>
    <n v="287"/>
    <d v="2021-01-11T00:00:00"/>
    <s v="Cowley Investments, LLC and Old Village Inn, Inc"/>
    <s v="Farmington, CT 48336"/>
    <n v="48336"/>
    <x v="36"/>
    <x v="3"/>
    <s v="Q"/>
    <s v=""/>
    <s v=""/>
    <x v="0"/>
    <n v="0.03"/>
    <s v="Harvest Small Business Finance, LLC"/>
    <s v="Full-Service Restaurants"/>
  </r>
  <r>
    <n v="310746.11"/>
    <n v="4024647001"/>
    <s v="Actual"/>
    <s v="Long Maturity"/>
    <n v="402"/>
    <x v="487"/>
    <n v="397462.25"/>
    <x v="3"/>
    <d v="2019-10-22T00:00:00"/>
    <n v="13.643835616438357"/>
    <d v="2044-11-15T00:00:00"/>
    <n v="301"/>
    <n v="287"/>
    <d v="2021-01-11T00:00:00"/>
    <s v="463 DRW Company, LLC"/>
    <s v="Wilton, CT 06897"/>
    <n v="6897"/>
    <x v="36"/>
    <x v="0"/>
    <s v="Q"/>
    <s v=""/>
    <s v=""/>
    <x v="1"/>
    <n v="0.03"/>
    <s v="Harvest Small Business Finance, LLC"/>
    <s v="Child Day Care Services"/>
  </r>
  <r>
    <n v="310956.11"/>
    <n v="3606657010"/>
    <s v="Actual"/>
    <s v="Long Maturity"/>
    <n v="402"/>
    <x v="488"/>
    <n v="1212870.57"/>
    <x v="49"/>
    <d v="2019-03-28T00:00:00"/>
    <n v="20.547945205479451"/>
    <d v="2033-06-15T00:00:00"/>
    <n v="171"/>
    <n v="150"/>
    <d v="2021-01-10T00:00:00"/>
    <s v="Mobile Tech Trailers Holding LLC"/>
    <s v="Argos, IN 46501"/>
    <n v="46501"/>
    <x v="39"/>
    <x v="155"/>
    <s v="Q"/>
    <s v=""/>
    <s v=""/>
    <x v="0"/>
    <n v="0"/>
    <s v="Live Oak Banking Co."/>
    <s v="Truck Trailer Manufacturing"/>
  </r>
  <r>
    <n v="311263.11"/>
    <n v="4294407010"/>
    <s v="Actual"/>
    <s v="Long Maturity"/>
    <n v="402"/>
    <x v="489"/>
    <n v="605873.18000000005"/>
    <x v="18"/>
    <d v="2020-03-25T00:00:00"/>
    <n v="8.5479452054794507"/>
    <d v="2045-04-15T00:00:00"/>
    <n v="301"/>
    <n v="292"/>
    <d v="2021-01-11T00:00:00"/>
    <s v="Prestige Investments Worldwide, LLC"/>
    <s v="Shingle Springs, CA 95682"/>
    <n v="95682"/>
    <x v="10"/>
    <x v="69"/>
    <s v="Q"/>
    <s v=""/>
    <s v=""/>
    <x v="0"/>
    <n v="0.05"/>
    <s v="Harvest Small Business Finance, LLC"/>
    <s v="Electrical Contractors and Other Wiring Installation Contractors"/>
  </r>
  <r>
    <n v="311267.11"/>
    <n v="4291617008"/>
    <s v="Actual"/>
    <s v="Long Maturity"/>
    <n v="402"/>
    <x v="490"/>
    <n v="330203.59000000003"/>
    <x v="11"/>
    <d v="2020-03-20T00:00:00"/>
    <n v="8.7123287671232887"/>
    <d v="2045-04-15T00:00:00"/>
    <n v="301"/>
    <n v="292"/>
    <d v="2021-01-11T00:00:00"/>
    <s v="Hefestio Ventures LLC"/>
    <s v="Sacramento, CA 95820"/>
    <n v="95820"/>
    <x v="10"/>
    <x v="50"/>
    <s v="Q"/>
    <s v=""/>
    <s v=""/>
    <x v="3"/>
    <n v="0.05"/>
    <s v="Harvest Small Business Finance, LLC"/>
    <s v="Other Computer Related Services"/>
  </r>
  <r>
    <n v="311317.11"/>
    <n v="3558857005"/>
    <s v="Actual"/>
    <s v="Long Maturity"/>
    <n v="402"/>
    <x v="491"/>
    <n v="1130981.6100000001"/>
    <x v="15"/>
    <d v="2019-03-11T00:00:00"/>
    <n v="21.073972602739726"/>
    <d v="2045-01-15T00:00:00"/>
    <n v="310"/>
    <n v="289"/>
    <d v="2021-01-28T00:00:00"/>
    <s v="RC Petroleum Corporation"/>
    <s v="San Jose, CA 95120"/>
    <n v="95120"/>
    <x v="10"/>
    <x v="16"/>
    <s v="Q"/>
    <s v=""/>
    <s v=""/>
    <x v="0"/>
    <n v="0.03"/>
    <s v="Celtic Bank"/>
    <s v="Car Washes"/>
  </r>
  <r>
    <n v="312054.11"/>
    <n v="7429467901"/>
    <s v="Actual"/>
    <s v="Long Maturity"/>
    <n v="402"/>
    <x v="492"/>
    <n v="351385.21"/>
    <x v="19"/>
    <d v="2020-07-09T00:00:00"/>
    <n v="5.0630136986301366"/>
    <d v="2045-09-15T00:00:00"/>
    <n v="302"/>
    <n v="297"/>
    <d v="2021-01-10T00:00:00"/>
    <s v="Leilani D Aragon"/>
    <s v="Hayward, CA 94544"/>
    <n v="94544"/>
    <x v="10"/>
    <x v="15"/>
    <s v="Q"/>
    <s v=""/>
    <s v=""/>
    <x v="4"/>
    <n v="0.05"/>
    <s v="Pinnacle Bank"/>
    <s v="Assisted Living Facilities for the Elderly"/>
  </r>
  <r>
    <n v="312132.11"/>
    <n v="3552087009"/>
    <s v="Actual"/>
    <s v="Long Maturity"/>
    <n v="402"/>
    <x v="493"/>
    <n v="302549.61"/>
    <x v="11"/>
    <d v="2019-04-02T00:00:00"/>
    <n v="20.909589041095892"/>
    <d v="2039-11-15T00:00:00"/>
    <n v="247"/>
    <n v="227"/>
    <d v="2021-01-04T00:00:00"/>
    <s v="Carolina Head and Spine Clinic of Chiropractic, P.A."/>
    <s v="Durham, NC 27707"/>
    <n v="27707"/>
    <x v="6"/>
    <x v="35"/>
    <s v="Q"/>
    <s v=""/>
    <s v=""/>
    <x v="1"/>
    <n v="0.03"/>
    <s v="Stearns Bank, N.A."/>
    <s v="Offices of Chiropractors"/>
  </r>
  <r>
    <n v="312138.11"/>
    <n v="4265927003"/>
    <s v="Actual"/>
    <s v="Long Maturity"/>
    <n v="402"/>
    <x v="494"/>
    <n v="552259.78"/>
    <x v="11"/>
    <d v="2020-03-10T00:00:00"/>
    <n v="9.0410958904109595"/>
    <d v="2045-04-15T00:00:00"/>
    <n v="301"/>
    <n v="292"/>
    <d v="2021-01-11T00:00:00"/>
    <s v="Ez-On Products LLC and Rockwater Properties, LLC"/>
    <s v="Jupiter, FL 33458"/>
    <n v="33458"/>
    <x v="1"/>
    <x v="156"/>
    <s v="Q"/>
    <s v=""/>
    <s v=""/>
    <x v="1"/>
    <n v="0.05"/>
    <s v="Stearns Bank, N.A."/>
    <s v="All Other Miscellaneous Manufacturing"/>
  </r>
  <r>
    <n v="312826.11"/>
    <n v="5419907409"/>
    <s v="Actual"/>
    <s v="Long Maturity"/>
    <n v="402"/>
    <x v="495"/>
    <n v="433748.85"/>
    <x v="13"/>
    <d v="2020-09-10T00:00:00"/>
    <n v="2.9917808219178084"/>
    <d v="2037-10-15T00:00:00"/>
    <n v="205"/>
    <n v="202"/>
    <d v="2021-01-10T00:00:00"/>
    <s v="Spartanburg Fleet Service"/>
    <s v="Cross Hill, SC 29332"/>
    <n v="29332"/>
    <x v="22"/>
    <x v="119"/>
    <s v="Q"/>
    <s v=""/>
    <s v=""/>
    <x v="5"/>
    <n v="0.05"/>
    <s v="Synovus Bank"/>
    <s v="Commercial and Industrial Machinery and Equipment (except Automotive and Electronic) Repair and Maintenance"/>
  </r>
  <r>
    <n v="309246.11"/>
    <n v="1384327010"/>
    <s v="Actual"/>
    <s v="Long Maturity"/>
    <n v="402"/>
    <x v="496"/>
    <n v="1209517.6200000001"/>
    <x v="15"/>
    <d v="2018-02-15T00:00:00"/>
    <n v="33.830136986301369"/>
    <d v="2044-03-15T00:00:00"/>
    <n v="313"/>
    <n v="279"/>
    <d v="2021-01-10T00:00:00"/>
    <s v="The Creative Chateau, LLC / Adorne Artistry, LLC"/>
    <s v="Houston, TX 77057"/>
    <n v="77057"/>
    <x v="0"/>
    <x v="93"/>
    <s v="Q"/>
    <s v=""/>
    <s v=""/>
    <x v="1"/>
    <n v="0.01"/>
    <s v="Texas Gulf Bank"/>
    <s v="Cosmetics, Beauty Supplies, and Perfume Stores"/>
  </r>
  <r>
    <n v="311255.11"/>
    <n v="8758877008"/>
    <s v="Actual"/>
    <s v="Long Maturity"/>
    <n v="402"/>
    <x v="497"/>
    <n v="519278.62"/>
    <x v="4"/>
    <d v="2020-04-09T00:00:00"/>
    <n v="8.0547945205479454"/>
    <d v="2045-05-15T00:00:00"/>
    <n v="301"/>
    <n v="293"/>
    <d v="2021-01-11T00:00:00"/>
    <s v="Neal B. Preston and Ewings on the Kern, LLC"/>
    <s v="Kernville, CA 93238"/>
    <n v="93238"/>
    <x v="10"/>
    <x v="3"/>
    <s v="Q"/>
    <s v=""/>
    <s v=""/>
    <x v="2"/>
    <n v="0.05"/>
    <s v="Harvest Small Business Finance, LLC"/>
    <s v="Full-Service Restaurants"/>
  </r>
  <r>
    <n v="303188.11"/>
    <n v="9670775010"/>
    <s v="Actual"/>
    <s v="Long Maturity"/>
    <n v="402"/>
    <x v="498"/>
    <n v="179461.27"/>
    <x v="9"/>
    <d v="2017-08-31T00:00:00"/>
    <n v="39.484931506849314"/>
    <d v="2042-09-15T00:00:00"/>
    <n v="301"/>
    <n v="261"/>
    <d v="2021-01-12T00:00:00"/>
    <s v="Gentle Dental Care"/>
    <s v="Benton, KY 42025"/>
    <n v="42025"/>
    <x v="7"/>
    <x v="6"/>
    <s v="Q"/>
    <s v=""/>
    <s v=""/>
    <x v="6"/>
    <n v="0"/>
    <s v="Live Oak Banking Co."/>
    <s v="Offices of Dentists"/>
  </r>
  <r>
    <n v="305826.11"/>
    <n v="9141005007"/>
    <s v="Actual"/>
    <s v="Long Maturity"/>
    <n v="402"/>
    <x v="499"/>
    <n v="960428.74"/>
    <x v="30"/>
    <d v="2017-05-04T00:00:00"/>
    <n v="43.397260273972599"/>
    <d v="2042-12-15T00:00:00"/>
    <n v="307"/>
    <n v="264"/>
    <d v="2021-01-12T00:00:00"/>
    <s v="Cricket Ridge Animal Hospital Inc."/>
    <s v="Chardon, OH 44024"/>
    <n v="44024"/>
    <x v="9"/>
    <x v="29"/>
    <s v="Q"/>
    <s v=""/>
    <s v=""/>
    <x v="4"/>
    <n v="0"/>
    <s v="Live Oak Banking Co."/>
    <s v="Veterinary Services"/>
  </r>
  <r>
    <n v="305827.11"/>
    <n v="9749175010"/>
    <s v="Actual"/>
    <s v="Long Maturity"/>
    <n v="402"/>
    <x v="500"/>
    <n v="480953.88"/>
    <x v="35"/>
    <d v="2017-09-27T00:00:00"/>
    <n v="38.597260273972601"/>
    <d v="2042-10-15T00:00:00"/>
    <n v="301"/>
    <n v="262"/>
    <d v="2021-01-12T00:00:00"/>
    <s v="Forzano Storage &amp; Management Group LLC"/>
    <s v="Newtown, CT 06470"/>
    <n v="6470"/>
    <x v="36"/>
    <x v="7"/>
    <s v="Q"/>
    <s v=""/>
    <s v=""/>
    <x v="3"/>
    <n v="0"/>
    <s v="Live Oak Banking Co."/>
    <s v="Lessors of Miniwarehouses and Self-Storage Units"/>
  </r>
  <r>
    <n v="308764.11"/>
    <n v="9625125004"/>
    <s v="Actual"/>
    <s v="Long Maturity"/>
    <n v="402"/>
    <x v="501"/>
    <n v="2048471.47"/>
    <x v="61"/>
    <d v="2017-09-15T00:00:00"/>
    <n v="38.991780821917814"/>
    <d v="2043-08-15T00:00:00"/>
    <n v="311"/>
    <n v="272"/>
    <d v="2021-01-28T00:00:00"/>
    <s v="Parko Store LLC"/>
    <s v="Fairfield, NJ  07004"/>
    <n v="7004"/>
    <x v="17"/>
    <x v="4"/>
    <s v="Q"/>
    <s v=""/>
    <s v=""/>
    <x v="1"/>
    <n v="0"/>
    <s v="Celtic Bank"/>
    <s v="Gasoline Stations with Convenience Stores"/>
  </r>
  <r>
    <n v="309719.11"/>
    <n v="2701777004"/>
    <s v="Actual"/>
    <s v="Long Maturity"/>
    <n v="402"/>
    <x v="502"/>
    <n v="411672.69"/>
    <x v="11"/>
    <d v="2018-07-03T00:00:00"/>
    <n v="29.095890410958901"/>
    <d v="2044-02-15T00:00:00"/>
    <n v="307"/>
    <n v="278"/>
    <d v="2021-01-06T00:00:00"/>
    <s v="Nexa Business Inc. &amp; AFS Business Inc. dba Cross Roads Corner Store #7"/>
    <s v="Rosenberg, TX 77469"/>
    <n v="77469"/>
    <x v="0"/>
    <x v="4"/>
    <s v="Q"/>
    <s v=""/>
    <s v=""/>
    <x v="2"/>
    <n v="0.01"/>
    <s v="Wallis State Bank"/>
    <s v="Gasoline Stations with Convenience Stores"/>
  </r>
  <r>
    <n v="309749.11"/>
    <n v="3587437007"/>
    <s v="Actual"/>
    <s v="Long Maturity"/>
    <n v="402"/>
    <x v="503"/>
    <n v="209586.78"/>
    <x v="18"/>
    <d v="2019-04-12T00:00:00"/>
    <n v="20.12054794520548"/>
    <d v="2044-05-15T00:00:00"/>
    <n v="301"/>
    <n v="281"/>
    <d v="2021-01-12T00:00:00"/>
    <s v="Tycori Properties LLC"/>
    <s v="Madeira Beach, FL 33708"/>
    <n v="33708"/>
    <x v="1"/>
    <x v="38"/>
    <s v="Q"/>
    <s v=""/>
    <s v=""/>
    <x v="4"/>
    <n v="0.03"/>
    <s v="Live Oak Banking Co."/>
    <s v="Insurance Agencies and Brokerages"/>
  </r>
  <r>
    <n v="310125.11"/>
    <n v="2009387009"/>
    <s v="Actual"/>
    <s v="Long Maturity"/>
    <n v="402"/>
    <x v="504"/>
    <n v="1700428.4"/>
    <x v="18"/>
    <d v="2018-03-01T00:00:00"/>
    <n v="33.041095890410958"/>
    <d v="2044-04-15T00:00:00"/>
    <n v="313"/>
    <n v="280"/>
    <d v="2021-01-03T00:00:00"/>
    <s v="Markham Assets LLC dba Markham Country Truck Stop"/>
    <s v="Sugar Land, TX 77479"/>
    <n v="77479"/>
    <x v="0"/>
    <x v="4"/>
    <s v="Q"/>
    <s v=""/>
    <s v=""/>
    <x v="3"/>
    <n v="0.01"/>
    <s v="Wallis State Bank"/>
    <s v="Gasoline Stations with Convenience Stores"/>
  </r>
  <r>
    <n v="310719.11"/>
    <n v="3798027002"/>
    <s v="Actual"/>
    <s v="Long Maturity"/>
    <n v="402"/>
    <x v="505"/>
    <n v="472654.1"/>
    <x v="55"/>
    <d v="2019-06-25T00:00:00"/>
    <n v="17.399999999999999"/>
    <d v="2045-01-15T00:00:00"/>
    <n v="307"/>
    <n v="289"/>
    <d v="2021-01-10T00:00:00"/>
    <s v="Jackson Grey Investmnets LLC and MOD Tribe Boutique LLC"/>
    <s v="Odessa, FL 33556"/>
    <n v="33556"/>
    <x v="1"/>
    <x v="125"/>
    <s v="Q"/>
    <s v=""/>
    <s v=""/>
    <x v="2"/>
    <n v="0.03"/>
    <s v="Cadence Bank"/>
    <s v="Women's Clothing Stores"/>
  </r>
  <r>
    <n v="310731.11"/>
    <n v="4058097000"/>
    <s v="Actual"/>
    <s v="Long Maturity"/>
    <n v="402"/>
    <x v="506"/>
    <n v="1362447.3600000001"/>
    <x v="5"/>
    <d v="2019-11-01T00:00:00"/>
    <n v="14.005479452054796"/>
    <d v="2044-12-15T00:00:00"/>
    <n v="301"/>
    <n v="288"/>
    <d v="2021-01-29T00:00:00"/>
    <s v="Crab Du Jour of Delran Inc"/>
    <s v="Delran, NJ 08075"/>
    <n v="8075"/>
    <x v="17"/>
    <x v="3"/>
    <s v="Q"/>
    <s v=""/>
    <s v=""/>
    <x v="3"/>
    <n v="0.03"/>
    <s v="Celtic Bank"/>
    <s v="Full-Service Restaurants"/>
  </r>
  <r>
    <n v="311047.11"/>
    <n v="3270067005"/>
    <s v="Actual"/>
    <s v="Long Maturity"/>
    <n v="402"/>
    <x v="507"/>
    <n v="118154.35"/>
    <x v="49"/>
    <d v="2018-12-19T00:00:00"/>
    <n v="23.868493150684934"/>
    <d v="2034-01-15T00:00:00"/>
    <n v="181"/>
    <n v="157"/>
    <d v="2021-01-12T00:00:00"/>
    <s v="Werk Force Brewing Co."/>
    <s v="Plainfield, IL 60586"/>
    <n v="60586"/>
    <x v="3"/>
    <x v="12"/>
    <s v="Q"/>
    <s v=""/>
    <s v=""/>
    <x v="0"/>
    <n v="0.03"/>
    <s v="Live Oak Banking Co."/>
    <s v="Breweries"/>
  </r>
  <r>
    <n v="311057.11"/>
    <n v="2382277009"/>
    <s v="Actual"/>
    <s v="Long Maturity"/>
    <n v="402"/>
    <x v="508"/>
    <n v="223796.46"/>
    <x v="18"/>
    <d v="2018-04-13T00:00:00"/>
    <n v="32.087671232876716"/>
    <d v="2044-02-15T00:00:00"/>
    <n v="310"/>
    <n v="278"/>
    <d v="2021-01-12T00:00:00"/>
    <s v="Cambridge Valley Self Storage"/>
    <s v="Newtown, CT 06470"/>
    <n v="6470"/>
    <x v="36"/>
    <x v="7"/>
    <s v="Q"/>
    <s v=""/>
    <s v=""/>
    <x v="3"/>
    <n v="0.01"/>
    <s v="Live Oak Banking Co."/>
    <s v="Lessors of Miniwarehouses and Self-Storage Units"/>
  </r>
  <r>
    <n v="311061.11"/>
    <n v="1000257004"/>
    <s v="Actual"/>
    <s v="Long Maturity"/>
    <n v="402"/>
    <x v="509"/>
    <n v="1110821"/>
    <x v="11"/>
    <d v="2017-11-02T00:00:00"/>
    <n v="37.413698630136984"/>
    <d v="2044-02-15T00:00:00"/>
    <n v="315"/>
    <n v="278"/>
    <d v="2021-01-12T00:00:00"/>
    <s v="Patriots Park Dental LLC"/>
    <s v="Evans, GA 30809"/>
    <n v="30809"/>
    <x v="2"/>
    <x v="6"/>
    <s v="Q"/>
    <s v=""/>
    <s v=""/>
    <x v="3"/>
    <n v="0"/>
    <s v="Live Oak Banking Co."/>
    <s v="Offices of Dentists"/>
  </r>
  <r>
    <n v="311074.11"/>
    <n v="1763557009"/>
    <s v="Actual"/>
    <s v="Long Maturity"/>
    <n v="402"/>
    <x v="510"/>
    <n v="2142558.33"/>
    <x v="11"/>
    <d v="2018-05-04T00:00:00"/>
    <n v="31.397260273972599"/>
    <d v="2044-06-15T00:00:00"/>
    <n v="313"/>
    <n v="282"/>
    <d v="2021-01-12T00:00:00"/>
    <s v="Keever Pharmacy"/>
    <s v="Lincolnton, NC 28092"/>
    <n v="28092"/>
    <x v="6"/>
    <x v="110"/>
    <s v="Q"/>
    <s v=""/>
    <s v=""/>
    <x v="3"/>
    <n v="0.01"/>
    <s v="Live Oak Banking Co."/>
    <s v="Pharmacies and Drug Stores"/>
  </r>
  <r>
    <n v="311075.11"/>
    <n v="2066767001"/>
    <s v="Actual"/>
    <s v="Long Maturity"/>
    <n v="402"/>
    <x v="511"/>
    <n v="1563712.59"/>
    <x v="18"/>
    <d v="2018-02-09T00:00:00"/>
    <n v="34.158904109589045"/>
    <d v="2044-03-15T00:00:00"/>
    <n v="313"/>
    <n v="279"/>
    <d v="2021-01-12T00:00:00"/>
    <s v="Lake Alfred Self Storage LLC"/>
    <s v="North Salt Lake, UT 84054"/>
    <n v="84054"/>
    <x v="34"/>
    <x v="7"/>
    <s v="Q"/>
    <s v=""/>
    <s v=""/>
    <x v="3"/>
    <n v="0.01"/>
    <s v="Live Oak Banking Co."/>
    <s v="Lessors of Miniwarehouses and Self-Storage Units"/>
  </r>
  <r>
    <n v="311212.11"/>
    <n v="3947047002"/>
    <s v="Actual"/>
    <s v="Long Maturity"/>
    <n v="402"/>
    <x v="512"/>
    <n v="376852.65"/>
    <x v="11"/>
    <d v="2019-09-11T00:00:00"/>
    <n v="15"/>
    <d v="2045-04-15T00:00:00"/>
    <n v="307"/>
    <n v="292"/>
    <d v="2021-01-11T00:00:00"/>
    <s v="AGG Real Estate, LLC"/>
    <s v="Arvada, CO 80002"/>
    <n v="80002"/>
    <x v="33"/>
    <x v="8"/>
    <s v="Q"/>
    <s v=""/>
    <s v=""/>
    <x v="1"/>
    <n v="0.03"/>
    <s v="Midwest Regional Bank"/>
    <s v="General Automotive Repair"/>
  </r>
  <r>
    <n v="312223.11"/>
    <n v="2904818206"/>
    <s v="Actual"/>
    <s v="Long Maturity"/>
    <n v="402"/>
    <x v="513"/>
    <n v="411307.81"/>
    <x v="19"/>
    <d v="2020-08-13T00:00:00"/>
    <n v="3.978082191780822"/>
    <d v="2045-09-15T00:00:00"/>
    <n v="301"/>
    <n v="297"/>
    <d v="2021-01-12T00:00:00"/>
    <s v="Ark Defense LLC"/>
    <s v="Virginia Beach, VA 23454"/>
    <n v="23454"/>
    <x v="29"/>
    <x v="157"/>
    <s v="Q"/>
    <s v=""/>
    <s v=""/>
    <x v="4"/>
    <n v="0.05"/>
    <s v="Fortune Bank"/>
    <s v="Wholesale Trade Agents and Brokers"/>
  </r>
  <r>
    <n v="312504.11"/>
    <n v="4088317006"/>
    <s v="Actual"/>
    <s v="Long Maturity"/>
    <n v="402"/>
    <x v="514"/>
    <n v="124237.02"/>
    <x v="18"/>
    <d v="2020-01-15T00:00:00"/>
    <n v="10.684931506849315"/>
    <d v="2035-01-15T00:00:00"/>
    <n v="180"/>
    <n v="169"/>
    <d v="2021-01-05T00:00:00"/>
    <s v="6827 E 9 Mile LLC"/>
    <s v="Warren, MI 48091"/>
    <n v="48091"/>
    <x v="8"/>
    <x v="118"/>
    <s v="Q"/>
    <s v=""/>
    <s v=""/>
    <x v="0"/>
    <n v="0.05"/>
    <s v="The Huntington National Bank"/>
    <s v="Residential Remodelers"/>
  </r>
  <r>
    <n v="312756.11"/>
    <n v="4281207010"/>
    <s v="Actual"/>
    <s v="Long Maturity"/>
    <n v="402"/>
    <x v="515"/>
    <n v="436311.98"/>
    <x v="15"/>
    <d v="2020-04-30T00:00:00"/>
    <n v="7.1342465753424662"/>
    <d v="2036-06-15T00:00:00"/>
    <n v="194"/>
    <n v="186"/>
    <d v="2021-01-04T00:00:00"/>
    <s v="Vendley's Real Estate LLC"/>
    <s v="Mt. Pleasant, MI 48858"/>
    <n v="48858"/>
    <x v="8"/>
    <x v="72"/>
    <s v="Q"/>
    <s v=""/>
    <s v=""/>
    <x v="1"/>
    <n v="0.05"/>
    <s v="First Business Bank"/>
    <s v="Supermarkets and Other Grocery (except Convenience) Stores"/>
  </r>
  <r>
    <n v="304360.11"/>
    <n v="9368355001"/>
    <s v="Actual"/>
    <s v="Long Maturity"/>
    <n v="402"/>
    <x v="516"/>
    <n v="528412.91"/>
    <x v="22"/>
    <d v="2017-04-06T00:00:00"/>
    <n v="44.087671232876716"/>
    <d v="2037-05-15T00:00:00"/>
    <n v="241"/>
    <n v="197"/>
    <d v="2021-01-05T00:00:00"/>
    <s v="Coastal MI Box LLC"/>
    <s v="Hampton, NH 03842"/>
    <n v="3842"/>
    <x v="42"/>
    <x v="7"/>
    <s v="Q"/>
    <s v=""/>
    <s v=""/>
    <x v="3"/>
    <n v="0"/>
    <s v="Live Oak Banking Co."/>
    <s v="Lessors of Miniwarehouses and Self-Storage Units"/>
  </r>
  <r>
    <n v="308245.11"/>
    <n v="3601377010"/>
    <s v="Actual"/>
    <s v="Long Maturity"/>
    <n v="402"/>
    <x v="517"/>
    <n v="1866509.38"/>
    <x v="11"/>
    <d v="2019-03-15T00:00:00"/>
    <n v="21.073972602739726"/>
    <d v="2044-04-15T00:00:00"/>
    <n v="301"/>
    <n v="280"/>
    <d v="2021-01-28T00:00:00"/>
    <s v="Dutchbrothers 5 Marietta Operations LLC"/>
    <s v="Marietta, GA 30066"/>
    <n v="30066"/>
    <x v="2"/>
    <x v="0"/>
    <s v="Q"/>
    <s v=""/>
    <s v=""/>
    <x v="2"/>
    <n v="0.03"/>
    <s v="Celtic Bank"/>
    <s v="Child Day Care Services"/>
  </r>
  <r>
    <n v="308246.11"/>
    <n v="3601757006"/>
    <s v="Actual"/>
    <s v="Long Maturity"/>
    <n v="402"/>
    <x v="518"/>
    <n v="1758631.44"/>
    <x v="44"/>
    <d v="2019-03-15T00:00:00"/>
    <n v="21.073972602739726"/>
    <d v="2044-04-15T00:00:00"/>
    <n v="301"/>
    <n v="280"/>
    <d v="2021-01-28T00:00:00"/>
    <s v="Dutchbrothers 6 Lawrenceville Operations LLC"/>
    <s v="Lawrenceville, GA 30043"/>
    <n v="30043"/>
    <x v="2"/>
    <x v="0"/>
    <s v="Q"/>
    <s v=""/>
    <s v=""/>
    <x v="2"/>
    <n v="0.03"/>
    <s v="Celtic Bank"/>
    <s v="Child Day Care Services"/>
  </r>
  <r>
    <n v="309466.11"/>
    <n v="2961017006"/>
    <s v="Actual"/>
    <s v="Long Maturity"/>
    <n v="402"/>
    <x v="519"/>
    <n v="1364858.11"/>
    <x v="19"/>
    <d v="2018-10-17T00:00:00"/>
    <n v="24.920547945205481"/>
    <d v="2043-11-15T00:00:00"/>
    <n v="301"/>
    <n v="275"/>
    <d v="2020-12-30T00:00:00"/>
    <s v="JKD Car Wash Inc and JKA Car Wash LLC"/>
    <s v="Midlothian, TX 76065"/>
    <n v="76065"/>
    <x v="0"/>
    <x v="16"/>
    <s v="Q"/>
    <s v=""/>
    <s v=""/>
    <x v="6"/>
    <n v="0.01"/>
    <s v="MetroCity Bank"/>
    <s v="Car Washes"/>
  </r>
  <r>
    <n v="310052.11"/>
    <n v="4010567000"/>
    <s v="Actual"/>
    <s v="Long Maturity"/>
    <n v="402"/>
    <x v="520"/>
    <n v="1808624.51"/>
    <x v="13"/>
    <d v="2019-11-15T00:00:00"/>
    <n v="13.019178082191781"/>
    <d v="2045-03-15T00:00:00"/>
    <n v="304"/>
    <n v="291"/>
    <d v="2021-01-15T00:00:00"/>
    <s v="Monsters Express LLC"/>
    <s v="Stuart, FL 34994"/>
    <n v="34994"/>
    <x v="1"/>
    <x v="16"/>
    <s v="Q"/>
    <s v=""/>
    <s v=""/>
    <x v="6"/>
    <n v="0.03"/>
    <s v="Paradise Bank"/>
    <s v="Car Washes"/>
  </r>
  <r>
    <n v="310200.11"/>
    <n v="4134067005"/>
    <s v="Actual"/>
    <s v="Long Maturity"/>
    <n v="402"/>
    <x v="521"/>
    <n v="384089.53"/>
    <x v="12"/>
    <d v="2019-12-18T00:00:00"/>
    <n v="11.572602739726028"/>
    <d v="2045-01-15T00:00:00"/>
    <n v="301"/>
    <n v="289"/>
    <d v="2021-01-04T00:00:00"/>
    <s v="Aria Driving School"/>
    <s v="Ozone Park, NY 11417"/>
    <n v="11417"/>
    <x v="15"/>
    <x v="158"/>
    <s v="Q"/>
    <s v=""/>
    <s v=""/>
    <x v="5"/>
    <n v="0.05"/>
    <s v="Pacific City Bank"/>
    <s v="Automobile Driving Schools"/>
  </r>
  <r>
    <n v="310723.11"/>
    <n v="4043457009"/>
    <s v="Actual"/>
    <s v="Long Maturity"/>
    <n v="402"/>
    <x v="522"/>
    <n v="619800.68000000005"/>
    <x v="5"/>
    <d v="2019-11-15T00:00:00"/>
    <n v="13.019178082191781"/>
    <d v="2044-12-15T00:00:00"/>
    <n v="301"/>
    <n v="288"/>
    <d v="2021-01-15T00:00:00"/>
    <s v="Gentle Family Dentistry PC"/>
    <s v="Stone Mountain, GA 30083"/>
    <n v="30083"/>
    <x v="2"/>
    <x v="6"/>
    <s v="Q"/>
    <s v=""/>
    <s v=""/>
    <x v="3"/>
    <n v="0.03"/>
    <s v="North State Bank"/>
    <s v="Offices of Dentists"/>
  </r>
  <r>
    <n v="310782.11"/>
    <n v="3913447006"/>
    <s v="Actual"/>
    <s v="Long Maturity"/>
    <n v="402"/>
    <x v="523"/>
    <n v="1459015.55"/>
    <x v="5"/>
    <d v="2019-09-13T00:00:00"/>
    <n v="14.958904109589042"/>
    <d v="2044-10-15T00:00:00"/>
    <n v="301"/>
    <n v="286"/>
    <d v="2021-01-28T00:00:00"/>
    <s v="Gautam Hospitality Inc."/>
    <s v="Holbrook, AZ 86025"/>
    <n v="86025"/>
    <x v="5"/>
    <x v="19"/>
    <s v="Q"/>
    <s v=""/>
    <s v=""/>
    <x v="3"/>
    <n v="0.03"/>
    <s v="Celtic Bank"/>
    <s v="Hotels (except Casino Hotels) and Motels"/>
  </r>
  <r>
    <n v="310874.11"/>
    <n v="4228267007"/>
    <s v="Actual"/>
    <s v="Long Maturity"/>
    <n v="402"/>
    <x v="524"/>
    <n v="3623353.28"/>
    <x v="19"/>
    <d v="2020-02-14T00:00:00"/>
    <n v="9.9945205479452053"/>
    <d v="2045-03-15T00:00:00"/>
    <n v="301"/>
    <n v="291"/>
    <d v="2021-01-28T00:00:00"/>
    <s v="Chahal Enterprise Inc. #1"/>
    <s v="Visalia, CA 93277"/>
    <n v="93277"/>
    <x v="10"/>
    <x v="4"/>
    <s v="Q"/>
    <s v=""/>
    <s v=""/>
    <x v="5"/>
    <n v="0.05"/>
    <s v="Celtic Bank"/>
    <s v="Gasoline Stations with Convenience Stores"/>
  </r>
  <r>
    <n v="311513.11"/>
    <n v="4211217007"/>
    <s v="Actual"/>
    <s v="Long Maturity"/>
    <n v="402"/>
    <x v="525"/>
    <n v="782135.98"/>
    <x v="13"/>
    <d v="2020-02-04T00:00:00"/>
    <n v="9.3000000000000007"/>
    <d v="2045-03-15T00:00:00"/>
    <n v="301"/>
    <n v="291"/>
    <d v="2021-01-13T00:00:00"/>
    <s v="Raprager LLC"/>
    <s v="Odessa, FL 33556"/>
    <n v="33556"/>
    <x v="1"/>
    <x v="159"/>
    <s v="Q"/>
    <s v=""/>
    <s v=""/>
    <x v="4"/>
    <n v="0.05"/>
    <s v="CenterState Bank, National Associati"/>
    <s v="Nursery and Tree Production"/>
  </r>
  <r>
    <n v="312414.11"/>
    <n v="3544807000"/>
    <s v="Actual"/>
    <s v="Long Maturity"/>
    <n v="402"/>
    <x v="526"/>
    <n v="278608.43"/>
    <x v="49"/>
    <d v="2019-03-25T00:00:00"/>
    <n v="20.2"/>
    <d v="2034-01-15T00:00:00"/>
    <n v="178"/>
    <n v="157"/>
    <d v="2021-01-01T00:00:00"/>
    <s v="1487 Brewpub 1, LLC"/>
    <s v="Alexandria, OH 43001"/>
    <n v="43001"/>
    <x v="9"/>
    <x v="12"/>
    <s v="Q"/>
    <s v=""/>
    <s v=""/>
    <x v="0"/>
    <n v="0"/>
    <s v="Peoples Bank National Association"/>
    <s v="Breweries"/>
  </r>
  <r>
    <n v="309147.11"/>
    <n v="3779617007"/>
    <s v="Actual"/>
    <s v="Long Maturity"/>
    <n v="402"/>
    <x v="527"/>
    <n v="402441.31"/>
    <x v="13"/>
    <d v="2019-06-13T00:00:00"/>
    <n v="18.082191780821919"/>
    <d v="2044-07-15T00:00:00"/>
    <n v="301"/>
    <n v="283"/>
    <d v="2021-01-14T00:00:00"/>
    <s v="Suds One, Inc. &amp; Ysk, LLC"/>
    <s v="Odenton, MD 21113"/>
    <n v="21113"/>
    <x v="19"/>
    <x v="160"/>
    <s v="Q"/>
    <s v=""/>
    <s v=""/>
    <x v="5"/>
    <n v="0.03"/>
    <s v="PromiseOne Bank"/>
    <s v="Barber Shops"/>
  </r>
  <r>
    <n v="309894.11"/>
    <n v="4075397009"/>
    <s v="Actual"/>
    <s v="Long Maturity"/>
    <n v="402"/>
    <x v="528"/>
    <n v="128801.49"/>
    <x v="46"/>
    <d v="2019-11-15T00:00:00"/>
    <n v="12.920547945205477"/>
    <d v="2044-12-15T00:00:00"/>
    <n v="301"/>
    <n v="288"/>
    <d v="2021-01-12T00:00:00"/>
    <s v="Ready Ride Auto LLC"/>
    <s v="Cadott, WI 54727"/>
    <n v="54727"/>
    <x v="14"/>
    <x v="161"/>
    <s v="Q"/>
    <s v=""/>
    <s v=""/>
    <x v="1"/>
    <n v="0.03"/>
    <s v="ByLine Bank"/>
    <s v="Special Needs Transportation"/>
  </r>
  <r>
    <n v="311496.11"/>
    <n v="3836867009"/>
    <s v="Actual"/>
    <s v="Long Maturity"/>
    <n v="402"/>
    <x v="529"/>
    <n v="2548603.5499999998"/>
    <x v="18"/>
    <d v="2020-03-27T00:00:00"/>
    <n v="8.6136986301369873"/>
    <d v="2045-04-15T00:00:00"/>
    <n v="301"/>
    <n v="292"/>
    <d v="2021-01-06T00:00:00"/>
    <s v="Innovative Wellness Center, P.C."/>
    <s v="Jamesburg, NJ 08831"/>
    <n v="8831"/>
    <x v="17"/>
    <x v="35"/>
    <s v="Q"/>
    <s v=""/>
    <s v=""/>
    <x v="0"/>
    <n v="0.05"/>
    <s v="Peapack Gladstone Bank"/>
    <s v="Offices of Chiropractors"/>
  </r>
  <r>
    <n v="312356.11"/>
    <n v="5161538207"/>
    <s v="Actual"/>
    <s v="Long Maturity"/>
    <n v="402"/>
    <x v="530"/>
    <n v="635964.84"/>
    <x v="4"/>
    <d v="2020-08-14T00:00:00"/>
    <n v="4.0109589041095894"/>
    <d v="2035-09-15T00:00:00"/>
    <n v="181"/>
    <n v="177"/>
    <d v="2021-01-14T00:00:00"/>
    <s v="Legacy Jewelers LLC and Blamo LLC"/>
    <s v="Noblesville, IN 46060"/>
    <n v="46060"/>
    <x v="39"/>
    <x v="162"/>
    <s v="Q"/>
    <s v=""/>
    <s v=""/>
    <x v="2"/>
    <n v="0.05"/>
    <s v="KeyBank - East"/>
    <s v="Jewelry Stores"/>
  </r>
  <r>
    <n v="312683.11"/>
    <n v="7732298200"/>
    <s v="Actual"/>
    <s v="Long Maturity"/>
    <n v="402"/>
    <x v="531"/>
    <n v="2007026.64"/>
    <x v="20"/>
    <d v="2020-09-14T00:00:00"/>
    <n v="2.9917808219178084"/>
    <d v="2033-10-15T00:00:00"/>
    <n v="157"/>
    <n v="154"/>
    <d v="2021-01-14T00:00:00"/>
    <s v="Purple Peony Inc."/>
    <s v="Fort Collins, CO 80524"/>
    <n v="80524"/>
    <x v="33"/>
    <x v="163"/>
    <s v="Q"/>
    <s v=""/>
    <s v=""/>
    <x v="4"/>
    <n v="0"/>
    <s v="KeyBank - West"/>
    <s v="Coffee and Tea Manufacturing"/>
  </r>
  <r>
    <n v="303423.11"/>
    <n v="9873335007"/>
    <s v="Actual"/>
    <s v="Long Maturity"/>
    <n v="402"/>
    <x v="532"/>
    <n v="59723.41"/>
    <x v="29"/>
    <d v="2017-10-18T00:00:00"/>
    <n v="38.133333333333333"/>
    <d v="2042-11-15T00:00:00"/>
    <n v="301"/>
    <n v="263"/>
    <d v="2021-01-19T00:00:00"/>
    <s v="Kimberly &amp; Erin Bussard"/>
    <s v="Morrisville, MO 65710"/>
    <n v="65710"/>
    <x v="28"/>
    <x v="164"/>
    <s v="Q"/>
    <s v=""/>
    <s v=""/>
    <x v="5"/>
    <n v="0"/>
    <s v="OakStar Bank"/>
    <s v="Private Households"/>
  </r>
  <r>
    <n v="307335.11"/>
    <n v="3258767000"/>
    <s v="Actual"/>
    <s v="Long Maturity"/>
    <n v="402"/>
    <x v="533"/>
    <n v="114892.34"/>
    <x v="18"/>
    <d v="2018-12-04T00:00:00"/>
    <n v="24.460273972602742"/>
    <d v="2044-01-15T00:00:00"/>
    <n v="301"/>
    <n v="277"/>
    <d v="2021-01-15T00:00:00"/>
    <s v="SunSunny, Inc. dba Sammy Food Mart"/>
    <s v="Arlington, TX 76015"/>
    <n v="76015"/>
    <x v="0"/>
    <x v="4"/>
    <s v="Q"/>
    <s v=""/>
    <s v=""/>
    <x v="1"/>
    <n v="0.01"/>
    <s v="Gulf Coast Bank and Trust"/>
    <s v="Gasoline Stations with Convenience Stores"/>
  </r>
  <r>
    <n v="307958.11"/>
    <n v="1806497005"/>
    <s v="Actual"/>
    <s v="Long Maturity"/>
    <n v="402"/>
    <x v="534"/>
    <n v="2906017.13"/>
    <x v="15"/>
    <d v="2018-01-05T00:00:00"/>
    <n v="35.57260273972603"/>
    <d v="2044-02-15T00:00:00"/>
    <n v="313"/>
    <n v="278"/>
    <d v="2020-12-22T00:00:00"/>
    <s v="Scotsman Holdings, LLC"/>
    <s v="Morgan, UT 84050"/>
    <n v="84050"/>
    <x v="34"/>
    <x v="7"/>
    <s v="Q"/>
    <s v=""/>
    <s v=""/>
    <x v="1"/>
    <n v="0.01"/>
    <s v="Utah First Federal Credit Union"/>
    <s v="Lessors of Miniwarehouses and Self-Storage Units"/>
  </r>
  <r>
    <n v="308463.11"/>
    <n v="3631207006"/>
    <s v="Actual"/>
    <s v="Long Maturity"/>
    <n v="402"/>
    <x v="535"/>
    <n v="35815.279999999999"/>
    <x v="62"/>
    <d v="2019-04-25T00:00:00"/>
    <n v="19.726027397260275"/>
    <d v="2044-05-15T00:00:00"/>
    <n v="301"/>
    <n v="281"/>
    <d v="2021-01-15T00:00:00"/>
    <s v="Lou's Fish LLC &amp; Crew 17 LLC"/>
    <s v="Two Harbors, MN 55616"/>
    <n v="55616"/>
    <x v="24"/>
    <x v="165"/>
    <s v="Q"/>
    <s v=""/>
    <s v=""/>
    <x v="1"/>
    <n v="0.03"/>
    <s v="Northeast Entrepreneur Fund, Inc."/>
    <s v="Fish and Seafood Markets"/>
  </r>
  <r>
    <n v="309113.11"/>
    <n v="3800437007"/>
    <s v="Actual"/>
    <s v="Long Maturity"/>
    <n v="402"/>
    <x v="536"/>
    <n v="160161.41"/>
    <x v="13"/>
    <d v="2019-07-12T00:00:00"/>
    <n v="17.063013698630137"/>
    <d v="2044-08-15T00:00:00"/>
    <n v="301"/>
    <n v="284"/>
    <d v="2021-01-09T00:00:00"/>
    <s v="The Robinson Group, LLC"/>
    <s v="Montgomery, AL 36106"/>
    <n v="36106"/>
    <x v="35"/>
    <x v="38"/>
    <s v="Q"/>
    <s v=""/>
    <s v=""/>
    <x v="5"/>
    <n v="0.03"/>
    <s v="Synovus Bank"/>
    <s v="Insurance Agencies and Brokerages"/>
  </r>
  <r>
    <n v="309817.11"/>
    <n v="4043967009"/>
    <s v="Actual"/>
    <s v="Long Maturity"/>
    <n v="402"/>
    <x v="537"/>
    <n v="254939.43"/>
    <x v="37"/>
    <d v="2019-10-31T00:00:00"/>
    <n v="13.512328767123286"/>
    <d v="2044-11-15T00:00:00"/>
    <n v="301"/>
    <n v="287"/>
    <d v="2021-01-15T00:00:00"/>
    <s v="Train the Brain LLC dba Duluth Core Learning"/>
    <s v="Duluth, MN 55802"/>
    <n v="55802"/>
    <x v="24"/>
    <x v="40"/>
    <s v="Q"/>
    <s v=""/>
    <s v=""/>
    <x v="4"/>
    <n v="0.03"/>
    <s v="Northeast Entrepreneur Fund, Inc."/>
    <s v="Educational Support Services"/>
  </r>
  <r>
    <n v="309818.11"/>
    <n v="4046107004"/>
    <s v="Actual"/>
    <s v="Long Maturity"/>
    <n v="402"/>
    <x v="538"/>
    <n v="66231.289999999994"/>
    <x v="46"/>
    <d v="2019-10-31T00:00:00"/>
    <n v="13.512328767123286"/>
    <d v="2044-11-15T00:00:00"/>
    <n v="301"/>
    <n v="287"/>
    <d v="2021-01-15T00:00:00"/>
    <s v="Innovative Pest Solutions LLC"/>
    <s v="Superior, WI 54880"/>
    <n v="54880"/>
    <x v="14"/>
    <x v="152"/>
    <s v="Q"/>
    <s v=""/>
    <s v=""/>
    <x v="1"/>
    <n v="0.03"/>
    <s v="Northeast Entrepreneur Fund, Inc."/>
    <s v="Lessors of Other Real Estate Property"/>
  </r>
  <r>
    <n v="306736.11"/>
    <n v="9482055009"/>
    <s v="Actual"/>
    <s v="Long Maturity"/>
    <n v="402"/>
    <x v="539"/>
    <n v="1554009.36"/>
    <x v="24"/>
    <d v="2017-06-15T00:00:00"/>
    <n v="42.049315068493151"/>
    <d v="2042-11-15T00:00:00"/>
    <n v="305"/>
    <n v="263"/>
    <d v="2021-01-15T00:00:00"/>
    <s v="C&amp;P Holdings of Clawson, LLC, Han Brothers Inc. and Osaka, Inc."/>
    <s v="Clawson, MI 48017"/>
    <n v="48017"/>
    <x v="8"/>
    <x v="3"/>
    <s v="Q"/>
    <s v=""/>
    <s v=""/>
    <x v="1"/>
    <n v="0"/>
    <s v="First Chatham Bank"/>
    <s v="Full-Service Restaurants"/>
  </r>
  <r>
    <n v="308787.11"/>
    <n v="3782777010"/>
    <s v="Actual"/>
    <s v="Long Maturity"/>
    <n v="402"/>
    <x v="540"/>
    <n v="2889717.65"/>
    <x v="39"/>
    <d v="2019-06-14T00:00:00"/>
    <n v="17.766666666666666"/>
    <d v="2044-07-15T00:00:00"/>
    <n v="301"/>
    <n v="283"/>
    <d v="2021-01-08T00:00:00"/>
    <s v="Mahavir Hotels LLC dba Super 8"/>
    <s v="Henrietta, NY 14467"/>
    <n v="14467"/>
    <x v="15"/>
    <x v="19"/>
    <s v="Q"/>
    <s v=""/>
    <s v=""/>
    <x v="7"/>
    <n v="0.03"/>
    <s v="Savoy Bank"/>
    <s v="Hotels (except Casino Hotels) and Motels"/>
  </r>
  <r>
    <n v="309036.11"/>
    <n v="3830537003"/>
    <s v="Actual"/>
    <s v="Long Maturity"/>
    <n v="402"/>
    <x v="541"/>
    <n v="2844069.53"/>
    <x v="13"/>
    <d v="2019-07-18T00:00:00"/>
    <n v="17.063013698630137"/>
    <d v="2044-08-15T00:00:00"/>
    <n v="301"/>
    <n v="284"/>
    <d v="2021-01-18T00:00:00"/>
    <s v="A&amp;B Bradenton Investment LLC"/>
    <s v="Bradenton, FL 34208"/>
    <n v="34208"/>
    <x v="1"/>
    <x v="19"/>
    <s v="Q"/>
    <s v=""/>
    <s v=""/>
    <x v="3"/>
    <n v="0.03"/>
    <s v="CIBM Bank"/>
    <s v="Hotels (except Casino Hotels) and Motels"/>
  </r>
  <r>
    <n v="309356.11"/>
    <n v="2433837001"/>
    <s v="Actual"/>
    <s v="Long Maturity"/>
    <n v="402"/>
    <x v="542"/>
    <n v="196783.45"/>
    <x v="15"/>
    <d v="2019-09-04T00:00:00"/>
    <n v="15.386301369863014"/>
    <d v="2044-10-15T00:00:00"/>
    <n v="301"/>
    <n v="286"/>
    <d v="2021-01-15T00:00:00"/>
    <s v="Alllee Investments, LLC dba A Brighter Day Learning Academy II"/>
    <s v="Stone Mountain, GA 30083"/>
    <n v="30083"/>
    <x v="2"/>
    <x v="0"/>
    <s v="Q"/>
    <s v=""/>
    <s v=""/>
    <x v="1"/>
    <n v="0.03"/>
    <s v="First Chatham Bank"/>
    <s v="Child Day Care Services"/>
  </r>
  <r>
    <n v="310201.11"/>
    <n v="4133477008"/>
    <s v="Actual"/>
    <s v="Long Maturity"/>
    <n v="402"/>
    <x v="543"/>
    <n v="144158.76"/>
    <x v="13"/>
    <d v="2019-12-11T00:00:00"/>
    <n v="11.572602739726028"/>
    <d v="2045-01-15T00:00:00"/>
    <n v="301"/>
    <n v="289"/>
    <d v="2021-01-04T00:00:00"/>
    <s v="Adkins Store"/>
    <s v="Charles City, VA 23030"/>
    <n v="23030"/>
    <x v="29"/>
    <x v="4"/>
    <s v="Q"/>
    <s v=""/>
    <s v=""/>
    <x v="6"/>
    <n v="0.05"/>
    <s v="Pacific City Bank"/>
    <s v="Gasoline Stations with Convenience Stores"/>
  </r>
  <r>
    <n v="310220.11"/>
    <n v="4151647004"/>
    <s v="Actual"/>
    <s v="Long Maturity"/>
    <n v="402"/>
    <x v="544"/>
    <n v="781887.01"/>
    <x v="19"/>
    <d v="2019-12-16T00:00:00"/>
    <n v="12"/>
    <d v="2045-01-15T00:00:00"/>
    <n v="301"/>
    <n v="289"/>
    <d v="2021-01-19T00:00:00"/>
    <s v="HP Mobile Wash Inc"/>
    <s v="Mount Vernon, WA 98273"/>
    <n v="98273"/>
    <x v="13"/>
    <x v="16"/>
    <s v="Q"/>
    <s v=""/>
    <s v=""/>
    <x v="7"/>
    <n v="0.05"/>
    <s v="UniBank"/>
    <s v="Car Washes"/>
  </r>
  <r>
    <n v="310317.11"/>
    <n v="4075927002"/>
    <s v="Actual"/>
    <s v="Long Maturity"/>
    <n v="402"/>
    <x v="545"/>
    <n v="246499.36"/>
    <x v="50"/>
    <d v="2019-12-16T00:00:00"/>
    <n v="12.263013698630136"/>
    <d v="2045-01-15T00:00:00"/>
    <n v="301"/>
    <n v="289"/>
    <d v="2021-01-16T00:00:00"/>
    <s v="J Milligan Properties LLC"/>
    <s v="Hamburg, NY 14075"/>
    <n v="14075"/>
    <x v="15"/>
    <x v="166"/>
    <s v="Q"/>
    <s v=""/>
    <s v=""/>
    <x v="2"/>
    <n v="0.03"/>
    <s v="KeyBank - East"/>
    <s v="Promoters of Performing Arts, Sports, and Similar Events without Facilities"/>
  </r>
  <r>
    <n v="310730.11"/>
    <n v="4019457009"/>
    <s v="Actual"/>
    <s v="Long Maturity"/>
    <n v="402"/>
    <x v="546"/>
    <n v="1394447.65"/>
    <x v="6"/>
    <d v="2019-11-05T00:00:00"/>
    <n v="13.347945205479453"/>
    <d v="2044-12-15T00:00:00"/>
    <n v="301"/>
    <n v="288"/>
    <d v="2021-01-15T00:00:00"/>
    <s v="Horizon Star LLC"/>
    <s v="Gainesville, GA 30501"/>
    <n v="30501"/>
    <x v="2"/>
    <x v="15"/>
    <s v="Q"/>
    <s v=""/>
    <s v=""/>
    <x v="7"/>
    <n v="0.03"/>
    <s v="Embassy National Bank"/>
    <s v="Assisted Living Facilities for the Elderly"/>
  </r>
  <r>
    <n v="310806.11"/>
    <n v="4233007004"/>
    <s v="Actual"/>
    <s v="Long Maturity"/>
    <n v="402"/>
    <x v="547"/>
    <n v="2278142.9300000002"/>
    <x v="19"/>
    <d v="2020-02-13T00:00:00"/>
    <n v="10.06027397260274"/>
    <d v="2045-03-15T00:00:00"/>
    <n v="301"/>
    <n v="291"/>
    <d v="2021-01-15T00:00:00"/>
    <s v="Anand Lodge Inc. dba Mountain Star Lodge Hotel"/>
    <s v="Austin, TX 78738"/>
    <n v="78738"/>
    <x v="0"/>
    <x v="19"/>
    <s v="Q"/>
    <s v=""/>
    <s v=""/>
    <x v="5"/>
    <n v="0.05"/>
    <s v="First Chatham Bank"/>
    <s v="Hotels (except Casino Hotels) and Motels"/>
  </r>
  <r>
    <n v="310866.11"/>
    <n v="4207817007"/>
    <s v="Actual"/>
    <s v="Long Maturity"/>
    <n v="402"/>
    <x v="548"/>
    <n v="1934226.77"/>
    <x v="63"/>
    <d v="2020-02-14T00:00:00"/>
    <n v="9.0739726027397261"/>
    <d v="2033-03-15T00:00:00"/>
    <n v="157"/>
    <n v="147"/>
    <d v="2021-01-04T00:00:00"/>
    <s v="Calbob Realty Corporation"/>
    <s v="Indianapolis, IN 46218"/>
    <n v="46218"/>
    <x v="39"/>
    <x v="25"/>
    <s v="Q"/>
    <s v=""/>
    <s v=""/>
    <x v="3"/>
    <n v="0"/>
    <s v="KeyBank - East"/>
    <s v="Machine Shops"/>
  </r>
  <r>
    <n v="312174.11"/>
    <n v="5889348103"/>
    <s v="Actual"/>
    <s v="Long Maturity"/>
    <n v="402"/>
    <x v="549"/>
    <n v="379153.16"/>
    <x v="18"/>
    <d v="2020-08-05T00:00:00"/>
    <n v="4.3726027397260276"/>
    <d v="2045-09-15T00:00:00"/>
    <n v="301"/>
    <n v="297"/>
    <d v="2021-01-17T00:00:00"/>
    <s v="Dehoyos Properties Inc and La Tamaulipeca Meat Market"/>
    <s v="LaPorte, TX 77571"/>
    <n v="77571"/>
    <x v="0"/>
    <x v="153"/>
    <s v="Q"/>
    <s v=""/>
    <s v=""/>
    <x v="0"/>
    <n v="0.05"/>
    <s v="MINT National Bank"/>
    <s v="Meat Markets"/>
  </r>
  <r>
    <n v="305122.11"/>
    <n v="9624245003"/>
    <s v="Actual"/>
    <s v="Long Maturity"/>
    <n v="402"/>
    <x v="550"/>
    <n v="1436012.03"/>
    <x v="9"/>
    <d v="2017-08-16T00:00:00"/>
    <n v="40.033333333333331"/>
    <d v="2043-03-15T00:00:00"/>
    <n v="307"/>
    <n v="267"/>
    <d v="2021-01-20T00:00:00"/>
    <s v="Zonkey Holdings LLC Co-Bwr Aardvark Animal Hospital"/>
    <s v="Garner, NC 27529"/>
    <n v="27529"/>
    <x v="6"/>
    <x v="29"/>
    <s v="Q"/>
    <s v=""/>
    <s v=""/>
    <x v="4"/>
    <n v="0"/>
    <s v="First National Bank of Pennsylvania"/>
    <s v="Veterinary Services"/>
  </r>
  <r>
    <n v="308547.11"/>
    <n v="3669147007"/>
    <s v="Actual"/>
    <s v="Long Maturity"/>
    <n v="402"/>
    <x v="551"/>
    <n v="151276.85999999999"/>
    <x v="13"/>
    <d v="2019-04-22T00:00:00"/>
    <n v="19.134246575342466"/>
    <d v="2044-05-15T00:00:00"/>
    <n v="301"/>
    <n v="281"/>
    <d v="2021-01-09T00:00:00"/>
    <s v="JGE Kim Property LLC &amp; SK America, Inc. dba American Deli"/>
    <s v="Atlanta, GA 30311"/>
    <n v="30311"/>
    <x v="2"/>
    <x v="22"/>
    <s v="Q"/>
    <s v=""/>
    <s v=""/>
    <x v="5"/>
    <n v="0.03"/>
    <s v="Open Bank"/>
    <s v="Limited-Service Restaurants"/>
  </r>
  <r>
    <n v="310234.11"/>
    <n v="3986707002"/>
    <s v="Actual"/>
    <s v="Long Maturity"/>
    <n v="402"/>
    <x v="552"/>
    <n v="116402.54"/>
    <x v="16"/>
    <d v="2019-09-24T00:00:00"/>
    <n v="14.564383561643837"/>
    <d v="2034-10-15T00:00:00"/>
    <n v="181"/>
    <n v="166"/>
    <d v="2021-01-22T00:00:00"/>
    <s v="MDS Properties LLC &amp; GLP Automotive LLC"/>
    <s v="Lake Geneva, WI 53147"/>
    <n v="53147"/>
    <x v="14"/>
    <x v="8"/>
    <s v="Q"/>
    <s v=""/>
    <s v=""/>
    <x v="3"/>
    <n v="0.03"/>
    <s v="Waukesha State Bank"/>
    <s v="General Automotive Repair"/>
  </r>
  <r>
    <n v="310279.11"/>
    <n v="4102177009"/>
    <s v="Actual"/>
    <s v="Long Maturity"/>
    <n v="402"/>
    <x v="553"/>
    <n v="241680.15"/>
    <x v="11"/>
    <d v="2019-12-18T00:00:00"/>
    <n v="12"/>
    <d v="2045-01-15T00:00:00"/>
    <n v="301"/>
    <n v="289"/>
    <d v="2021-01-17T00:00:00"/>
    <s v="Cambi Properties LLC and Absolutely Clean Services Inc"/>
    <s v="Grand Rapids, MI 49548"/>
    <n v="49548"/>
    <x v="8"/>
    <x v="26"/>
    <s v="Q"/>
    <s v=""/>
    <s v=""/>
    <x v="1"/>
    <n v="0.05"/>
    <s v="First Business Bank"/>
    <s v="Lessors of Nonresidential Buildings (except Miniwarehouses)"/>
  </r>
  <r>
    <n v="310752.11"/>
    <n v="3968297006"/>
    <s v="Actual"/>
    <s v="Long Maturity"/>
    <n v="402"/>
    <x v="554"/>
    <n v="373126.44"/>
    <x v="6"/>
    <d v="2019-10-17T00:00:00"/>
    <n v="15.123287671232877"/>
    <d v="2044-11-15T00:00:00"/>
    <n v="301"/>
    <n v="287"/>
    <d v="2021-01-19T00:00:00"/>
    <s v="Mt. Pleasant Chiropractic &amp; Rehab Llc"/>
    <s v="Racine, WI 53406"/>
    <n v="53406"/>
    <x v="14"/>
    <x v="35"/>
    <s v="Q"/>
    <s v=""/>
    <s v=""/>
    <x v="7"/>
    <n v="0.03"/>
    <s v="Bank Five Nine"/>
    <s v="Offices of Chiropractors"/>
  </r>
  <r>
    <n v="305704.11"/>
    <n v="9687085000"/>
    <s v="Actual"/>
    <s v="Long Maturity"/>
    <n v="402"/>
    <x v="555"/>
    <n v="349654.29"/>
    <x v="64"/>
    <d v="2017-08-25T00:00:00"/>
    <n v="39.912328767123284"/>
    <d v="2043-06-15T00:00:00"/>
    <n v="310"/>
    <n v="270"/>
    <d v="2021-01-20T00:00:00"/>
    <s v="Gates Enterprises LLC"/>
    <s v="Wallace, ID 83873"/>
    <n v="83873"/>
    <x v="16"/>
    <x v="4"/>
    <s v="Q"/>
    <s v=""/>
    <s v=""/>
    <x v="0"/>
    <n v="0"/>
    <s v="Northwest Bank"/>
    <s v="Gasoline Stations with Convenience Stores"/>
  </r>
  <r>
    <n v="309410.11"/>
    <n v="3935217008"/>
    <s v="Actual"/>
    <s v="Long Maturity"/>
    <n v="402"/>
    <x v="556"/>
    <n v="183584.1"/>
    <x v="11"/>
    <d v="2019-09-03T00:00:00"/>
    <n v="15.484931506849314"/>
    <d v="2044-10-15T00:00:00"/>
    <n v="301"/>
    <n v="286"/>
    <d v="2020-12-17T00:00:00"/>
    <s v="LN Gelato LLC and Nigel Langstone"/>
    <s v="Wilmington, NC 28401"/>
    <n v="28401"/>
    <x v="6"/>
    <x v="84"/>
    <s v="Q"/>
    <s v=""/>
    <s v=""/>
    <x v="2"/>
    <n v="0.03"/>
    <s v="River Valley Bank"/>
    <s v="Snack and Nonalcoholic Beverage Bars"/>
  </r>
  <r>
    <n v="310750.11"/>
    <n v="4020467009"/>
    <s v="Actual"/>
    <s v="Long Maturity"/>
    <n v="402"/>
    <x v="557"/>
    <n v="294537.07"/>
    <x v="14"/>
    <d v="2019-10-18T00:00:00"/>
    <n v="14.038356164383561"/>
    <d v="2044-11-15T00:00:00"/>
    <n v="301"/>
    <n v="287"/>
    <d v="2021-01-15T00:00:00"/>
    <s v="Awakening Potential, LLC"/>
    <s v="Deland, FL 32724"/>
    <n v="32724"/>
    <x v="1"/>
    <x v="0"/>
    <s v="Q"/>
    <s v=""/>
    <s v=""/>
    <x v="0"/>
    <n v="0.03"/>
    <s v="Celtic Bank"/>
    <s v="Child Day Care Services"/>
  </r>
  <r>
    <n v="311959.11"/>
    <n v="3890107005"/>
    <s v="Actual"/>
    <s v="Long Maturity"/>
    <n v="402"/>
    <x v="558"/>
    <n v="2479899.56"/>
    <x v="13"/>
    <d v="2019-08-19T00:00:00"/>
    <n v="15.978082191780823"/>
    <d v="2045-09-15T00:00:00"/>
    <n v="313"/>
    <n v="297"/>
    <d v="2021-01-28T00:00:00"/>
    <s v="Great White Express, LLC"/>
    <s v="Spring Hill, TN 37174"/>
    <n v="37174"/>
    <x v="30"/>
    <x v="16"/>
    <s v="Q"/>
    <s v=""/>
    <s v=""/>
    <x v="3"/>
    <n v="0.03"/>
    <s v="Celtic Bank"/>
    <s v="Car Washes"/>
  </r>
  <r>
    <n v="312159.11"/>
    <n v="4098747010"/>
    <s v="Actual"/>
    <s v="Long Maturity"/>
    <n v="402"/>
    <x v="559"/>
    <n v="202110.74"/>
    <x v="11"/>
    <d v="2019-11-18T00:00:00"/>
    <n v="13.019178082191781"/>
    <d v="2034-12-15T00:00:00"/>
    <n v="181"/>
    <n v="168"/>
    <d v="2021-01-19T00:00:00"/>
    <s v="Phuong Tran Inc"/>
    <s v="Mentor, OH 44060"/>
    <n v="44060"/>
    <x v="9"/>
    <x v="167"/>
    <s v="Q"/>
    <s v=""/>
    <s v=""/>
    <x v="1"/>
    <n v="0.03"/>
    <s v="Stearns Bank, N.A."/>
    <s v="Nail Salons"/>
  </r>
  <r>
    <n v="303369.11"/>
    <n v="8714105006"/>
    <s v="Actual"/>
    <s v="Long Maturity"/>
    <n v="402"/>
    <x v="560"/>
    <n v="2898274.28"/>
    <x v="65"/>
    <d v="2016-12-20T00:00:00"/>
    <n v="47.901369863013699"/>
    <d v="2037-01-15T00:00:00"/>
    <n v="241"/>
    <n v="193"/>
    <d v="2021-01-18T00:00:00"/>
    <s v="PCWH FL-Mandarin, LLC"/>
    <s v="Jacksonville, FL 32257"/>
    <n v="32257"/>
    <x v="1"/>
    <x v="16"/>
    <s v="Q"/>
    <s v=""/>
    <s v=""/>
    <x v="3"/>
    <n v="0"/>
    <s v="IberiaBank"/>
    <s v="Car Washes"/>
  </r>
  <r>
    <n v="303888.11"/>
    <n v="9783105004"/>
    <s v="Actual"/>
    <s v="Long Maturity"/>
    <n v="402"/>
    <x v="561"/>
    <n v="81869.06"/>
    <x v="13"/>
    <d v="2017-09-20T00:00:00"/>
    <n v="38.633333333333333"/>
    <d v="2042-10-15T00:00:00"/>
    <n v="301"/>
    <n v="262"/>
    <d v="2021-01-07T00:00:00"/>
    <s v="Trends &amp; Trims, LLC"/>
    <s v="Rockaway Beach, MO 65740"/>
    <n v="65740"/>
    <x v="28"/>
    <x v="44"/>
    <s v="Q"/>
    <s v=""/>
    <s v=""/>
    <x v="2"/>
    <n v="0"/>
    <s v="Simmons Bank"/>
    <s v="Beauty Salons"/>
  </r>
  <r>
    <n v="306899.11"/>
    <n v="1457587009"/>
    <s v="Actual"/>
    <s v="Long Maturity"/>
    <n v="402"/>
    <x v="562"/>
    <n v="999069.34"/>
    <x v="18"/>
    <d v="2017-12-14T00:00:00"/>
    <n v="36.098630136986301"/>
    <d v="2043-08-15T00:00:00"/>
    <n v="308"/>
    <n v="272"/>
    <d v="2020-12-16T00:00:00"/>
    <s v="JT Real Estate, LLC dba Performance Powdercoating"/>
    <s v="St. Louis, MO 63134"/>
    <n v="63134"/>
    <x v="28"/>
    <x v="168"/>
    <s v="Q"/>
    <s v=""/>
    <s v=""/>
    <x v="1"/>
    <n v="0"/>
    <s v="Busey Bank"/>
    <s v="Metal Coating, Engraving (except Jewelry and Silverware), and Allied Services to Manufacturers"/>
  </r>
  <r>
    <n v="307944.11"/>
    <n v="9521355009"/>
    <s v="Actual"/>
    <s v="Long Maturity"/>
    <n v="402"/>
    <x v="563"/>
    <n v="368747.01"/>
    <x v="24"/>
    <d v="2017-06-13T00:00:00"/>
    <n v="42.3"/>
    <d v="2042-07-15T00:00:00"/>
    <n v="301"/>
    <n v="259"/>
    <d v="2021-01-20T00:00:00"/>
    <s v="135 Farnsworth Avenue LLC &amp; Old Town Bar LLC"/>
    <s v="Bordentown, NJ 08505"/>
    <n v="8505"/>
    <x v="17"/>
    <x v="3"/>
    <s v="Q"/>
    <s v=""/>
    <s v=""/>
    <x v="1"/>
    <n v="0"/>
    <s v="Grand Bank, NA"/>
    <s v="Full-Service Restaurants"/>
  </r>
  <r>
    <n v="309517.11"/>
    <n v="3969987003"/>
    <s v="Actual"/>
    <s v="Long Maturity"/>
    <n v="402"/>
    <x v="564"/>
    <n v="3658125.19"/>
    <x v="13"/>
    <d v="2019-09-19T00:00:00"/>
    <n v="14.991780821917807"/>
    <d v="2044-10-15T00:00:00"/>
    <n v="301"/>
    <n v="286"/>
    <d v="2021-01-19T00:00:00"/>
    <s v="ANK Gainesville LLC"/>
    <s v="Gainesville, FL 32605"/>
    <n v="32605"/>
    <x v="1"/>
    <x v="19"/>
    <s v="Q"/>
    <s v=""/>
    <s v=""/>
    <x v="4"/>
    <n v="0.03"/>
    <s v="American Pride Bank"/>
    <s v="Hotels (except Casino Hotels) and Motels"/>
  </r>
  <r>
    <n v="309770.11"/>
    <n v="2665867009"/>
    <s v="Actual"/>
    <s v="Long Maturity"/>
    <n v="402"/>
    <x v="565"/>
    <n v="3279017.15"/>
    <x v="23"/>
    <d v="2018-06-19T00:00:00"/>
    <n v="29.063013698630137"/>
    <d v="2044-10-15T00:00:00"/>
    <n v="316"/>
    <n v="286"/>
    <d v="2020-11-19T00:00:00"/>
    <s v="OAS Investments LLC"/>
    <s v="Tomball, TX 77377"/>
    <n v="77377"/>
    <x v="0"/>
    <x v="19"/>
    <s v="Q"/>
    <s v=""/>
    <s v=""/>
    <x v="2"/>
    <n v="0.01"/>
    <s v="Celtic Bank"/>
    <s v="Hotels (except Casino Hotels) and Motels"/>
  </r>
  <r>
    <n v="310178.11"/>
    <n v="2645037010"/>
    <s v="Actual"/>
    <s v="Long Maturity"/>
    <n v="402"/>
    <x v="566"/>
    <n v="1709289.36"/>
    <x v="23"/>
    <d v="2018-06-15T00:00:00"/>
    <n v="30.049315068493151"/>
    <d v="2044-07-15T00:00:00"/>
    <n v="313"/>
    <n v="283"/>
    <d v="2021-01-15T00:00:00"/>
    <s v="Guzik Investments LLC"/>
    <s v="Spring Hill, FL 34609"/>
    <n v="34609"/>
    <x v="1"/>
    <x v="16"/>
    <s v="Q"/>
    <s v=""/>
    <s v=""/>
    <x v="2"/>
    <n v="0.01"/>
    <s v="Paradise Bank"/>
    <s v="Car Washes"/>
  </r>
  <r>
    <n v="310240.11"/>
    <n v="4105527002"/>
    <s v="Actual"/>
    <s v="Long Maturity"/>
    <n v="402"/>
    <x v="567"/>
    <n v="2801889.35"/>
    <x v="21"/>
    <d v="2019-12-19T00:00:00"/>
    <n v="12.164383561643836"/>
    <d v="2045-01-15T00:00:00"/>
    <n v="301"/>
    <n v="289"/>
    <d v="2021-01-22T00:00:00"/>
    <s v="PRALAX, LLC"/>
    <s v="Lexington, SC 29072"/>
    <n v="29072"/>
    <x v="22"/>
    <x v="19"/>
    <s v="Q"/>
    <s v=""/>
    <s v=""/>
    <x v="6"/>
    <n v="0.03"/>
    <s v="PromiseOne Bank"/>
    <s v="Hotels (except Casino Hotels) and Motels"/>
  </r>
  <r>
    <n v="310361.11"/>
    <n v="4141757009"/>
    <s v="Actual"/>
    <s v="Long Maturity"/>
    <n v="402"/>
    <x v="568"/>
    <n v="377922"/>
    <x v="12"/>
    <d v="2019-12-19T00:00:00"/>
    <n v="12.098630136986301"/>
    <d v="2045-01-15T00:00:00"/>
    <n v="301"/>
    <n v="289"/>
    <d v="2021-01-19T00:00:00"/>
    <s v="Discovered Homes Investment Inc."/>
    <s v="Sugar Land, TX 77479"/>
    <n v="77479"/>
    <x v="0"/>
    <x v="169"/>
    <s v="Q"/>
    <s v=""/>
    <s v=""/>
    <x v="5"/>
    <n v="0.03"/>
    <s v="Wallis State Bank"/>
    <s v="Real Estate Credit"/>
  </r>
  <r>
    <n v="310694.11"/>
    <n v="3165187004"/>
    <s v="Actual"/>
    <s v="Long Maturity"/>
    <n v="402"/>
    <x v="569"/>
    <n v="458188.55"/>
    <x v="2"/>
    <d v="2019-02-20T00:00:00"/>
    <n v="22.126027397260273"/>
    <d v="2045-02-15T00:00:00"/>
    <n v="312"/>
    <n v="290"/>
    <d v="2021-01-15T00:00:00"/>
    <s v="Bavard Entertainment, Inc."/>
    <s v="Atlanta, GA 30331"/>
    <n v="30331"/>
    <x v="2"/>
    <x v="65"/>
    <s v="Q"/>
    <s v=""/>
    <s v=""/>
    <x v="1"/>
    <n v="0.03"/>
    <s v="Celtic Bank"/>
    <s v="Mobile Food Services"/>
  </r>
  <r>
    <n v="310772.11"/>
    <n v="3896827010"/>
    <s v="Actual"/>
    <s v="Long Maturity"/>
    <n v="402"/>
    <x v="570"/>
    <n v="3656504.95"/>
    <x v="19"/>
    <d v="2019-09-18T00:00:00"/>
    <n v="15.123287671232877"/>
    <d v="2044-10-15T00:00:00"/>
    <n v="301"/>
    <n v="286"/>
    <d v="2021-01-12T00:00:00"/>
    <s v="Wahe Sadguru LLC"/>
    <s v="Sacramento, CA 95823"/>
    <n v="95823"/>
    <x v="10"/>
    <x v="19"/>
    <s v="Q"/>
    <s v=""/>
    <s v=""/>
    <x v="7"/>
    <n v="0.03"/>
    <s v="Pinnacle Bank"/>
    <s v="Hotels (except Casino Hotels) and Motels"/>
  </r>
  <r>
    <n v="311268.11"/>
    <n v="4295667009"/>
    <s v="Actual"/>
    <s v="Long Maturity"/>
    <n v="402"/>
    <x v="571"/>
    <n v="1985521.7"/>
    <x v="13"/>
    <d v="2020-03-20T00:00:00"/>
    <n v="8.7123287671232887"/>
    <d v="2045-04-15T00:00:00"/>
    <n v="301"/>
    <n v="292"/>
    <d v="2021-01-14T00:00:00"/>
    <s v="GCHB Enterprises, LLC"/>
    <s v="Huntington Beach, CA 92649"/>
    <n v="92649"/>
    <x v="10"/>
    <x v="112"/>
    <s v="Q"/>
    <s v=""/>
    <s v=""/>
    <x v="3"/>
    <n v="0.05"/>
    <s v="Harvest Small Business Finance, LLC"/>
    <s v="All Other Specialty Trade Contractors"/>
  </r>
  <r>
    <n v="311318.11"/>
    <n v="3561987010"/>
    <s v="Actual"/>
    <s v="Long Maturity"/>
    <n v="402"/>
    <x v="572"/>
    <n v="1801527.17"/>
    <x v="15"/>
    <d v="2019-03-19T00:00:00"/>
    <n v="21.041095890410958"/>
    <d v="2045-03-15T00:00:00"/>
    <n v="312"/>
    <n v="291"/>
    <d v="2021-01-28T00:00:00"/>
    <s v="Washed Up, LLC"/>
    <s v="Omaha, NE 68154"/>
    <n v="68154"/>
    <x v="43"/>
    <x v="4"/>
    <s v="Q"/>
    <s v=""/>
    <s v=""/>
    <x v="0"/>
    <n v="0.03"/>
    <s v="Celtic Bank"/>
    <s v="Gasoline Stations with Convenience Stores"/>
  </r>
  <r>
    <n v="311322.11"/>
    <n v="4143107006"/>
    <s v="Actual"/>
    <s v="Long Maturity"/>
    <n v="402"/>
    <x v="573"/>
    <n v="1224890.57"/>
    <x v="4"/>
    <d v="2019-12-19T00:00:00"/>
    <n v="12"/>
    <d v="2045-04-15T00:00:00"/>
    <n v="304"/>
    <n v="292"/>
    <d v="2021-01-28T00:00:00"/>
    <s v="SRP Surya Hospitality LLC"/>
    <s v="Fairborn, OH 45324"/>
    <n v="45324"/>
    <x v="9"/>
    <x v="19"/>
    <s v="Q"/>
    <s v=""/>
    <s v=""/>
    <x v="2"/>
    <n v="0.05"/>
    <s v="Celtic Bank"/>
    <s v="Hotels (except Casino Hotels) and Motels"/>
  </r>
  <r>
    <n v="306161.11"/>
    <n v="9622535003"/>
    <s v="Actual"/>
    <s v="Long Maturity"/>
    <n v="402"/>
    <x v="574"/>
    <n v="627636.62"/>
    <x v="31"/>
    <d v="2017-08-21T00:00:00"/>
    <n v="40.133333333333333"/>
    <d v="2043-06-15T00:00:00"/>
    <n v="310"/>
    <n v="270"/>
    <d v="2021-01-22T00:00:00"/>
    <s v="680 Broadway Realty LLC"/>
    <s v="Long Branch, NJ 07740"/>
    <n v="7740"/>
    <x v="17"/>
    <x v="3"/>
    <s v="Q"/>
    <s v=""/>
    <s v=""/>
    <x v="3"/>
    <n v="0"/>
    <s v="Unity Bank"/>
    <s v="Full-Service Restaurants"/>
  </r>
  <r>
    <n v="307413.11"/>
    <n v="9470185005"/>
    <s v="Actual"/>
    <s v="Long Maturity"/>
    <n v="402"/>
    <x v="575"/>
    <n v="918904.4"/>
    <x v="35"/>
    <d v="2017-06-23T00:00:00"/>
    <n v="41.983561643835614"/>
    <d v="2042-07-15T00:00:00"/>
    <n v="301"/>
    <n v="259"/>
    <d v="2021-01-20T00:00:00"/>
    <s v="Anna &amp; Ashish Investments Inc. &amp; Alina &amp; Rayan Inc. &amp; Sameer &amp; Sahir I"/>
    <s v="Lewisville, TX 75057"/>
    <n v="75057"/>
    <x v="0"/>
    <x v="26"/>
    <s v="Q"/>
    <s v=""/>
    <s v=""/>
    <x v="3"/>
    <n v="0"/>
    <s v="Wallis State Bank"/>
    <s v="Lessors of Nonresidential Buildings (except Miniwarehouses)"/>
  </r>
  <r>
    <n v="308949.11"/>
    <n v="3854317001"/>
    <s v="Actual"/>
    <s v="Long Maturity"/>
    <n v="402"/>
    <x v="576"/>
    <n v="2059449.62"/>
    <x v="18"/>
    <d v="2019-07-22T00:00:00"/>
    <n v="17.063013698630137"/>
    <d v="2044-08-15T00:00:00"/>
    <n v="301"/>
    <n v="284"/>
    <d v="2020-12-22T00:00:00"/>
    <s v="Springpike Hotels LLC"/>
    <s v="Miamisburg, OH 45342"/>
    <n v="45342"/>
    <x v="9"/>
    <x v="19"/>
    <s v="Q"/>
    <s v=""/>
    <s v=""/>
    <x v="3"/>
    <n v="0.03"/>
    <s v="North State Bank"/>
    <s v="Hotels (except Casino Hotels) and Motels"/>
  </r>
  <r>
    <n v="310288.11"/>
    <n v="4164227006"/>
    <s v="Actual"/>
    <s v="Long Maturity"/>
    <n v="402"/>
    <x v="577"/>
    <n v="438066.8"/>
    <x v="13"/>
    <d v="2019-12-23T00:00:00"/>
    <n v="11.766666666666666"/>
    <d v="2045-01-15T00:00:00"/>
    <n v="301"/>
    <n v="289"/>
    <d v="2021-01-22T00:00:00"/>
    <s v="Parshwa LLC"/>
    <s v="Atco, NJ 08004"/>
    <n v="8004"/>
    <x v="17"/>
    <x v="19"/>
    <s v="Q"/>
    <s v=""/>
    <s v=""/>
    <x v="6"/>
    <n v="0.05"/>
    <s v="Savoy Bank"/>
    <s v="Hotels (except Casino Hotels) and Motels"/>
  </r>
  <r>
    <n v="310748.11"/>
    <n v="3896207001"/>
    <s v="Actual"/>
    <s v="Long Maturity"/>
    <n v="402"/>
    <x v="578"/>
    <n v="1143864.83"/>
    <x v="55"/>
    <d v="2019-08-21T00:00:00"/>
    <n v="16.043835616438358"/>
    <d v="2044-11-15T00:00:00"/>
    <n v="303"/>
    <n v="287"/>
    <d v="2021-01-28T00:00:00"/>
    <s v="Jim O Services LLC"/>
    <s v="Plano, TX 75023"/>
    <n v="75023"/>
    <x v="0"/>
    <x v="17"/>
    <s v="Q"/>
    <s v=""/>
    <s v=""/>
    <x v="2"/>
    <n v="0.03"/>
    <s v="Celtic Bank"/>
    <s v="Automotive Oil Change and Lubrication Shops"/>
  </r>
  <r>
    <n v="310757.11"/>
    <n v="4000387001"/>
    <s v="Actual"/>
    <s v="Long Maturity"/>
    <n v="402"/>
    <x v="579"/>
    <n v="840480.4"/>
    <x v="55"/>
    <d v="2019-10-07T00:00:00"/>
    <n v="14.531506849315068"/>
    <d v="2044-11-15T00:00:00"/>
    <n v="301"/>
    <n v="287"/>
    <d v="2021-01-29T00:00:00"/>
    <s v="Victoria's Retirement Home ALF IN"/>
    <s v="Lauderhill, FL 33313"/>
    <n v="33313"/>
    <x v="1"/>
    <x v="15"/>
    <s v="Q"/>
    <s v=""/>
    <s v=""/>
    <x v="2"/>
    <n v="0.03"/>
    <s v="Celtic Bank"/>
    <s v="Assisted Living Facilities for the Elderly"/>
  </r>
  <r>
    <n v="310759.11"/>
    <n v="4000157002"/>
    <s v="Actual"/>
    <s v="Long Maturity"/>
    <n v="402"/>
    <x v="580"/>
    <n v="675702.9"/>
    <x v="55"/>
    <d v="2019-10-07T00:00:00"/>
    <n v="14.531506849315068"/>
    <d v="2044-11-15T00:00:00"/>
    <n v="301"/>
    <n v="287"/>
    <d v="2021-01-29T00:00:00"/>
    <s v="Victoria Gardens Home ALF Inc."/>
    <s v="Lauderhill, FL 33309"/>
    <n v="33309"/>
    <x v="1"/>
    <x v="15"/>
    <s v="Q"/>
    <s v=""/>
    <s v=""/>
    <x v="2"/>
    <n v="0.03"/>
    <s v="Celtic Bank"/>
    <s v="Assisted Living Facilities for the Elderly"/>
  </r>
  <r>
    <n v="310889.11"/>
    <n v="3711787005"/>
    <s v="Actual"/>
    <s v="Long Maturity"/>
    <n v="402"/>
    <x v="581"/>
    <n v="3079945.54"/>
    <x v="4"/>
    <d v="2019-05-14T00:00:00"/>
    <n v="19.200000000000003"/>
    <d v="2044-06-15T00:00:00"/>
    <n v="301"/>
    <n v="282"/>
    <d v="2021-01-20T00:00:00"/>
    <s v="Cleveland Hotel Suites, LLC"/>
    <s v="Independence, OH 44131"/>
    <n v="44131"/>
    <x v="9"/>
    <x v="19"/>
    <s v="Q"/>
    <s v=""/>
    <s v=""/>
    <x v="5"/>
    <n v="0.03"/>
    <s v="Northeast Bank"/>
    <s v="Hotels (except Casino Hotels) and Motels"/>
  </r>
  <r>
    <n v="311969.11"/>
    <n v="2936967007"/>
    <s v="Actual"/>
    <s v="Long Maturity"/>
    <n v="402"/>
    <x v="582"/>
    <n v="462921.56"/>
    <x v="63"/>
    <d v="2018-09-20T00:00:00"/>
    <n v="27.057534246575344"/>
    <d v="2034-07-15T00:00:00"/>
    <n v="190"/>
    <n v="163"/>
    <d v="2021-01-20T00:00:00"/>
    <s v="Speedway Petroleum Inc. dba Speedway Truck Stop"/>
    <s v="Palestine, TX 75801"/>
    <n v="75801"/>
    <x v="0"/>
    <x v="4"/>
    <s v="Q"/>
    <s v=""/>
    <s v=""/>
    <x v="3"/>
    <n v="0.01"/>
    <s v="Wallis State Bank"/>
    <s v="Gasoline Stations with Convenience Stores"/>
  </r>
  <r>
    <n v="308624.11"/>
    <n v="3747927001"/>
    <s v="Actual"/>
    <s v="Long Maturity"/>
    <n v="402"/>
    <x v="583"/>
    <n v="203578.98"/>
    <x v="15"/>
    <d v="2019-06-05T00:00:00"/>
    <n v="18.533333333333335"/>
    <d v="2044-07-15T00:00:00"/>
    <n v="301"/>
    <n v="283"/>
    <d v="2021-01-01T00:00:00"/>
    <s v="Jamestown Quick Stop LLC and Maddison Park LLC"/>
    <s v="Hudsonville, MI 49426"/>
    <n v="49426"/>
    <x v="8"/>
    <x v="49"/>
    <s v="Q"/>
    <s v=""/>
    <s v=""/>
    <x v="1"/>
    <n v="0.03"/>
    <s v="Newtek Small Business Finance, Inc."/>
    <s v="Beer, Wine, and Liquor Stores"/>
  </r>
  <r>
    <n v="308957.11"/>
    <n v="3848897004"/>
    <s v="Actual"/>
    <s v="Long Maturity"/>
    <n v="402"/>
    <x v="584"/>
    <n v="521054.64"/>
    <x v="25"/>
    <d v="2019-07-22T00:00:00"/>
    <n v="17.030136986301368"/>
    <d v="2044-08-15T00:00:00"/>
    <n v="301"/>
    <n v="284"/>
    <d v="2021-01-21T00:00:00"/>
    <s v="Garay Holdings, LLC"/>
    <s v="Downingtown, PA 19355"/>
    <n v="19355"/>
    <x v="11"/>
    <x v="170"/>
    <s v="Q"/>
    <s v=""/>
    <s v=""/>
    <x v="0"/>
    <n v="0.03"/>
    <s v="WSFS Bank"/>
    <s v="Dry Pasta, Dough, and Flour Mixes Manufacturing from Purchased Flour"/>
  </r>
  <r>
    <n v="309742.11"/>
    <n v="3993227009"/>
    <s v="Actual"/>
    <s v="Long Maturity"/>
    <n v="402"/>
    <x v="585"/>
    <n v="688449.89"/>
    <x v="18"/>
    <d v="2019-10-21T00:00:00"/>
    <n v="14.038356164383561"/>
    <d v="2044-11-15T00:00:00"/>
    <n v="301"/>
    <n v="287"/>
    <d v="2021-01-21T00:00:00"/>
    <s v="Shipwreck PNW LLC"/>
    <s v="Olympia, WA 98502"/>
    <n v="98502"/>
    <x v="13"/>
    <x v="3"/>
    <s v="Q"/>
    <s v=""/>
    <s v=""/>
    <x v="3"/>
    <n v="0.03"/>
    <s v="KeyBank - West"/>
    <s v="Full-Service Restaurants"/>
  </r>
  <r>
    <n v="311760.11"/>
    <n v="3449797208"/>
    <s v="Actual"/>
    <s v="Long Maturity"/>
    <n v="402"/>
    <x v="586"/>
    <n v="539433.93999999994"/>
    <x v="11"/>
    <d v="2020-05-05T00:00:00"/>
    <n v="7.3333333333333339"/>
    <d v="2045-06-15T00:00:00"/>
    <n v="301"/>
    <n v="294"/>
    <d v="2021-01-09T00:00:00"/>
    <s v="Picone Management, LLC"/>
    <s v="Jackson, NJ 08527"/>
    <n v="8527"/>
    <x v="17"/>
    <x v="8"/>
    <s v="Q"/>
    <s v=""/>
    <s v=""/>
    <x v="1"/>
    <n v="0.05"/>
    <s v="Magyar Bank"/>
    <s v="General Automotive Repair"/>
  </r>
  <r>
    <n v="311994.11"/>
    <n v="7337517906"/>
    <s v="Actual"/>
    <s v="Long Maturity"/>
    <n v="402"/>
    <x v="587"/>
    <n v="3592067.99"/>
    <x v="13"/>
    <d v="2020-07-15T00:00:00"/>
    <n v="5.2273972602739729"/>
    <d v="2045-08-15T00:00:00"/>
    <n v="301"/>
    <n v="296"/>
    <d v="2021-01-30T00:00:00"/>
    <s v="Safety Harbor Industrial Complex LLC"/>
    <s v="Safety Harbor, FL 34695"/>
    <n v="34695"/>
    <x v="1"/>
    <x v="171"/>
    <s v="Q"/>
    <s v=""/>
    <s v=""/>
    <x v="3"/>
    <n v="0.05"/>
    <s v="Freedom Bank"/>
    <s v="Other Waste Collection"/>
  </r>
  <r>
    <n v="307765.11"/>
    <n v="1113107001"/>
    <s v="Actual"/>
    <s v="Long Maturity"/>
    <n v="402"/>
    <x v="588"/>
    <n v="1178961.71"/>
    <x v="18"/>
    <d v="2017-11-15T00:00:00"/>
    <n v="37.150684931506845"/>
    <d v="2043-09-15T00:00:00"/>
    <n v="310"/>
    <n v="273"/>
    <d v="2021-01-19T00:00:00"/>
    <s v="Spark Montessori LLC"/>
    <s v="Chicago, IL 60618"/>
    <n v="60618"/>
    <x v="3"/>
    <x v="172"/>
    <s v="Q"/>
    <s v=""/>
    <s v=""/>
    <x v="0"/>
    <n v="0"/>
    <s v="CRF Small Business Loan Co. LLC"/>
    <s v="Elementary and Secondary Schools"/>
  </r>
  <r>
    <n v="309205.11"/>
    <n v="3507337002"/>
    <s v="Actual"/>
    <s v="Long Maturity"/>
    <n v="402"/>
    <x v="589"/>
    <n v="301043.75"/>
    <x v="18"/>
    <d v="2019-02-07T00:00:00"/>
    <n v="22.915068493150685"/>
    <d v="2044-03-15T00:00:00"/>
    <n v="301"/>
    <n v="279"/>
    <d v="2021-01-04T00:00:00"/>
    <s v="AJG Prop, LLC; AJ Seafood Inc."/>
    <s v="Marine City, MI 48039"/>
    <n v="48039"/>
    <x v="8"/>
    <x v="3"/>
    <s v="Q"/>
    <s v=""/>
    <s v=""/>
    <x v="3"/>
    <n v="0.03"/>
    <s v="The Huntington National Bank"/>
    <s v="Full-Service Restaurants"/>
  </r>
  <r>
    <n v="310064.11"/>
    <n v="2660537005"/>
    <s v="Actual"/>
    <s v="Long Maturity"/>
    <n v="402"/>
    <x v="590"/>
    <n v="169188.96"/>
    <x v="20"/>
    <d v="2018-06-13T00:00:00"/>
    <n v="29.654794520547945"/>
    <d v="2034-01-15T00:00:00"/>
    <n v="187"/>
    <n v="157"/>
    <d v="2021-01-11T00:00:00"/>
    <s v="670 Broadway LLC "/>
    <s v="El Centro , CA 92243"/>
    <n v="92243"/>
    <x v="10"/>
    <x v="162"/>
    <s v="Q"/>
    <s v=""/>
    <s v=""/>
    <x v="4"/>
    <n v="0.01"/>
    <s v="Community Valley Bank"/>
    <s v="Jewelry Stores"/>
  </r>
  <r>
    <n v="311491.11"/>
    <n v="4276937001"/>
    <s v="Actual"/>
    <s v="Long Maturity"/>
    <n v="402"/>
    <x v="591"/>
    <n v="1006415.19"/>
    <x v="18"/>
    <d v="2020-04-29T00:00:00"/>
    <n v="7.0684931506849313"/>
    <d v="2045-05-15T00:00:00"/>
    <n v="301"/>
    <n v="293"/>
    <d v="2021-01-05T00:00:00"/>
    <s v="Kind and Joyful Childcare, LLC"/>
    <s v="Madison, WI 53719"/>
    <n v="53719"/>
    <x v="14"/>
    <x v="0"/>
    <s v="Q"/>
    <s v=""/>
    <s v=""/>
    <x v="0"/>
    <n v="0.05"/>
    <s v="ByLine Bank"/>
    <s v="Child Day Care Services"/>
  </r>
  <r>
    <n v="311601.11"/>
    <n v="2639327007"/>
    <s v="Actual"/>
    <s v="Long Maturity"/>
    <n v="402"/>
    <x v="592"/>
    <n v="800553.31"/>
    <x v="23"/>
    <d v="2018-06-22T00:00:00"/>
    <n v="30.016438356164386"/>
    <d v="2043-07-15T00:00:00"/>
    <n v="301"/>
    <n v="271"/>
    <d v="2021-01-21T00:00:00"/>
    <s v="Namaste Plaza Roe Inc."/>
    <s v="Henrietta, NY 14623"/>
    <n v="14623"/>
    <x v="15"/>
    <x v="72"/>
    <s v="Q"/>
    <s v=""/>
    <s v=""/>
    <x v="0"/>
    <n v="0.01"/>
    <s v="KeyBank - East"/>
    <s v="Supermarkets and Other Grocery (except Convenience) Stores"/>
  </r>
  <r>
    <n v="312168.11"/>
    <n v="1173928107"/>
    <s v="Actual"/>
    <s v="Long Maturity"/>
    <n v="402"/>
    <x v="593"/>
    <n v="699613.8"/>
    <x v="18"/>
    <d v="2020-08-05T00:00:00"/>
    <n v="4.4383561643835616"/>
    <d v="2045-09-15T00:00:00"/>
    <n v="301"/>
    <n v="297"/>
    <d v="2021-01-25T00:00:00"/>
    <s v="Pinedale Global Investment LLC"/>
    <s v="Pinedale, WY 82941"/>
    <n v="82941"/>
    <x v="44"/>
    <x v="19"/>
    <s v="Q"/>
    <s v=""/>
    <s v=""/>
    <x v="0"/>
    <n v="0.05"/>
    <s v="Citizens Bank FAO Acclivity Financia"/>
    <s v="Hotels (except Casino Hotels) and Motels"/>
  </r>
  <r>
    <n v="309183.11"/>
    <n v="3788817010"/>
    <s v="Actual"/>
    <s v="Long Maturity"/>
    <n v="402"/>
    <x v="594"/>
    <n v="2772013.14"/>
    <x v="13"/>
    <d v="2019-07-03T00:00:00"/>
    <n v="16.997260273972604"/>
    <d v="2044-08-15T00:00:00"/>
    <n v="301"/>
    <n v="284"/>
    <d v="2021-01-04T00:00:00"/>
    <s v="Bachan Singh Ghangas LLC dba Bachan ARCO"/>
    <s v="Bakersfield, CA 93313"/>
    <n v="93313"/>
    <x v="10"/>
    <x v="4"/>
    <s v="Q"/>
    <s v=""/>
    <s v=""/>
    <x v="5"/>
    <n v="0.03"/>
    <s v="Open Bank"/>
    <s v="Gasoline Stations with Convenience Stores"/>
  </r>
  <r>
    <n v="310894.11"/>
    <n v="4243367000"/>
    <s v="Actual"/>
    <s v="Long Maturity"/>
    <n v="402"/>
    <x v="595"/>
    <n v="2837687.35"/>
    <x v="13"/>
    <d v="2020-02-24T00:00:00"/>
    <n v="9.9616438356164387"/>
    <d v="2045-03-15T00:00:00"/>
    <n v="301"/>
    <n v="291"/>
    <d v="2021-01-21T00:00:00"/>
    <s v="Fairview Hotels LLC dba Red Roof Binghampton"/>
    <s v="Johnson City, NY 13790"/>
    <n v="13790"/>
    <x v="15"/>
    <x v="19"/>
    <s v="Q"/>
    <s v=""/>
    <s v=""/>
    <x v="3"/>
    <n v="0.05"/>
    <s v="Peapack Gladstone Bank"/>
    <s v="Hotels (except Casino Hotels) and Motels"/>
  </r>
  <r>
    <n v="311596.11"/>
    <n v="3956977001"/>
    <s v="Actual"/>
    <s v="Long Maturity"/>
    <n v="402"/>
    <x v="596"/>
    <n v="501893.66"/>
    <x v="2"/>
    <d v="2019-09-25T00:00:00"/>
    <n v="14.761643835616438"/>
    <d v="2044-10-15T00:00:00"/>
    <n v="301"/>
    <n v="286"/>
    <d v="2021-01-05T00:00:00"/>
    <s v="RNH  Food Inc."/>
    <s v="Smyrna, GA 30082"/>
    <n v="30082"/>
    <x v="2"/>
    <x v="4"/>
    <s v="Q"/>
    <s v=""/>
    <s v=""/>
    <x v="1"/>
    <n v="0.03"/>
    <s v="Citizens Bank FAO Acclivity Financia"/>
    <s v="Gasoline Stations with Convenience Stores"/>
  </r>
  <r>
    <n v="311792.11"/>
    <n v="4006987005"/>
    <s v="Actual"/>
    <s v="Long Maturity"/>
    <n v="402"/>
    <x v="597"/>
    <n v="1188643.24"/>
    <x v="4"/>
    <d v="2019-10-30T00:00:00"/>
    <n v="13.610958904109589"/>
    <d v="2045-04-15T00:00:00"/>
    <n v="306"/>
    <n v="292"/>
    <d v="2021-01-03T00:00:00"/>
    <s v="Elker LLC &amp; Jeremy W Parker DMD, PLLC"/>
    <s v="Diberville, MS 39540"/>
    <n v="39540"/>
    <x v="23"/>
    <x v="6"/>
    <s v="Q"/>
    <s v=""/>
    <s v=""/>
    <x v="2"/>
    <n v="0.03"/>
    <s v="Citizens Bank FAO Acclivity Financia"/>
    <s v="Offices of Dentists"/>
  </r>
  <r>
    <n v="311921.11"/>
    <n v="1979008003"/>
    <s v="Actual"/>
    <s v="Long Maturity"/>
    <n v="402"/>
    <x v="598"/>
    <n v="317749.40000000002"/>
    <x v="11"/>
    <d v="2020-07-10T00:00:00"/>
    <n v="5.2602739726027394"/>
    <d v="2045-08-15T00:00:00"/>
    <n v="301"/>
    <n v="296"/>
    <d v="2021-01-24T00:00:00"/>
    <s v="Bright Path Investments, LLC EPC Drop of Love, LLC OC"/>
    <s v="Orlando, FL 32809"/>
    <n v="32809"/>
    <x v="1"/>
    <x v="0"/>
    <s v="Q"/>
    <s v=""/>
    <s v=""/>
    <x v="1"/>
    <n v="0.05"/>
    <s v="Citizens Bank FAO Acclivity Financia"/>
    <s v="Child Day Care Services"/>
  </r>
  <r>
    <n v="312036.11"/>
    <n v="3240158101"/>
    <s v="Actual"/>
    <s v="Long Maturity"/>
    <n v="402"/>
    <x v="599"/>
    <n v="343859.84"/>
    <x v="18"/>
    <d v="2020-07-28T00:00:00"/>
    <n v="4.6684931506849319"/>
    <d v="2045-08-15T00:00:00"/>
    <n v="301"/>
    <n v="296"/>
    <d v="2021-01-24T00:00:00"/>
    <s v="Ryan Tire &amp; Petroleum, Inc / Kevin Ryan"/>
    <s v="Fort Myers, FL 33907"/>
    <n v="33907"/>
    <x v="1"/>
    <x v="173"/>
    <s v="Q"/>
    <s v=""/>
    <s v=""/>
    <x v="0"/>
    <n v="0.05"/>
    <s v="Busey Bank"/>
    <s v="Petroleum and Petroleum Products Merchant Wholesalers (except Bulk Stations and Terminals)"/>
  </r>
  <r>
    <n v="312145.11"/>
    <n v="4062837000"/>
    <s v="Actual"/>
    <s v="Long Maturity"/>
    <n v="402"/>
    <x v="600"/>
    <n v="582351.21"/>
    <x v="11"/>
    <d v="2019-11-21T00:00:00"/>
    <n v="13.019178082191781"/>
    <d v="2039-12-15T00:00:00"/>
    <n v="241"/>
    <n v="228"/>
    <d v="2021-01-21T00:00:00"/>
    <s v="Heavenly Assisted Living Inc"/>
    <s v="Fredericksburg, VA 22405"/>
    <n v="22405"/>
    <x v="29"/>
    <x v="15"/>
    <s v="Q"/>
    <s v=""/>
    <s v=""/>
    <x v="1"/>
    <n v="0.03"/>
    <s v="Stearns Bank, N.A."/>
    <s v="Assisted Living Facilities for the Elderly"/>
  </r>
  <r>
    <n v="312148.11"/>
    <n v="4043357003"/>
    <s v="Actual"/>
    <s v="Long Maturity"/>
    <n v="402"/>
    <x v="601"/>
    <n v="237597.87"/>
    <x v="11"/>
    <d v="2019-10-22T00:00:00"/>
    <n v="14.038356164383561"/>
    <d v="2039-11-15T00:00:00"/>
    <n v="241"/>
    <n v="227"/>
    <d v="2021-01-22T00:00:00"/>
    <s v="Shaffer Healthcare Enterprises"/>
    <s v="Bonita Springs, FL 34134"/>
    <n v="34134"/>
    <x v="1"/>
    <x v="46"/>
    <s v="Q"/>
    <s v=""/>
    <s v=""/>
    <x v="1"/>
    <n v="0.03"/>
    <s v="Stearns Bank, N.A."/>
    <s v="Home Health Care Services"/>
  </r>
  <r>
    <n v="312169.11"/>
    <n v="3659438210"/>
    <s v="Actual"/>
    <s v="Long Maturity"/>
    <n v="402"/>
    <x v="602"/>
    <n v="839444.05"/>
    <x v="13"/>
    <d v="2020-08-07T00:00:00"/>
    <n v="4.3726027397260276"/>
    <d v="2045-09-15T00:00:00"/>
    <n v="301"/>
    <n v="297"/>
    <d v="2021-01-25T00:00:00"/>
    <s v="Morning Star 2020 Corp &amp; San Marvelous Ventures LLC dba Rise N Stop #2"/>
    <s v="San Marcos, TX 78666"/>
    <n v="78666"/>
    <x v="0"/>
    <x v="4"/>
    <s v="Q"/>
    <s v=""/>
    <s v=""/>
    <x v="3"/>
    <n v="0.05"/>
    <s v="Citizens Bank FAO Acclivity Financia"/>
    <s v="Gasoline Stations with Convenience Stores"/>
  </r>
  <r>
    <n v="312170.11"/>
    <n v="3656528207"/>
    <s v="Actual"/>
    <s v="Long Maturity"/>
    <n v="402"/>
    <x v="603"/>
    <n v="990785.38"/>
    <x v="13"/>
    <d v="2020-08-07T00:00:00"/>
    <n v="4.3726027397260276"/>
    <d v="2045-09-15T00:00:00"/>
    <n v="301"/>
    <n v="297"/>
    <d v="2021-01-25T00:00:00"/>
    <s v="Rising Star Ventures Corp &amp; Budaful Ventures LLC dba Rise N Stop #1"/>
    <s v="Buda, TX 78610"/>
    <n v="78610"/>
    <x v="0"/>
    <x v="4"/>
    <s v="Q"/>
    <s v=""/>
    <s v=""/>
    <x v="3"/>
    <n v="0.05"/>
    <s v="Citizens Bank FAO Acclivity Financia"/>
    <s v="Gasoline Stations with Convenience Stores"/>
  </r>
  <r>
    <n v="307221.11"/>
    <n v="9165745000"/>
    <s v="Actual"/>
    <s v="Long Maturity"/>
    <n v="402"/>
    <x v="604"/>
    <n v="2781185.43"/>
    <x v="22"/>
    <d v="2017-03-24T00:00:00"/>
    <n v="46.126027397260273"/>
    <d v="2043-04-15T00:00:00"/>
    <n v="313"/>
    <n v="268"/>
    <d v="2021-01-25T00:00:00"/>
    <s v="Ishine Woodlands 9, LLC"/>
    <s v="Hudson, WI 54016"/>
    <n v="54016"/>
    <x v="14"/>
    <x v="16"/>
    <s v="Q"/>
    <s v=""/>
    <s v=""/>
    <x v="1"/>
    <n v="0"/>
    <s v="First Bank Financial Centre"/>
    <s v="Car Washes"/>
  </r>
  <r>
    <n v="310615.11"/>
    <n v="4172347007"/>
    <s v="Actual"/>
    <s v="Long Maturity"/>
    <n v="402"/>
    <x v="605"/>
    <n v="182784.17"/>
    <x v="23"/>
    <d v="2020-01-24T00:00:00"/>
    <n v="11.013698630136986"/>
    <d v="2045-02-15T00:00:00"/>
    <n v="301"/>
    <n v="290"/>
    <d v="2021-01-24T00:00:00"/>
    <s v="MLH Enteprises Inc."/>
    <s v="Fortville, IN 46040"/>
    <n v="46040"/>
    <x v="39"/>
    <x v="174"/>
    <s v="Q"/>
    <s v=""/>
    <s v=""/>
    <x v="2"/>
    <n v="0.05"/>
    <s v="KeyBank - East"/>
    <s v="Poured Concrete Foundation and Structure Contractors"/>
  </r>
  <r>
    <n v="311241.11"/>
    <n v="4240427010"/>
    <s v="Actual"/>
    <s v="Long Maturity"/>
    <n v="402"/>
    <x v="606"/>
    <n v="388241.38"/>
    <x v="15"/>
    <d v="2020-02-25T00:00:00"/>
    <n v="9.9287671232876722"/>
    <d v="2045-03-15T00:00:00"/>
    <n v="301"/>
    <n v="291"/>
    <d v="2021-01-11T00:00:00"/>
    <s v="VIP Gas LLC"/>
    <s v="Altona, IL 61414"/>
    <n v="61414"/>
    <x v="3"/>
    <x v="4"/>
    <s v="Q"/>
    <s v=""/>
    <s v=""/>
    <x v="0"/>
    <n v="0.05"/>
    <s v="ByLine Bank"/>
    <s v="Gasoline Stations with Convenience Stores"/>
  </r>
  <r>
    <n v="311515.11"/>
    <n v="3380547008"/>
    <s v="Actual"/>
    <s v="Long Maturity"/>
    <n v="402"/>
    <x v="607"/>
    <n v="724194.97"/>
    <x v="11"/>
    <d v="2019-01-17T00:00:00"/>
    <n v="22.553424657534247"/>
    <d v="2039-02-15T00:00:00"/>
    <n v="241"/>
    <n v="218"/>
    <d v="2021-01-04T00:00:00"/>
    <s v="Armor Distribution Inc."/>
    <s v="Melbourne, FL 32935"/>
    <n v="32935"/>
    <x v="1"/>
    <x v="7"/>
    <s v="Q"/>
    <s v=""/>
    <s v=""/>
    <x v="1"/>
    <n v="0.03"/>
    <s v="ByLine Bank"/>
    <s v="Lessors of Miniwarehouses and Self-Storage Units"/>
  </r>
  <r>
    <n v="311577.11"/>
    <n v="2391757405"/>
    <s v="Actual"/>
    <s v="Long Maturity"/>
    <n v="402"/>
    <x v="608"/>
    <n v="1394394.08"/>
    <x v="4"/>
    <d v="2020-05-28T00:00:00"/>
    <n v="6.706849315068494"/>
    <d v="2045-06-15T00:00:00"/>
    <n v="301"/>
    <n v="294"/>
    <d v="2021-01-04T00:00:00"/>
    <s v="Carsmetrics RE, LLC &amp; Carsmetrics LLC"/>
    <s v="Charlotte, NC 28273"/>
    <n v="28273"/>
    <x v="6"/>
    <x v="137"/>
    <s v="Q"/>
    <s v=""/>
    <s v=""/>
    <x v="3"/>
    <n v="0.05"/>
    <s v="Citizens Bank FAO Acclivity Financia"/>
    <s v="Automotive Body, Paint, and Interior Repair and Maintenance"/>
  </r>
  <r>
    <n v="311582.11"/>
    <n v="9976817407"/>
    <s v="Actual"/>
    <s v="Long Maturity"/>
    <n v="402"/>
    <x v="609"/>
    <n v="437421.32"/>
    <x v="17"/>
    <d v="2020-05-28T00:00:00"/>
    <n v="6.706849315068494"/>
    <d v="2033-06-15T00:00:00"/>
    <n v="157"/>
    <n v="150"/>
    <d v="2021-01-11T00:00:00"/>
    <s v="Total Corner Inc."/>
    <s v="Newbern, TN 38059"/>
    <n v="38059"/>
    <x v="30"/>
    <x v="49"/>
    <s v="Q"/>
    <s v=""/>
    <s v=""/>
    <x v="1"/>
    <n v="0"/>
    <s v="ByLine Bank"/>
    <s v="Beer, Wine, and Liquor Stores"/>
  </r>
  <r>
    <n v="311653.11"/>
    <n v="4287817006"/>
    <s v="Actual"/>
    <s v="Long Maturity"/>
    <n v="402"/>
    <x v="610"/>
    <n v="237688.33"/>
    <x v="18"/>
    <d v="2020-06-11T00:00:00"/>
    <n v="6.3333333333333339"/>
    <d v="2045-07-15T00:00:00"/>
    <n v="301"/>
    <n v="295"/>
    <d v="2021-01-28T00:00:00"/>
    <s v="Bagg Realty LLC and AGI Sewer &amp; Drains, Inc."/>
    <s v="Staten Island, NY 10302"/>
    <n v="10302"/>
    <x v="15"/>
    <x v="62"/>
    <s v="Q"/>
    <s v=""/>
    <s v=""/>
    <x v="4"/>
    <n v="0.05"/>
    <s v="NewBank"/>
    <s v="Plumbing, Heating, and Air-Conditioning Contractors"/>
  </r>
  <r>
    <n v="311730.11"/>
    <n v="3549057010"/>
    <s v="Actual"/>
    <s v="Long Maturity"/>
    <n v="402"/>
    <x v="611"/>
    <n v="1492187.74"/>
    <x v="11"/>
    <d v="2019-05-22T00:00:00"/>
    <n v="19.035616438356165"/>
    <d v="2035-06-15T00:00:00"/>
    <n v="193"/>
    <n v="174"/>
    <d v="2021-01-01T00:00:00"/>
    <s v="LENCAT Corporation dba Lightbridge Academy Mountain Lakes"/>
    <s v="Mountain Lakes, NJ  07046"/>
    <n v="7046"/>
    <x v="17"/>
    <x v="0"/>
    <s v="Q"/>
    <s v=""/>
    <s v=""/>
    <x v="1"/>
    <n v="0.03"/>
    <s v="The Provident Bank"/>
    <s v="Child Day Care Services"/>
  </r>
  <r>
    <n v="311774.11"/>
    <n v="3400917206"/>
    <s v="Actual"/>
    <s v="Long Maturity"/>
    <n v="402"/>
    <x v="612"/>
    <n v="196385.2"/>
    <x v="11"/>
    <d v="2020-06-15T00:00:00"/>
    <n v="6.1150684931506856"/>
    <d v="2045-07-15T00:00:00"/>
    <n v="301"/>
    <n v="295"/>
    <d v="2021-01-05T00:00:00"/>
    <s v="TFG Realty Margate LLC"/>
    <s v="Margate, FL 33063"/>
    <n v="33063"/>
    <x v="1"/>
    <x v="26"/>
    <s v="Q"/>
    <s v=""/>
    <s v=""/>
    <x v="1"/>
    <n v="0.05"/>
    <s v="First Business Bank"/>
    <s v="Lessors of Nonresidential Buildings (except Miniwarehouses)"/>
  </r>
  <r>
    <n v="311895.11"/>
    <n v="2033388005"/>
    <s v="Actual"/>
    <s v="Long Maturity"/>
    <n v="402"/>
    <x v="613"/>
    <n v="2961723.99"/>
    <x v="19"/>
    <d v="2020-06-30T00:00:00"/>
    <n v="5.6999999999999993"/>
    <d v="2045-07-15T00:00:00"/>
    <n v="301"/>
    <n v="295"/>
    <d v="2021-01-27T00:00:00"/>
    <s v="Chinatown Food Services, LLC &amp; Chinatown United Food Services LLC"/>
    <s v="New York, NY 10002"/>
    <n v="10002"/>
    <x v="15"/>
    <x v="26"/>
    <s v="Q"/>
    <s v=""/>
    <s v=""/>
    <x v="5"/>
    <n v="0.05"/>
    <s v="NewBank"/>
    <s v="Lessors of Nonresidential Buildings (except Miniwarehouses)"/>
  </r>
  <r>
    <n v="311909.11"/>
    <n v="3388217204"/>
    <s v="Actual"/>
    <s v="Long Maturity"/>
    <n v="402"/>
    <x v="614"/>
    <n v="2267364.8199999998"/>
    <x v="19"/>
    <d v="2020-05-15T00:00:00"/>
    <n v="6.7726027397260271"/>
    <d v="2045-06-15T00:00:00"/>
    <n v="301"/>
    <n v="294"/>
    <d v="2021-01-05T00:00:00"/>
    <s v="Data-Cal Investments LLC"/>
    <s v="Stephenville, TX 76401"/>
    <n v="76401"/>
    <x v="0"/>
    <x v="4"/>
    <s v="Q"/>
    <s v=""/>
    <s v=""/>
    <x v="5"/>
    <n v="0.05"/>
    <s v="T Bank, N.A."/>
    <s v="Gasoline Stations with Convenience Stores"/>
  </r>
  <r>
    <n v="311912.11"/>
    <n v="8529727005"/>
    <s v="Actual"/>
    <s v="Long Maturity"/>
    <n v="402"/>
    <x v="615"/>
    <n v="923011.55"/>
    <x v="4"/>
    <d v="2020-04-29T00:00:00"/>
    <n v="7.6602739726027398"/>
    <d v="2045-05-15T00:00:00"/>
    <n v="301"/>
    <n v="293"/>
    <d v="2021-01-05T00:00:00"/>
    <s v="Rogers Automotive Industries, LLC. (OC) &amp; Rogers Property Holdings,"/>
    <s v="Winston Salem, NC  27127"/>
    <n v="27127"/>
    <x v="6"/>
    <x v="8"/>
    <s v="Q"/>
    <s v=""/>
    <s v=""/>
    <x v="3"/>
    <n v="0.05"/>
    <s v="First Bank"/>
    <s v="General Automotive Repair"/>
  </r>
  <r>
    <n v="311941.11"/>
    <n v="9791848002"/>
    <s v="Actual"/>
    <s v="Long Maturity"/>
    <n v="402"/>
    <x v="616"/>
    <n v="141111.24"/>
    <x v="17"/>
    <d v="2020-07-10T00:00:00"/>
    <n v="5.2931506849315069"/>
    <d v="2033-08-15T00:00:00"/>
    <n v="157"/>
    <n v="152"/>
    <d v="2021-01-25T00:00:00"/>
    <s v="Stony Gap, LLC"/>
    <s v="Albemarle, NC 28001"/>
    <n v="28001"/>
    <x v="6"/>
    <x v="175"/>
    <s v="Q"/>
    <s v=""/>
    <s v=""/>
    <x v="1"/>
    <n v="0"/>
    <s v="First Bank"/>
    <s v="Perishable Prepared Food Manufacturing"/>
  </r>
  <r>
    <n v="311972.11"/>
    <n v="3889587001"/>
    <s v="Actual"/>
    <s v="Long Maturity"/>
    <n v="402"/>
    <x v="617"/>
    <n v="1250153.3799999999"/>
    <x v="18"/>
    <d v="2019-10-10T00:00:00"/>
    <n v="14.301369863013701"/>
    <d v="2045-08-15T00:00:00"/>
    <n v="310"/>
    <n v="296"/>
    <d v="2021-01-10T00:00:00"/>
    <s v="S J Enterprises Fox Cities LLC"/>
    <s v="Appleton, WI 54913"/>
    <n v="54913"/>
    <x v="14"/>
    <x v="68"/>
    <s v="Q"/>
    <s v=""/>
    <s v=""/>
    <x v="0"/>
    <n v="0.03"/>
    <s v="First Business Bank"/>
    <s v="Sports and Recreation Instruction"/>
  </r>
  <r>
    <n v="311986.11"/>
    <n v="4162967001"/>
    <s v="Actual"/>
    <s v="Long Maturity"/>
    <n v="402"/>
    <x v="618"/>
    <n v="487424.3"/>
    <x v="13"/>
    <d v="2020-01-09T00:00:00"/>
    <n v="11.408219178082192"/>
    <d v="2045-06-15T00:00:00"/>
    <n v="305"/>
    <n v="294"/>
    <d v="2021-01-05T00:00:00"/>
    <s v="Laser Aesthetics Body &amp; Wellness Center / Ashmore Properties LLC"/>
    <s v="Cordova, TN 38016"/>
    <n v="38016"/>
    <x v="30"/>
    <x v="78"/>
    <s v="Q"/>
    <s v=""/>
    <s v=""/>
    <x v="3"/>
    <n v="0.05"/>
    <s v="Pinnacle Financial Partners FAO: Pin"/>
    <s v="Other Personal Care Services"/>
  </r>
  <r>
    <n v="311988.11"/>
    <n v="9368648004"/>
    <s v="Actual"/>
    <s v="Long Maturity"/>
    <n v="402"/>
    <x v="619"/>
    <n v="290278.96999999997"/>
    <x v="13"/>
    <d v="2020-07-22T00:00:00"/>
    <n v="4.8657534246575338"/>
    <d v="2045-08-15T00:00:00"/>
    <n v="301"/>
    <n v="296"/>
    <d v="2021-01-24T00:00:00"/>
    <s v="J3 Management Group LLC"/>
    <s v="Decatur, FL 30035"/>
    <n v="30035"/>
    <x v="1"/>
    <x v="146"/>
    <s v="Q"/>
    <s v=""/>
    <s v=""/>
    <x v="3"/>
    <n v="0.05"/>
    <s v="Citizens Bank FAO Acclivity Financia"/>
    <s v="Office Administrative Services"/>
  </r>
  <r>
    <n v="311989.11"/>
    <n v="7786898002"/>
    <s v="Actual"/>
    <s v="Long Maturity"/>
    <n v="402"/>
    <x v="620"/>
    <n v="999672.78"/>
    <x v="13"/>
    <d v="2020-07-15T00:00:00"/>
    <n v="5.1287671232876715"/>
    <d v="2045-08-15T00:00:00"/>
    <n v="301"/>
    <n v="296"/>
    <d v="2021-01-25T00:00:00"/>
    <s v="Torres-Gomez LLC, Skyscrapers Investment Group &amp; JT's Lending Team Inc"/>
    <s v="Granada Hills, CA 91344"/>
    <n v="91344"/>
    <x v="10"/>
    <x v="176"/>
    <s v="Q"/>
    <s v=""/>
    <s v=""/>
    <x v="3"/>
    <n v="0.05"/>
    <s v="Citizens Bank FAO Acclivity Financia"/>
    <s v="Mortgage and Nonmortgage Loan Brokers"/>
  </r>
  <r>
    <n v="311991.11"/>
    <n v="1714798109"/>
    <s v="Actual"/>
    <s v="Long Maturity"/>
    <n v="402"/>
    <x v="621"/>
    <n v="2909936.95"/>
    <x v="19"/>
    <d v="2020-07-22T00:00:00"/>
    <n v="4.8986301369863012"/>
    <d v="2045-08-15T00:00:00"/>
    <n v="301"/>
    <n v="296"/>
    <d v="2021-01-25T00:00:00"/>
    <s v="Amia Trade Inc"/>
    <s v="Austin, TX 78752"/>
    <n v="78752"/>
    <x v="0"/>
    <x v="53"/>
    <s v="Q"/>
    <s v=""/>
    <s v=""/>
    <x v="4"/>
    <n v="0.05"/>
    <s v="Citizens Bank FAO Acclivity Financia"/>
    <s v="Other Miscellaneous Nondurable Goods Merchant Wholesalers"/>
  </r>
  <r>
    <n v="312018.11"/>
    <n v="4172927004"/>
    <s v="Actual"/>
    <s v="Long Maturity"/>
    <n v="402"/>
    <x v="622"/>
    <n v="1086021.48"/>
    <x v="13"/>
    <d v="2020-01-31T00:00:00"/>
    <n v="10.586301369863014"/>
    <d v="2045-04-15T00:00:00"/>
    <n v="303"/>
    <n v="292"/>
    <d v="2021-01-05T00:00:00"/>
    <s v="The Athena Group LLC and Shepard Law, PLLC"/>
    <s v="Concord, NC 28027"/>
    <n v="28027"/>
    <x v="6"/>
    <x v="36"/>
    <s v="Q"/>
    <s v=""/>
    <s v=""/>
    <x v="3"/>
    <n v="0.05"/>
    <s v="First Bank"/>
    <s v="Offices of Lawyers"/>
  </r>
  <r>
    <n v="312061.11"/>
    <n v="3390277003"/>
    <s v="Actual"/>
    <s v="Long Maturity"/>
    <n v="402"/>
    <x v="623"/>
    <n v="495200.69"/>
    <x v="4"/>
    <d v="2019-01-25T00:00:00"/>
    <n v="22.783561643835618"/>
    <d v="2035-02-15T00:00:00"/>
    <n v="193"/>
    <n v="170"/>
    <d v="2021-01-05T00:00:00"/>
    <s v="Indy Inns, LLC"/>
    <s v="Skillman, NJ 08558"/>
    <n v="8558"/>
    <x v="17"/>
    <x v="19"/>
    <s v="Q"/>
    <s v=""/>
    <s v=""/>
    <x v="2"/>
    <n v="0.03"/>
    <s v="First Bank"/>
    <s v="Hotels (except Casino Hotels) and Motels"/>
  </r>
  <r>
    <n v="312126.11"/>
    <n v="4873628105"/>
    <s v="Actual"/>
    <s v="Long Maturity"/>
    <n v="402"/>
    <x v="624"/>
    <n v="120488.59"/>
    <x v="13"/>
    <d v="2020-08-06T00:00:00"/>
    <n v="4.5041095890410965"/>
    <d v="2045-09-15T00:00:00"/>
    <n v="301"/>
    <n v="297"/>
    <d v="2021-01-25T00:00:00"/>
    <s v="Masco Metals LLC"/>
    <s v="Memphis, TN 38108"/>
    <n v="38108"/>
    <x v="30"/>
    <x v="177"/>
    <s v="Q"/>
    <s v=""/>
    <s v=""/>
    <x v="3"/>
    <n v="0.05"/>
    <s v="Pinnacle Financial Partners FAO: Pin"/>
    <s v="Structural Steel and Precast Concrete Contractors"/>
  </r>
  <r>
    <n v="312175.11"/>
    <n v="4165897010"/>
    <s v="Actual"/>
    <s v="Long Maturity"/>
    <n v="402"/>
    <x v="625"/>
    <n v="315547.28999999998"/>
    <x v="13"/>
    <d v="2020-01-29T00:00:00"/>
    <n v="10.652054794520549"/>
    <d v="2045-07-15T00:00:00"/>
    <n v="306"/>
    <n v="295"/>
    <d v="2021-01-25T00:00:00"/>
    <s v="Ellison Endeavors, LLC"/>
    <s v="Greensboro, NC 27408"/>
    <n v="27408"/>
    <x v="6"/>
    <x v="44"/>
    <s v="Q"/>
    <s v=""/>
    <s v=""/>
    <x v="3"/>
    <n v="0.05"/>
    <s v="First Bank"/>
    <s v="Beauty Salons"/>
  </r>
  <r>
    <n v="312357.11"/>
    <n v="4296737008"/>
    <s v="Actual"/>
    <s v="Long Maturity"/>
    <n v="402"/>
    <x v="626"/>
    <n v="2964024.84"/>
    <x v="19"/>
    <d v="2020-03-23T00:00:00"/>
    <n v="8.9753424657534246"/>
    <d v="2037-04-15T00:00:00"/>
    <n v="205"/>
    <n v="196"/>
    <d v="2021-01-21T00:00:00"/>
    <s v="LimCross Ventures, LLC"/>
    <s v="Tulsa, OK 74133"/>
    <n v="74133"/>
    <x v="32"/>
    <x v="144"/>
    <s v="Q"/>
    <s v=""/>
    <s v=""/>
    <x v="6"/>
    <n v="0.05"/>
    <s v="Spiritbank"/>
    <s v="Unknown"/>
  </r>
  <r>
    <n v="307574.11"/>
    <n v="1993597005"/>
    <s v="Actual"/>
    <s v="Long Maturity"/>
    <n v="402"/>
    <x v="627"/>
    <n v="164515.57999999999"/>
    <x v="66"/>
    <d v="2018-01-25T00:00:00"/>
    <n v="35.112328767123287"/>
    <d v="2040-02-15T00:00:00"/>
    <n v="265"/>
    <n v="230"/>
    <d v="2021-01-25T00:00:00"/>
    <s v="San Antonio Trading Group LLC &amp; South Texas Trading Inc."/>
    <s v="San Antonio, TX 78254"/>
    <n v="78254"/>
    <x v="0"/>
    <x v="26"/>
    <s v="Q"/>
    <s v=""/>
    <s v=""/>
    <x v="3"/>
    <n v="0.01"/>
    <s v="Wallis State Bank"/>
    <s v="Lessors of Nonresidential Buildings (except Miniwarehouses)"/>
  </r>
  <r>
    <n v="308823.11"/>
    <n v="2582897001"/>
    <s v="Actual"/>
    <s v="Long Maturity"/>
    <n v="402"/>
    <x v="628"/>
    <n v="3651554.63"/>
    <x v="36"/>
    <d v="2018-07-30T00:00:00"/>
    <n v="27.912328767123284"/>
    <d v="2044-08-15T00:00:00"/>
    <n v="313"/>
    <n v="284"/>
    <d v="2021-01-08T00:00:00"/>
    <s v="Fox Jacksonville LLC"/>
    <s v="Jacksonville, FL 32246"/>
    <n v="32246"/>
    <x v="1"/>
    <x v="19"/>
    <s v="Q"/>
    <s v=""/>
    <s v=""/>
    <x v="6"/>
    <n v="0.01"/>
    <s v="Ameris Bank"/>
    <s v="Hotels (except Casino Hotels) and Motels"/>
  </r>
  <r>
    <n v="309163.11"/>
    <n v="3862317001"/>
    <s v="Actual"/>
    <s v="Long Maturity"/>
    <n v="402"/>
    <x v="629"/>
    <n v="654807.99"/>
    <x v="19"/>
    <d v="2019-07-25T00:00:00"/>
    <n v="17"/>
    <d v="2044-08-15T00:00:00"/>
    <n v="301"/>
    <n v="284"/>
    <d v="2021-01-25T00:00:00"/>
    <s v="Gil Yong Park_x000a_DBA: Park's Transmission Service"/>
    <s v="Long Beach, CA 90813"/>
    <n v="90813"/>
    <x v="10"/>
    <x v="8"/>
    <s v="Q"/>
    <s v=""/>
    <s v=""/>
    <x v="6"/>
    <n v="0.03"/>
    <s v="Woori America Bank"/>
    <s v="General Automotive Repair"/>
  </r>
  <r>
    <n v="309986.11"/>
    <n v="4113507007"/>
    <s v="Actual"/>
    <s v="Long Maturity"/>
    <n v="402"/>
    <x v="630"/>
    <n v="444750.83"/>
    <x v="19"/>
    <d v="2019-11-27T00:00:00"/>
    <n v="13.033333333333331"/>
    <d v="2044-12-15T00:00:00"/>
    <n v="301"/>
    <n v="288"/>
    <d v="2021-01-25T00:00:00"/>
    <s v="J &amp; S 2019 Inc."/>
    <s v="Estacada, OR 97023"/>
    <n v="97023"/>
    <x v="21"/>
    <x v="27"/>
    <s v="Q"/>
    <s v=""/>
    <s v=""/>
    <x v="7"/>
    <n v="0.03"/>
    <s v="UniBank"/>
    <s v="Convenience Stores"/>
  </r>
  <r>
    <n v="310043.11"/>
    <n v="4038727002"/>
    <s v="Actual"/>
    <s v="Long Maturity"/>
    <n v="402"/>
    <x v="631"/>
    <n v="1370894.24"/>
    <x v="18"/>
    <d v="2019-11-25T00:00:00"/>
    <n v="13.019178082191781"/>
    <d v="2034-12-15T00:00:00"/>
    <n v="181"/>
    <n v="168"/>
    <d v="2021-01-25T00:00:00"/>
    <s v="JPS Signs LLC"/>
    <s v="Erie, PA 16506"/>
    <n v="16506"/>
    <x v="11"/>
    <x v="75"/>
    <s v="Q"/>
    <s v=""/>
    <s v=""/>
    <x v="0"/>
    <n v="0.03"/>
    <s v="KeyBank - East"/>
    <s v="Sign Manufacturing"/>
  </r>
  <r>
    <n v="310564.11"/>
    <n v="3974647000"/>
    <s v="Actual"/>
    <s v="Long Maturity"/>
    <n v="402"/>
    <x v="632"/>
    <n v="144813.69"/>
    <x v="18"/>
    <d v="2019-09-25T00:00:00"/>
    <n v="15.123287671232877"/>
    <d v="2044-10-15T00:00:00"/>
    <n v="301"/>
    <n v="286"/>
    <d v="2021-01-25T00:00:00"/>
    <s v="Schroeder Family Motorsports Inc"/>
    <s v="Deer Park, WA 99006"/>
    <n v="99006"/>
    <x v="13"/>
    <x v="136"/>
    <s v="Q"/>
    <s v=""/>
    <s v=""/>
    <x v="4"/>
    <n v="0.03"/>
    <s v="Northwest Bank"/>
    <s v="Sporting Goods Stores"/>
  </r>
  <r>
    <n v="310747.11"/>
    <n v="4037237006"/>
    <s v="Actual"/>
    <s v="Long Maturity"/>
    <n v="402"/>
    <x v="633"/>
    <n v="252772.43"/>
    <x v="44"/>
    <d v="2019-10-22T00:00:00"/>
    <n v="14.2"/>
    <d v="2044-11-15T00:00:00"/>
    <n v="301"/>
    <n v="287"/>
    <d v="2021-01-25T00:00:00"/>
    <s v="MNS &amp; S Property Inc"/>
    <s v="Dalworthington Gardens, TX 76013"/>
    <n v="76013"/>
    <x v="0"/>
    <x v="3"/>
    <s v="Q"/>
    <s v=""/>
    <s v=""/>
    <x v="6"/>
    <n v="0.03"/>
    <s v="UniBank"/>
    <s v="Full-Service Restaurants"/>
  </r>
  <r>
    <n v="310932.11"/>
    <n v="2999817005"/>
    <s v="Actual"/>
    <s v="Long Maturity"/>
    <n v="402"/>
    <x v="634"/>
    <n v="215155.09"/>
    <x v="11"/>
    <d v="2018-10-25T00:00:00"/>
    <n v="26.136986301369859"/>
    <d v="2038-11-15T00:00:00"/>
    <n v="241"/>
    <n v="215"/>
    <d v="2021-01-25T00:00:00"/>
    <s v="Back to Life Family Chiropractic LLC"/>
    <s v="Grove City, OH 43123"/>
    <n v="43123"/>
    <x v="9"/>
    <x v="35"/>
    <s v="Q"/>
    <s v=""/>
    <s v=""/>
    <x v="1"/>
    <n v="0.01"/>
    <s v="The Union Bank Company"/>
    <s v="Offices of Chiropractors"/>
  </r>
  <r>
    <n v="310942.11"/>
    <n v="4112847002"/>
    <s v="Actual"/>
    <s v="Long Maturity"/>
    <n v="402"/>
    <x v="635"/>
    <n v="178295.96"/>
    <x v="19"/>
    <d v="2019-12-27T00:00:00"/>
    <n v="11.967123287671233"/>
    <d v="2045-01-15T00:00:00"/>
    <n v="301"/>
    <n v="289"/>
    <d v="2021-01-25T00:00:00"/>
    <s v="Mary Elizabeth Realty Inc."/>
    <s v="Gloversville, NY 12078"/>
    <n v="12078"/>
    <x v="15"/>
    <x v="118"/>
    <s v="Q"/>
    <s v=""/>
    <s v=""/>
    <x v="5"/>
    <n v="0.05"/>
    <s v="KeyBank - East"/>
    <s v="Residential Remodelers"/>
  </r>
  <r>
    <n v="311739.11"/>
    <n v="4429097806"/>
    <s v="Actual"/>
    <s v="Long Maturity"/>
    <n v="402"/>
    <x v="636"/>
    <n v="1819311.63"/>
    <x v="19"/>
    <d v="2020-06-09T00:00:00"/>
    <n v="6.5095890410958903"/>
    <d v="2045-07-15T00:00:00"/>
    <n v="301"/>
    <n v="295"/>
    <d v="2020-12-24T00:00:00"/>
    <s v="Shrida LLC"/>
    <s v="Beaufort, SC 29906"/>
    <n v="29906"/>
    <x v="22"/>
    <x v="19"/>
    <s v="Q"/>
    <s v=""/>
    <s v=""/>
    <x v="4"/>
    <n v="0.05"/>
    <s v="Wallis State Bank"/>
    <s v="Hotels (except Casino Hotels) and Motels"/>
  </r>
  <r>
    <n v="311797.11"/>
    <n v="7129837805"/>
    <s v="Actual"/>
    <s v="Long Maturity"/>
    <n v="402"/>
    <x v="637"/>
    <n v="327065.67"/>
    <x v="19"/>
    <d v="2020-06-10T00:00:00"/>
    <n v="6.4767123287671229"/>
    <d v="2045-07-15T00:00:00"/>
    <n v="301"/>
    <n v="295"/>
    <d v="2020-12-24T00:00:00"/>
    <s v="Red Top LLC dba Red Top Food Mart"/>
    <s v="Temple, GA 30179"/>
    <n v="30179"/>
    <x v="2"/>
    <x v="27"/>
    <s v="Q"/>
    <s v=""/>
    <s v=""/>
    <x v="5"/>
    <n v="0.05"/>
    <s v="Wallis State Bank"/>
    <s v="Convenience Stores"/>
  </r>
  <r>
    <n v="311821.11"/>
    <n v="2916657000"/>
    <s v="Actual"/>
    <s v="Long Maturity"/>
    <n v="402"/>
    <x v="638"/>
    <n v="357389.38"/>
    <x v="23"/>
    <d v="2019-04-02T00:00:00"/>
    <n v="20.533333333333331"/>
    <d v="2045-01-15T00:00:00"/>
    <n v="309"/>
    <n v="289"/>
    <d v="2021-01-07T00:00:00"/>
    <s v="Kwil Holdings, LLC"/>
    <s v="Gainesville, TX 76240"/>
    <n v="76240"/>
    <x v="0"/>
    <x v="14"/>
    <s v="Q"/>
    <s v=""/>
    <s v=""/>
    <x v="1"/>
    <n v="0.03"/>
    <s v="Midwest Regional Bank"/>
    <s v="Wineries"/>
  </r>
  <r>
    <n v="311916.11"/>
    <n v="3446967205"/>
    <s v="Actual"/>
    <s v="Long Maturity"/>
    <n v="402"/>
    <x v="639"/>
    <n v="152783.42000000001"/>
    <x v="11"/>
    <d v="2020-06-25T00:00:00"/>
    <n v="6.0164383561643842"/>
    <d v="2045-07-15T00:00:00"/>
    <n v="301"/>
    <n v="295"/>
    <d v="2021-01-25T00:00:00"/>
    <s v="Wiggles &amp; Giggles Kiddie Academy"/>
    <s v="Cleveland, OH 44120"/>
    <n v="44120"/>
    <x v="9"/>
    <x v="0"/>
    <s v="Q"/>
    <s v=""/>
    <s v=""/>
    <x v="0"/>
    <n v="0.05"/>
    <s v="KeyBank - East"/>
    <s v="Child Day Care Services"/>
  </r>
  <r>
    <n v="311990.11"/>
    <n v="3661627407"/>
    <s v="Actual"/>
    <s v="Long Maturity"/>
    <n v="402"/>
    <x v="640"/>
    <n v="373217.98"/>
    <x v="13"/>
    <d v="2020-07-08T00:00:00"/>
    <n v="5.3917808219178083"/>
    <d v="2045-08-15T00:00:00"/>
    <n v="301"/>
    <n v="296"/>
    <d v="2021-01-26T00:00:00"/>
    <s v="DMDGarner Holdings LLC &amp; Ernest A Garner Jr DMD PLLC dba Gentle Dental"/>
    <s v="Salisbury, NC 28144"/>
    <n v="28144"/>
    <x v="6"/>
    <x v="6"/>
    <s v="Q"/>
    <s v=""/>
    <s v=""/>
    <x v="3"/>
    <n v="0.05"/>
    <s v="Citizens Bank FAO Acclivity Financia"/>
    <s v="Offices of Dentists"/>
  </r>
  <r>
    <n v="312058.11"/>
    <n v="3036868105"/>
    <s v="Actual"/>
    <s v="Long Maturity"/>
    <n v="402"/>
    <x v="641"/>
    <n v="139200.54999999999"/>
    <x v="4"/>
    <d v="2020-07-16T00:00:00"/>
    <n v="5.4575342465753423"/>
    <d v="2045-08-15T00:00:00"/>
    <n v="301"/>
    <n v="296"/>
    <d v="2021-01-26T00:00:00"/>
    <s v="Arizona Dream Team I LLC"/>
    <s v="Phoenix, AZ 85053"/>
    <n v="85053"/>
    <x v="5"/>
    <x v="178"/>
    <s v="Q"/>
    <s v=""/>
    <s v=""/>
    <x v="2"/>
    <n v="0.05"/>
    <s v="Umpqua Bank – La Mesa    "/>
    <s v="Residential Intellectual and Developmental Disability Facilities"/>
  </r>
  <r>
    <n v="312178.11"/>
    <n v="7628827905"/>
    <s v="Actual"/>
    <s v="Long Maturity"/>
    <n v="402"/>
    <x v="642"/>
    <n v="2525908"/>
    <x v="19"/>
    <d v="2020-08-05T00:00:00"/>
    <n v="4.6356164383561644"/>
    <d v="2045-09-15T00:00:00"/>
    <n v="301"/>
    <n v="297"/>
    <d v="2021-01-26T00:00:00"/>
    <s v="PAD Capital Group LLC"/>
    <s v="Corpus Christi, TX 78408"/>
    <n v="78408"/>
    <x v="0"/>
    <x v="19"/>
    <s v="Q"/>
    <s v=""/>
    <s v=""/>
    <x v="4"/>
    <n v="0.05"/>
    <s v="Wallis State Bank"/>
    <s v="Hotels (except Casino Hotels) and Motels"/>
  </r>
  <r>
    <n v="309802.11"/>
    <n v="3952207007"/>
    <s v="Actual"/>
    <s v="Long Maturity"/>
    <n v="402"/>
    <x v="643"/>
    <n v="493400.3"/>
    <x v="13"/>
    <d v="2019-09-26T00:00:00"/>
    <n v="15.287671232876711"/>
    <d v="2044-10-15T00:00:00"/>
    <n v="301"/>
    <n v="286"/>
    <d v="2021-01-03T00:00:00"/>
    <s v="Ekdant Hospitality LLC"/>
    <s v="Decatur, TX 76234"/>
    <n v="76234"/>
    <x v="0"/>
    <x v="19"/>
    <s v="Q"/>
    <s v=""/>
    <s v=""/>
    <x v="6"/>
    <n v="0.03"/>
    <s v="Golden Bank, N.A."/>
    <s v="Hotels (except Casino Hotels) and Motels"/>
  </r>
  <r>
    <n v="310101.11"/>
    <n v="2876697006"/>
    <s v="Actual"/>
    <s v="Long Maturity"/>
    <n v="402"/>
    <x v="644"/>
    <n v="117534.53"/>
    <x v="49"/>
    <d v="2019-05-23T00:00:00"/>
    <n v="19.528767123287672"/>
    <d v="2034-07-15T00:00:00"/>
    <n v="182"/>
    <n v="163"/>
    <d v="2021-01-06T00:00:00"/>
    <s v="Jessica Averitt LLC"/>
    <s v="Whitestown, IN 46075"/>
    <n v="46075"/>
    <x v="39"/>
    <x v="3"/>
    <s v="Q"/>
    <s v=""/>
    <s v=""/>
    <x v="0"/>
    <n v="0.03"/>
    <s v="The Huntington National Bank"/>
    <s v="Full-Service Restaurants"/>
  </r>
  <r>
    <n v="310742.11"/>
    <n v="4038957001"/>
    <s v="Actual"/>
    <s v="Long Maturity"/>
    <n v="402"/>
    <x v="645"/>
    <n v="314469.38"/>
    <x v="10"/>
    <d v="2019-10-28T00:00:00"/>
    <n v="12.986301369863014"/>
    <d v="2044-11-15T00:00:00"/>
    <n v="301"/>
    <n v="287"/>
    <d v="2021-01-26T00:00:00"/>
    <s v="Expertech Solutions LLC"/>
    <s v="Albany, OR 97322"/>
    <n v="97322"/>
    <x v="21"/>
    <x v="179"/>
    <s v="Q"/>
    <s v=""/>
    <s v=""/>
    <x v="4"/>
    <n v="0.03"/>
    <s v="KeyBank - East"/>
    <s v="Computer and Office Machine Repair and Maintenance"/>
  </r>
  <r>
    <n v="311416.11"/>
    <n v="2364767010"/>
    <s v="Actual"/>
    <s v="Long Maturity"/>
    <n v="402"/>
    <x v="646"/>
    <n v="822757.25"/>
    <x v="13"/>
    <d v="2018-07-27T00:00:00"/>
    <n v="28.043835616438354"/>
    <d v="2044-02-15T00:00:00"/>
    <n v="307"/>
    <n v="278"/>
    <d v="2021-01-26T00:00:00"/>
    <s v="Premier Investment Solutions Inc."/>
    <s v="Zillah, WA 98953"/>
    <n v="98953"/>
    <x v="13"/>
    <x v="31"/>
    <s v="Q"/>
    <s v=""/>
    <s v=""/>
    <x v="5"/>
    <n v="0.01"/>
    <s v="KeyBank - West"/>
    <s v="Recreational Vehicle Dealers"/>
  </r>
  <r>
    <n v="312027.11"/>
    <n v="3510067005"/>
    <s v="Actual"/>
    <s v="Long Maturity"/>
    <n v="402"/>
    <x v="647"/>
    <n v="693977.72"/>
    <x v="19"/>
    <d v="2019-07-26T00:00:00"/>
    <n v="17.030136986301368"/>
    <d v="2044-08-15T00:00:00"/>
    <n v="301"/>
    <n v="284"/>
    <d v="2021-01-25T00:00:00"/>
    <s v="Starpony Properties LLC"/>
    <s v="Cincinnati, OH 45277"/>
    <n v="45277"/>
    <x v="9"/>
    <x v="112"/>
    <s v="Q"/>
    <s v=""/>
    <s v=""/>
    <x v="4"/>
    <n v="0.03"/>
    <s v="KeyBank - East"/>
    <s v="All Other Specialty Trade Contractors"/>
  </r>
  <r>
    <n v="308086.11"/>
    <n v="9577245010"/>
    <s v="Actual"/>
    <s v="Long Maturity"/>
    <n v="402"/>
    <x v="648"/>
    <n v="2505981.84"/>
    <x v="67"/>
    <d v="2017-06-28T00:00:00"/>
    <n v="41.030136986301372"/>
    <d v="2042-08-15T00:00:00"/>
    <n v="302"/>
    <n v="260"/>
    <d v="2021-01-06T00:00:00"/>
    <s v="Harbor Marine Product, Inc"/>
    <s v="Maywood, CA 90270"/>
    <n v="90270"/>
    <x v="10"/>
    <x v="180"/>
    <s v="Q"/>
    <s v=""/>
    <s v=""/>
    <x v="8"/>
    <n v="0"/>
    <s v="Pacific City Bank"/>
    <s v="Fish and Seafood Merchant Wholesalers"/>
  </r>
  <r>
    <n v="308798.11"/>
    <n v="1337597007"/>
    <s v="Actual"/>
    <s v="Long Maturity"/>
    <n v="402"/>
    <x v="649"/>
    <n v="1904259.28"/>
    <x v="29"/>
    <d v="2018-09-27T00:00:00"/>
    <n v="27.057534246575344"/>
    <d v="2044-04-15T00:00:00"/>
    <n v="307"/>
    <n v="280"/>
    <d v="2021-01-27T00:00:00"/>
    <s v="L &amp; S Enterprise Solutions LLC"/>
    <s v="Saint Cloud, FL 34772"/>
    <n v="34772"/>
    <x v="1"/>
    <x v="22"/>
    <s v="Q"/>
    <s v=""/>
    <s v=""/>
    <x v="5"/>
    <n v="0.01"/>
    <s v="First Bank Financial Centre"/>
    <s v="Limited-Service Restaurants"/>
  </r>
  <r>
    <n v="309084.11"/>
    <n v="3802197000"/>
    <s v="Actual"/>
    <s v="Long Maturity"/>
    <n v="402"/>
    <x v="650"/>
    <n v="2934738.7"/>
    <x v="18"/>
    <d v="2019-06-28T00:00:00"/>
    <n v="16.043835616438358"/>
    <d v="2044-07-15T00:00:00"/>
    <n v="301"/>
    <n v="283"/>
    <d v="2020-12-09T00:00:00"/>
    <s v="JC Hotels LLC"/>
    <s v="Johnson City, TN 37601"/>
    <n v="37601"/>
    <x v="30"/>
    <x v="19"/>
    <s v="Q"/>
    <s v=""/>
    <s v=""/>
    <x v="3"/>
    <n v="0.03"/>
    <s v="North State Bank"/>
    <s v="Hotels (except Casino Hotels) and Motels"/>
  </r>
  <r>
    <n v="309482.11"/>
    <n v="1628367008"/>
    <s v="Actual"/>
    <s v="Long Maturity"/>
    <n v="402"/>
    <x v="651"/>
    <n v="3599878.41"/>
    <x v="45"/>
    <d v="2018-02-27T00:00:00"/>
    <n v="33.994520547945207"/>
    <d v="2044-03-15T00:00:00"/>
    <n v="313"/>
    <n v="279"/>
    <d v="2021-01-27T00:00:00"/>
    <s v="Lobdell Capital, LLC"/>
    <s v="Tomball, TX 77375"/>
    <n v="77375"/>
    <x v="0"/>
    <x v="7"/>
    <s v="Q"/>
    <s v=""/>
    <s v=""/>
    <x v="7"/>
    <n v="0.01"/>
    <s v="First Bank Financial Centre"/>
    <s v="Lessors of Miniwarehouses and Self-Storage Units"/>
  </r>
  <r>
    <n v="309635.11"/>
    <n v="2885547009"/>
    <s v="Actual"/>
    <s v="Long Maturity"/>
    <n v="402"/>
    <x v="652"/>
    <n v="305452.81"/>
    <x v="15"/>
    <d v="2018-09-28T00:00:00"/>
    <n v="27.024657534246572"/>
    <d v="2044-07-15T00:00:00"/>
    <n v="310"/>
    <n v="283"/>
    <d v="2021-01-28T00:00:00"/>
    <s v="Auto Pros1, LLC"/>
    <s v="Pinellas Park, FL 33782"/>
    <n v="33782"/>
    <x v="1"/>
    <x v="17"/>
    <s v="Q"/>
    <s v=""/>
    <s v=""/>
    <x v="1"/>
    <n v="0.01"/>
    <s v="Celtic Bank"/>
    <s v="Automotive Oil Change and Lubrication Shops"/>
  </r>
  <r>
    <n v="310199.11"/>
    <n v="4118677000"/>
    <s v="Actual"/>
    <s v="Long Maturity"/>
    <n v="402"/>
    <x v="653"/>
    <n v="127650.46"/>
    <x v="19"/>
    <d v="2019-12-02T00:00:00"/>
    <n v="12.953424657534246"/>
    <d v="2045-01-15T00:00:00"/>
    <n v="301"/>
    <n v="289"/>
    <d v="2020-12-30T00:00:00"/>
    <s v="Vine Psychiatric Associates"/>
    <s v="Centreville, VA 20121"/>
    <n v="20121"/>
    <x v="29"/>
    <x v="181"/>
    <s v="Q"/>
    <s v=""/>
    <s v=""/>
    <x v="7"/>
    <n v="0.03"/>
    <s v="Pacific City Bank"/>
    <s v="Offices of Physicians, Mental Health Specialists"/>
  </r>
  <r>
    <n v="310770.11"/>
    <n v="3993897000"/>
    <s v="Actual"/>
    <s v="Long Maturity"/>
    <n v="402"/>
    <x v="654"/>
    <n v="584865.81000000006"/>
    <x v="14"/>
    <d v="2019-09-30T00:00:00"/>
    <n v="14.958904109589042"/>
    <d v="2044-10-15T00:00:00"/>
    <n v="301"/>
    <n v="286"/>
    <d v="2021-01-28T00:00:00"/>
    <s v="Pleasant Escape Senior Living, LLC"/>
    <s v="Logansport, IN 46947"/>
    <n v="46947"/>
    <x v="39"/>
    <x v="15"/>
    <s v="Q"/>
    <s v=""/>
    <s v=""/>
    <x v="0"/>
    <n v="0.03"/>
    <s v="Celtic Bank"/>
    <s v="Assisted Living Facilities for the Elderly"/>
  </r>
  <r>
    <n v="310774.11"/>
    <n v="3970077009"/>
    <s v="Actual"/>
    <s v="Long Maturity"/>
    <n v="402"/>
    <x v="655"/>
    <n v="160112.38"/>
    <x v="3"/>
    <d v="2019-09-27T00:00:00"/>
    <n v="14.926027397260274"/>
    <d v="2044-10-15T00:00:00"/>
    <n v="301"/>
    <n v="286"/>
    <d v="2021-01-27T00:00:00"/>
    <s v="Healthy Family Dentistry, P.A."/>
    <s v="Coconut Creek, FL 33073"/>
    <n v="33073"/>
    <x v="1"/>
    <x v="6"/>
    <s v="Q"/>
    <s v=""/>
    <s v=""/>
    <x v="1"/>
    <n v="0.03"/>
    <s v="Celtic Bank"/>
    <s v="Offices of Dentists"/>
  </r>
  <r>
    <n v="311323.11"/>
    <n v="4235977006"/>
    <s v="Actual"/>
    <s v="Long Maturity"/>
    <n v="402"/>
    <x v="656"/>
    <n v="1187534.46"/>
    <x v="13"/>
    <d v="2020-02-27T00:00:00"/>
    <n v="9.8958904109589056"/>
    <d v="2045-03-15T00:00:00"/>
    <n v="301"/>
    <n v="291"/>
    <d v="2021-01-29T00:00:00"/>
    <s v="Flaming Grill of Manchester Inc."/>
    <s v="Manchester, CT 06042"/>
    <n v="6042"/>
    <x v="36"/>
    <x v="3"/>
    <s v="Q"/>
    <s v=""/>
    <s v=""/>
    <x v="3"/>
    <n v="0.05"/>
    <s v="Celtic Bank"/>
    <s v="Full-Service Restaurants"/>
  </r>
  <r>
    <n v="311597.11"/>
    <n v="3140987208"/>
    <s v="Actual"/>
    <s v="Long Maturity"/>
    <n v="402"/>
    <x v="657"/>
    <n v="151851.19"/>
    <x v="18"/>
    <d v="2020-05-12T00:00:00"/>
    <n v="7.0027397260273982"/>
    <d v="2045-06-15T00:00:00"/>
    <n v="301"/>
    <n v="294"/>
    <d v="2021-01-12T00:00:00"/>
    <s v="M&amp;R Doyle Holdings Inc."/>
    <s v="Oklahoma City, OK 73139"/>
    <n v="73139"/>
    <x v="32"/>
    <x v="89"/>
    <s v="Q"/>
    <s v=""/>
    <s v=""/>
    <x v="2"/>
    <n v="0.05"/>
    <s v="North State Bank"/>
    <s v="Other Individual and Family Services"/>
  </r>
  <r>
    <n v="312053.11"/>
    <n v="3693437000"/>
    <s v="Actual"/>
    <s v="Long Maturity"/>
    <n v="402"/>
    <x v="658"/>
    <n v="1080078.44"/>
    <x v="13"/>
    <d v="2019-04-29T00:00:00"/>
    <n v="20.054794520547944"/>
    <d v="2045-02-15T00:00:00"/>
    <n v="310"/>
    <n v="290"/>
    <d v="2021-01-29T00:00:00"/>
    <s v="CGW Group LLC"/>
    <s v="Aubrey, TX  76227"/>
    <n v="76227"/>
    <x v="0"/>
    <x v="16"/>
    <s v="Q"/>
    <s v=""/>
    <s v=""/>
    <x v="3"/>
    <n v="0.03"/>
    <s v="Celtic Bank"/>
    <s v="Car Washes"/>
  </r>
  <r>
    <n v="312134.11"/>
    <n v="4122507009"/>
    <s v="Actual"/>
    <s v="Long Maturity"/>
    <n v="402"/>
    <x v="659"/>
    <n v="2244132.36"/>
    <x v="4"/>
    <d v="2019-11-27T00:00:00"/>
    <n v="13.052054794520549"/>
    <d v="2044-12-15T00:00:00"/>
    <n v="301"/>
    <n v="288"/>
    <d v="2021-01-27T00:00:00"/>
    <s v="Cre8ive Beginnings of Illinois Holdings Inc. "/>
    <s v="Springfield, IL 62704"/>
    <n v="62704"/>
    <x v="3"/>
    <x v="15"/>
    <s v="Q"/>
    <s v=""/>
    <s v=""/>
    <x v="2"/>
    <n v="0.03"/>
    <s v="Stearns Bank, N.A."/>
    <s v="Assisted Living Facilities for the Elderly"/>
  </r>
  <r>
    <n v="312164.11"/>
    <n v="4120997001"/>
    <s v="Actual"/>
    <s v="Long Maturity"/>
    <n v="402"/>
    <x v="660"/>
    <n v="171113.46"/>
    <x v="11"/>
    <d v="2019-11-27T00:00:00"/>
    <n v="13.052054794520549"/>
    <d v="2034-12-15T00:00:00"/>
    <n v="181"/>
    <n v="168"/>
    <d v="2021-01-27T00:00:00"/>
    <s v="Russtic Inspirations Inc"/>
    <s v="Monett, MO 65708"/>
    <n v="65708"/>
    <x v="28"/>
    <x v="182"/>
    <s v="Q"/>
    <s v=""/>
    <s v=""/>
    <x v="1"/>
    <n v="0.03"/>
    <s v="Stearns Bank, N.A."/>
    <s v="Commercial Screen Printing"/>
  </r>
  <r>
    <n v="308784.11"/>
    <n v="2485247003"/>
    <s v="Actual"/>
    <s v="Long Maturity"/>
    <n v="402"/>
    <x v="661"/>
    <n v="1281990.71"/>
    <x v="6"/>
    <d v="2018-08-29T00:00:00"/>
    <n v="29.063013698630137"/>
    <d v="2038-09-15T00:00:00"/>
    <n v="241"/>
    <n v="213"/>
    <d v="2021-02-26T00:00:00"/>
    <s v="Krazy Donuts LLC"/>
    <s v="Katy, TX 77493"/>
    <n v="77493"/>
    <x v="0"/>
    <x v="84"/>
    <s v="Q"/>
    <s v=""/>
    <s v=""/>
    <x v="3"/>
    <n v="0.01"/>
    <s v="Spirit of Texas Bank"/>
    <s v="Snack and Nonalcoholic Beverage Bars"/>
  </r>
  <r>
    <n v="308892.11"/>
    <n v="3691057000"/>
    <s v="Actual"/>
    <s v="Long Maturity"/>
    <n v="402"/>
    <x v="662"/>
    <n v="350211.62"/>
    <x v="40"/>
    <d v="2019-05-29T00:00:00"/>
    <n v="18.049315068493151"/>
    <d v="2044-06-15T00:00:00"/>
    <n v="301"/>
    <n v="282"/>
    <d v="2020-11-28T00:00:00"/>
    <s v="O'Brien &amp; Company LLC"/>
    <s v="Dundee, OR 97115"/>
    <n v="97115"/>
    <x v="21"/>
    <x v="183"/>
    <s v="Q"/>
    <s v=""/>
    <s v=""/>
    <x v="4"/>
    <n v="0.03"/>
    <s v="KeyBank - West"/>
    <s v="Commercial and Institutional Building Construction"/>
  </r>
  <r>
    <n v="308934.11"/>
    <n v="3628207005"/>
    <s v="Actual"/>
    <s v="Long Maturity"/>
    <n v="402"/>
    <x v="663"/>
    <n v="116884.7"/>
    <x v="4"/>
    <d v="2019-03-29T00:00:00"/>
    <n v="21.041095890410958"/>
    <d v="2044-04-15T00:00:00"/>
    <n v="301"/>
    <n v="280"/>
    <d v="2021-01-28T00:00:00"/>
    <s v="Nomad Deli and Catering Company, LLC"/>
    <s v="Richmond, VA 23222"/>
    <n v="23222"/>
    <x v="29"/>
    <x v="22"/>
    <s v="Q"/>
    <s v=""/>
    <s v=""/>
    <x v="4"/>
    <n v="0.03"/>
    <s v="VCC Bank"/>
    <s v="Limited-Service Restaurants"/>
  </r>
  <r>
    <n v="310363.11"/>
    <n v="4165937009"/>
    <s v="Actual"/>
    <s v="Long Maturity"/>
    <n v="402"/>
    <x v="664"/>
    <n v="214628.43"/>
    <x v="45"/>
    <d v="2019-12-30T00:00:00"/>
    <n v="13.133333333333335"/>
    <d v="2045-01-15T00:00:00"/>
    <n v="301"/>
    <n v="289"/>
    <d v="2021-03-07T00:00:00"/>
    <s v="Shree Kanta 1, Inc."/>
    <s v="Waleska, GA 30183"/>
    <n v="30183"/>
    <x v="2"/>
    <x v="3"/>
    <s v="Q"/>
    <s v=""/>
    <s v=""/>
    <x v="7"/>
    <n v="0.03"/>
    <s v="Greater Community Bank"/>
    <s v="Full-Service Restaurants"/>
  </r>
  <r>
    <n v="310764.11"/>
    <n v="3973107000"/>
    <s v="Actual"/>
    <s v="Long Maturity"/>
    <n v="402"/>
    <x v="665"/>
    <n v="3658297.84"/>
    <x v="11"/>
    <d v="2019-10-01T00:00:00"/>
    <n v="15.813698630136987"/>
    <d v="2044-11-15T00:00:00"/>
    <n v="301"/>
    <n v="287"/>
    <d v="2021-02-22T00:00:00"/>
    <s v="Shree Hari of Auburn Hills, Inc."/>
    <s v="Auburn Hills, MI 48326"/>
    <n v="48326"/>
    <x v="8"/>
    <x v="19"/>
    <s v="Q"/>
    <s v=""/>
    <s v=""/>
    <x v="3"/>
    <n v="0.03"/>
    <s v="Home Loan Investment Bank, FSB"/>
    <s v="Hotels (except Casino Hotels) and Motels"/>
  </r>
  <r>
    <n v="310771.11"/>
    <n v="4001977003"/>
    <s v="Actual"/>
    <s v="Long Maturity"/>
    <n v="402"/>
    <x v="666"/>
    <n v="536224.16"/>
    <x v="3"/>
    <d v="2019-09-30T00:00:00"/>
    <n v="14.8"/>
    <d v="2044-10-15T00:00:00"/>
    <n v="301"/>
    <n v="286"/>
    <d v="2021-01-29T00:00:00"/>
    <s v="Legacy Early Learning Academy LLC"/>
    <s v="Fair Grove, MO 65648"/>
    <n v="65648"/>
    <x v="28"/>
    <x v="0"/>
    <s v="Q"/>
    <s v=""/>
    <s v=""/>
    <x v="1"/>
    <n v="0.03"/>
    <s v="Oak Star Bank"/>
    <s v="Child Day Care Services"/>
  </r>
  <r>
    <n v="311414.11"/>
    <n v="3324617000"/>
    <s v="Actual"/>
    <s v="Long Maturity"/>
    <n v="402"/>
    <x v="667"/>
    <n v="859092.89"/>
    <x v="13"/>
    <d v="2020-04-30T00:00:00"/>
    <n v="7.956164383561644"/>
    <d v="2045-05-15T00:00:00"/>
    <n v="301"/>
    <n v="293"/>
    <d v="2021-01-28T00:00:00"/>
    <s v="Carroll Crew LLC / Pat's Pizza"/>
    <s v="Hampden, ME 04444"/>
    <n v="4444"/>
    <x v="41"/>
    <x v="3"/>
    <s v="Q"/>
    <s v=""/>
    <s v=""/>
    <x v="3"/>
    <n v="0.05"/>
    <s v="KeyBank - East"/>
    <s v="Full-Service Restaurants"/>
  </r>
  <r>
    <n v="312031.11"/>
    <n v="3449537200"/>
    <s v="Actual"/>
    <s v="Long Maturity"/>
    <n v="402"/>
    <x v="668"/>
    <n v="436848"/>
    <x v="4"/>
    <d v="2020-06-30T00:00:00"/>
    <n v="4.9643835616438361"/>
    <d v="2045-07-15T00:00:00"/>
    <n v="301"/>
    <n v="295"/>
    <d v="2021-01-25T00:00:00"/>
    <s v="Montgomery's Service Inc."/>
    <s v="West Seneca, NY 14224"/>
    <n v="14224"/>
    <x v="15"/>
    <x v="184"/>
    <s v="Q"/>
    <s v=""/>
    <s v=""/>
    <x v="2"/>
    <n v="0.05"/>
    <s v="KeyBank - East"/>
    <s v="Motor Vehicle Towing"/>
  </r>
  <r>
    <n v="306901.11"/>
    <n v="9787975004"/>
    <s v="Actual"/>
    <s v="Long Maturity"/>
    <n v="402"/>
    <x v="669"/>
    <n v="2341641.79"/>
    <x v="9"/>
    <d v="2017-09-29T00:00:00"/>
    <n v="38.991780821917814"/>
    <d v="2043-10-15T00:00:00"/>
    <n v="313"/>
    <n v="274"/>
    <d v="2021-01-28T00:00:00"/>
    <s v="Washtopia 2 LLC"/>
    <s v="Nashville, TN 37206"/>
    <n v="37206"/>
    <x v="30"/>
    <x v="16"/>
    <s v="Q"/>
    <s v=""/>
    <s v=""/>
    <x v="3"/>
    <n v="0"/>
    <s v="Synovus Bank"/>
    <s v="Car Washes"/>
  </r>
  <r>
    <n v="308225.11"/>
    <n v="3525617007"/>
    <s v="Actual"/>
    <s v="Long Maturity"/>
    <n v="402"/>
    <x v="670"/>
    <n v="2171408.84"/>
    <x v="19"/>
    <d v="2019-03-28T00:00:00"/>
    <n v="20.033333333333335"/>
    <d v="2044-04-15T00:00:00"/>
    <n v="301"/>
    <n v="280"/>
    <d v="2021-01-03T00:00:00"/>
    <s v="Khushi Hospitality LLC"/>
    <s v="Groton, CT 06340"/>
    <n v="6340"/>
    <x v="36"/>
    <x v="19"/>
    <s v="Q"/>
    <s v=""/>
    <s v=""/>
    <x v="6"/>
    <n v="0.03"/>
    <s v="Savoy Bank"/>
    <s v="Hotels (except Casino Hotels) and Motels"/>
  </r>
  <r>
    <n v="308321.11"/>
    <n v="3475357002"/>
    <s v="Actual"/>
    <s v="Long Maturity"/>
    <n v="402"/>
    <x v="671"/>
    <n v="2111157.5699999998"/>
    <x v="39"/>
    <d v="2019-04-09T00:00:00"/>
    <n v="19.666666666666664"/>
    <d v="2044-05-15T00:00:00"/>
    <n v="301"/>
    <n v="281"/>
    <d v="2020-12-30T00:00:00"/>
    <s v="Corning Hotel Co. LLC &amp; Opes Management Inc."/>
    <s v="Corning, NY 14830"/>
    <n v="14830"/>
    <x v="15"/>
    <x v="19"/>
    <s v="Q"/>
    <s v=""/>
    <s v=""/>
    <x v="7"/>
    <n v="0.03"/>
    <s v="Savoy Bank"/>
    <s v="Hotels (except Casino Hotels) and Motels"/>
  </r>
  <r>
    <n v="309989.11"/>
    <n v="4079007005"/>
    <s v="Actual"/>
    <s v="Long Maturity"/>
    <n v="402"/>
    <x v="672"/>
    <n v="705016.13"/>
    <x v="13"/>
    <d v="2019-11-25T00:00:00"/>
    <n v="13.066666666666666"/>
    <d v="2044-12-15T00:00:00"/>
    <n v="301"/>
    <n v="288"/>
    <d v="2020-12-27T00:00:00"/>
    <s v="Maruti Hospitality LLC"/>
    <s v="Neptune City, NJ 07753"/>
    <n v="7753"/>
    <x v="17"/>
    <x v="19"/>
    <s v="Q"/>
    <s v=""/>
    <s v=""/>
    <x v="6"/>
    <n v="0.03"/>
    <s v="Savoy Bank"/>
    <s v="Hotels (except Casino Hotels) and Motels"/>
  </r>
  <r>
    <n v="310162.11"/>
    <n v="4103807010"/>
    <s v="Actual"/>
    <s v="Long Maturity"/>
    <n v="402"/>
    <x v="673"/>
    <n v="3686911.36"/>
    <x v="21"/>
    <d v="2019-11-27T00:00:00"/>
    <n v="13.578082191780821"/>
    <d v="2045-01-15T00:00:00"/>
    <n v="302"/>
    <n v="289"/>
    <d v="2021-01-13T00:00:00"/>
    <s v="West Sacramento Hospitality LLC"/>
    <s v="West Sacramento, CA 95691"/>
    <n v="95691"/>
    <x v="10"/>
    <x v="19"/>
    <s v="Q"/>
    <s v=""/>
    <s v=""/>
    <x v="6"/>
    <n v="0.03"/>
    <s v="Pinnacle Bank"/>
    <s v="Hotels (except Casino Hotels) and Motels"/>
  </r>
  <r>
    <n v="310315.11"/>
    <n v="2840597009"/>
    <s v="Actual"/>
    <s v="Long Maturity"/>
    <n v="402"/>
    <x v="674"/>
    <n v="1422202.48"/>
    <x v="26"/>
    <d v="2018-11-30T00:00:00"/>
    <n v="24.986301369863014"/>
    <d v="2043-12-15T00:00:00"/>
    <n v="301"/>
    <n v="276"/>
    <d v="2021-01-29T00:00:00"/>
    <s v="Sylvain Funeral Home and Cremation Svcs LLC"/>
    <s v="McDonough, GA 30253"/>
    <n v="30253"/>
    <x v="2"/>
    <x v="76"/>
    <s v="Q"/>
    <s v=""/>
    <s v=""/>
    <x v="3"/>
    <n v="0.01"/>
    <s v="Synovus Bank"/>
    <s v="Funeral Homes and Funeral Services"/>
  </r>
  <r>
    <n v="311343.11"/>
    <n v="4272797010"/>
    <s v="Actual"/>
    <s v="Long Maturity"/>
    <n v="402"/>
    <x v="675"/>
    <n v="3686756.1"/>
    <x v="13"/>
    <d v="2020-03-11T00:00:00"/>
    <n v="8.9753424657534246"/>
    <d v="2045-04-15T00:00:00"/>
    <n v="301"/>
    <n v="292"/>
    <d v="2021-01-20T00:00:00"/>
    <s v="AAASYE Galaxy Investment LLC"/>
    <s v="Dublin, CA 94568"/>
    <n v="94568"/>
    <x v="10"/>
    <x v="19"/>
    <s v="Q"/>
    <s v=""/>
    <s v=""/>
    <x v="3"/>
    <n v="0.05"/>
    <s v="Celtic Bank"/>
    <s v="Hotels (except Casino Hotels) and Motels"/>
  </r>
  <r>
    <n v="306465.11"/>
    <n v="9544005001"/>
    <s v="Actual"/>
    <s v="Long Maturity"/>
    <n v="402"/>
    <x v="676"/>
    <n v="862672.31"/>
    <x v="24"/>
    <d v="2017-06-30T00:00:00"/>
    <n v="42.049315068493151"/>
    <d v="2042-11-15T00:00:00"/>
    <n v="305"/>
    <n v="263"/>
    <d v="2021-01-29T00:00:00"/>
    <s v="Tom's Live Market LLC &amp; MKKL Holdings LLC"/>
    <s v="Omaha, NE 68107"/>
    <n v="68107"/>
    <x v="43"/>
    <x v="153"/>
    <s v="Q"/>
    <s v=""/>
    <s v=""/>
    <x v="1"/>
    <n v="0"/>
    <s v="North State Bank"/>
    <s v="Meat Markets"/>
  </r>
  <r>
    <n v="306891.11"/>
    <n v="2834557001"/>
    <s v="Actual"/>
    <s v="Long Maturity"/>
    <n v="402"/>
    <x v="677"/>
    <n v="145790.09"/>
    <x v="4"/>
    <d v="2018-10-25T00:00:00"/>
    <n v="26.202739726027396"/>
    <d v="2043-11-15T00:00:00"/>
    <n v="301"/>
    <n v="275"/>
    <d v="2021-01-27T00:00:00"/>
    <s v="Brian Dilley dba Buck &amp; Dumb Bass Outdoors"/>
    <s v="Mooresville, IN 46158"/>
    <n v="46158"/>
    <x v="39"/>
    <x v="79"/>
    <s v="Q"/>
    <s v=""/>
    <s v=""/>
    <x v="0"/>
    <n v="0.01"/>
    <s v="Home Bank SB"/>
    <s v="All Other Miscellaneous Store Retailers (except Tobacco Stores)"/>
  </r>
  <r>
    <n v="309268.11"/>
    <n v="9813515000"/>
    <s v="Actual"/>
    <s v="Long Maturity"/>
    <n v="402"/>
    <x v="678"/>
    <n v="2126544.7200000002"/>
    <x v="41"/>
    <d v="2018-03-30T00:00:00"/>
    <n v="33.106849315068494"/>
    <d v="2044-03-15T00:00:00"/>
    <n v="312"/>
    <n v="279"/>
    <d v="2021-02-01T00:00:00"/>
    <s v="TJHA Facilities LLC"/>
    <s v="Glendale, AZ 85308"/>
    <n v="85308"/>
    <x v="5"/>
    <x v="15"/>
    <s v="Q"/>
    <s v=""/>
    <s v=""/>
    <x v="2"/>
    <n v="0.01"/>
    <s v="First Bank Financial Centre"/>
    <s v="Assisted Living Facilities for the Elderly"/>
  </r>
  <r>
    <n v="310673.11"/>
    <n v="4212157004"/>
    <s v="Actual"/>
    <s v="Long Maturity"/>
    <n v="402"/>
    <x v="679"/>
    <n v="2442759.96"/>
    <x v="19"/>
    <d v="2020-01-31T00:00:00"/>
    <n v="10.915068493150685"/>
    <d v="2045-02-15T00:00:00"/>
    <n v="301"/>
    <n v="290"/>
    <d v="2021-01-28T00:00:00"/>
    <s v="Siya Ram LLC"/>
    <s v="Temple, TX 76504"/>
    <n v="76504"/>
    <x v="0"/>
    <x v="19"/>
    <s v="Q"/>
    <s v=""/>
    <s v=""/>
    <x v="5"/>
    <n v="0.05"/>
    <s v="Wallis State Bank"/>
    <s v="Hotels (except Casino Hotels) and Motels"/>
  </r>
  <r>
    <n v="310867.11"/>
    <n v="3244747004"/>
    <s v="Actual"/>
    <s v="Long Maturity"/>
    <n v="402"/>
    <x v="680"/>
    <n v="1933771.86"/>
    <x v="23"/>
    <d v="2018-12-07T00:00:00"/>
    <n v="24.789041095890411"/>
    <d v="2044-01-15T00:00:00"/>
    <n v="301"/>
    <n v="277"/>
    <d v="2021-01-30T00:00:00"/>
    <s v="Energetix Management Inc."/>
    <s v="Pittsford, NY 14534"/>
    <n v="14534"/>
    <x v="15"/>
    <x v="4"/>
    <s v="Q"/>
    <s v=""/>
    <s v=""/>
    <x v="0"/>
    <n v="0.01"/>
    <s v="KeyBank - East"/>
    <s v="Gasoline Stations with Convenience Stores"/>
  </r>
  <r>
    <n v="311342.11"/>
    <n v="4271427002"/>
    <s v="Actual"/>
    <s v="Long Maturity"/>
    <n v="402"/>
    <x v="681"/>
    <n v="579151.46"/>
    <x v="23"/>
    <d v="2020-03-31T00:00:00"/>
    <n v="9.008219178082193"/>
    <d v="2045-04-15T00:00:00"/>
    <n v="301"/>
    <n v="292"/>
    <d v="2021-01-29T00:00:00"/>
    <s v="214 Mallory Ave Partners LLC"/>
    <s v="Chesilhurst, NJ 08089"/>
    <n v="8089"/>
    <x v="17"/>
    <x v="48"/>
    <s v="Q"/>
    <s v=""/>
    <s v=""/>
    <x v="2"/>
    <n v="0.05"/>
    <s v="Celtic Bank"/>
    <s v="Other Residential Care Facilities"/>
  </r>
  <r>
    <n v="311399.11"/>
    <n v="4249047010"/>
    <s v="Actual"/>
    <s v="Long Maturity"/>
    <n v="402"/>
    <x v="682"/>
    <n v="332127.18"/>
    <x v="4"/>
    <d v="2020-03-02T00:00:00"/>
    <n v="8.9753424657534246"/>
    <d v="2045-04-15T00:00:00"/>
    <n v="301"/>
    <n v="292"/>
    <d v="2021-01-01T00:00:00"/>
    <s v="Formula Automotive Group"/>
    <s v="Tujunga, CA 91042"/>
    <n v="91042"/>
    <x v="10"/>
    <x v="8"/>
    <s v="Q"/>
    <s v=""/>
    <s v=""/>
    <x v="5"/>
    <n v="0.05"/>
    <s v="U.S. Metro Bank"/>
    <s v="General Automotive Repair"/>
  </r>
  <r>
    <n v="311608.11"/>
    <n v="4298497001"/>
    <s v="Actual"/>
    <s v="Long Maturity"/>
    <n v="402"/>
    <x v="683"/>
    <n v="740920"/>
    <x v="4"/>
    <d v="2020-04-30T00:00:00"/>
    <n v="7.0356164383561648"/>
    <d v="2045-05-15T00:00:00"/>
    <n v="301"/>
    <n v="293"/>
    <d v="2021-01-31T00:00:00"/>
    <s v="Bartlebuss Enterprises LLC"/>
    <s v="Portland, OR 97217"/>
    <n v="97217"/>
    <x v="21"/>
    <x v="1"/>
    <s v="Q"/>
    <s v=""/>
    <s v=""/>
    <x v="5"/>
    <n v="0.05"/>
    <s v="KeyBank - West"/>
    <s v="Fitness and Recreational Sports Centers"/>
  </r>
  <r>
    <n v="311613.11"/>
    <n v="3962627008"/>
    <s v="Actual"/>
    <s v="Long Maturity"/>
    <n v="402"/>
    <x v="684"/>
    <n v="384248.01"/>
    <x v="18"/>
    <d v="2019-11-01T00:00:00"/>
    <n v="13.742465753424657"/>
    <d v="2045-03-15T00:00:00"/>
    <n v="304"/>
    <n v="291"/>
    <d v="2021-01-11T00:00:00"/>
    <s v="LL Cooper Enterprises, LLC &amp; Cooper LL Management, LLC"/>
    <s v="Locust Grove, GA 30248"/>
    <n v="30248"/>
    <x v="2"/>
    <x v="3"/>
    <s v="Q"/>
    <s v=""/>
    <s v=""/>
    <x v="0"/>
    <n v="0.03"/>
    <s v="The Piedmont Bank"/>
    <s v="Full-Service Restaurants"/>
  </r>
  <r>
    <n v="312015.11"/>
    <n v="5317978109"/>
    <s v="Actual"/>
    <s v="Long Maturity"/>
    <n v="402"/>
    <x v="685"/>
    <n v="2820993.4"/>
    <x v="13"/>
    <d v="2020-07-30T00:00:00"/>
    <n v="4.602739726027397"/>
    <d v="2045-08-15T00:00:00"/>
    <n v="301"/>
    <n v="296"/>
    <d v="2021-01-25T00:00:00"/>
    <s v="Shriji Shani Sai"/>
    <s v="Gardendale, AL 35071"/>
    <n v="35071"/>
    <x v="35"/>
    <x v="19"/>
    <s v="Q"/>
    <s v=""/>
    <s v=""/>
    <x v="3"/>
    <n v="0.05"/>
    <s v="Peoples Bank "/>
    <s v="Hotels (except Casino Hotels) and Motels"/>
  </r>
  <r>
    <n v="312125.11"/>
    <n v="8108478109"/>
    <s v="Actual"/>
    <s v="Long Maturity"/>
    <n v="402"/>
    <x v="686"/>
    <n v="701636.03"/>
    <x v="15"/>
    <d v="2020-07-31T00:00:00"/>
    <n v="5"/>
    <d v="2036-08-15T00:00:00"/>
    <n v="193"/>
    <n v="188"/>
    <d v="2021-01-30T00:00:00"/>
    <s v="Pride Automorive LLC &amp; JA Ortiz Properties LLC "/>
    <s v="Nixa, MO 65714"/>
    <n v="65714"/>
    <x v="28"/>
    <x v="8"/>
    <s v="Q"/>
    <s v=""/>
    <s v=""/>
    <x v="1"/>
    <n v="0.05"/>
    <s v="Regent Bank"/>
    <s v="General Automotive Repair"/>
  </r>
  <r>
    <n v="304849.11"/>
    <n v="9334465001"/>
    <s v="Actual"/>
    <s v="Long Maturity"/>
    <n v="402"/>
    <x v="687"/>
    <n v="344968.14"/>
    <x v="22"/>
    <d v="2017-04-04T00:00:00"/>
    <n v="44.38356164383562"/>
    <d v="2037-05-15T00:00:00"/>
    <n v="241"/>
    <n v="197"/>
    <d v="2021-01-12T00:00:00"/>
    <s v="MI Box of Central NH, LLC"/>
    <s v="Merrimack, NH 03054"/>
    <n v="3054"/>
    <x v="42"/>
    <x v="7"/>
    <s v="Q"/>
    <s v=""/>
    <s v=""/>
    <x v="3"/>
    <n v="0"/>
    <s v="Live Oak Banking Co."/>
    <s v="Lessors of Miniwarehouses and Self-Storage Units"/>
  </r>
  <r>
    <n v="310901.11"/>
    <n v="4202387010"/>
    <s v="Actual"/>
    <s v="Long Maturity"/>
    <n v="402"/>
    <x v="688"/>
    <n v="1261641.94"/>
    <x v="13"/>
    <d v="2020-02-19T00:00:00"/>
    <n v="11.408219178082192"/>
    <d v="2045-03-15T00:00:00"/>
    <n v="301"/>
    <n v="291"/>
    <d v="2021-01-31T00:00:00"/>
    <s v="Canal Property LLC and Rans Joint LLC dba Canal Property"/>
    <s v="Hiouston, TX  77003"/>
    <n v="77003"/>
    <x v="0"/>
    <x v="47"/>
    <s v="Q"/>
    <s v=""/>
    <s v=""/>
    <x v="6"/>
    <n v="0.05"/>
    <s v="Southwestern National Bank"/>
    <s v="Gasoline Stations"/>
  </r>
  <r>
    <n v="310305.11"/>
    <n v="3554787000"/>
    <s v="Actual"/>
    <s v="Long Maturity"/>
    <n v="402"/>
    <x v="689"/>
    <n v="912799.6"/>
    <x v="46"/>
    <d v="2019-03-29T00:00:00"/>
    <n v="21.073972602739726"/>
    <d v="2044-08-15T00:00:00"/>
    <n v="305"/>
    <n v="284"/>
    <d v="2021-01-29T00:00:00"/>
    <s v="Champion Group Holdings, LLC / A-Dawg Adventures Inc."/>
    <s v="Geneva, IL 60134"/>
    <n v="60134"/>
    <x v="3"/>
    <x v="24"/>
    <s v="Q"/>
    <s v=""/>
    <s v=""/>
    <x v="1"/>
    <n v="0.03"/>
    <s v="Busey Bank"/>
    <s v="Pet Care (except Veterinary) Services"/>
  </r>
  <r>
    <n v="310777.11"/>
    <n v="2632467000"/>
    <s v="Actual"/>
    <s v="Long Maturity"/>
    <n v="402"/>
    <x v="690"/>
    <n v="1416519.71"/>
    <x v="25"/>
    <d v="2019-09-24T00:00:00"/>
    <n v="14.301369863013701"/>
    <d v="2044-10-15T00:00:00"/>
    <n v="301"/>
    <n v="286"/>
    <d v="2020-12-02T00:00:00"/>
    <s v="Beximco Enterprise LLC and Rafrafin Enterprise Inc"/>
    <s v="Princeton, TX 75407"/>
    <n v="75407"/>
    <x v="0"/>
    <x v="22"/>
    <s v="Q"/>
    <s v=""/>
    <s v=""/>
    <x v="5"/>
    <n v="0.03"/>
    <s v="MetroCity Bank"/>
    <s v="Limited-Service Restaurants"/>
  </r>
  <r>
    <n v="310003.11"/>
    <n v="4059447000"/>
    <s v="Actual"/>
    <s v="Long Maturity"/>
    <n v="402"/>
    <x v="691"/>
    <n v="1393750.19"/>
    <x v="13"/>
    <d v="2019-11-22T00:00:00"/>
    <n v="13.282191780821917"/>
    <d v="2044-12-15T00:00:00"/>
    <n v="301"/>
    <n v="288"/>
    <d v="2021-02-07T00:00:00"/>
    <s v="P &amp; S Hospitality, LLC"/>
    <s v="Lithonia, GA 30038"/>
    <n v="30038"/>
    <x v="2"/>
    <x v="19"/>
    <s v="Q"/>
    <s v=""/>
    <s v=""/>
    <x v="3"/>
    <n v="0.03"/>
    <s v="Heritage Bank"/>
    <s v="Hotels (except Casino Hotels) and Motels"/>
  </r>
  <r>
    <n v="310129.11"/>
    <n v="3407527003"/>
    <s v="Actual"/>
    <s v="Long Maturity"/>
    <n v="402"/>
    <x v="692"/>
    <n v="947544.8"/>
    <x v="2"/>
    <d v="2019-01-15T00:00:00"/>
    <n v="23.605479452054794"/>
    <d v="2045-02-15T00:00:00"/>
    <n v="313"/>
    <n v="290"/>
    <d v="2021-02-03T00:00:00"/>
    <s v="Rincon Collective LLC / Mojave East LLC"/>
    <s v="Cincinnati, OH 45244"/>
    <n v="45244"/>
    <x v="9"/>
    <x v="26"/>
    <s v="Q"/>
    <s v=""/>
    <s v=""/>
    <x v="1"/>
    <n v="0.03"/>
    <s v="First Savings Bank"/>
    <s v="Lessors of Nonresidential Buildings (except Miniwarehouses)"/>
  </r>
  <r>
    <n v="309661.11"/>
    <n v="2387267005"/>
    <s v="Actual"/>
    <s v="Long Maturity"/>
    <n v="402"/>
    <x v="693"/>
    <n v="1988379.97"/>
    <x v="18"/>
    <d v="2018-03-29T00:00:00"/>
    <n v="34.323287671232876"/>
    <d v="2044-04-15T00:00:00"/>
    <n v="313"/>
    <n v="280"/>
    <d v="2021-03-08T00:00:00"/>
    <s v="Radha Raman LLC dba Crystal Inn"/>
    <s v="Houston, TX 77026"/>
    <n v="77026"/>
    <x v="0"/>
    <x v="19"/>
    <s v="Q"/>
    <s v=""/>
    <s v=""/>
    <x v="3"/>
    <n v="0.01"/>
    <s v="Wallis State Bank"/>
    <s v="Hotels (except Casino Hotels) and Motels"/>
  </r>
  <r>
    <n v="310902.11"/>
    <n v="4210977010"/>
    <s v="Actual"/>
    <s v="Long Maturity"/>
    <n v="402"/>
    <x v="694"/>
    <n v="1184243.74"/>
    <x v="13"/>
    <d v="2020-02-13T00:00:00"/>
    <n v="10.684931506849315"/>
    <d v="2045-03-15T00:00:00"/>
    <n v="301"/>
    <n v="291"/>
    <d v="2021-01-03T00:00:00"/>
    <s v="Yield Hospitality LLC dba Budget Host Inn"/>
    <s v="Houston, TX  77031"/>
    <n v="77031"/>
    <x v="0"/>
    <x v="19"/>
    <s v="Q"/>
    <s v=""/>
    <s v=""/>
    <x v="6"/>
    <n v="0.05"/>
    <s v="Southwestern National Bank"/>
    <s v="Hotels (except Casino Hotels) and Motels"/>
  </r>
  <r>
    <n v="309887.11"/>
    <n v="3975457004"/>
    <s v="Actual"/>
    <s v="Long Maturity"/>
    <n v="402"/>
    <x v="695"/>
    <n v="2300539.23"/>
    <x v="4"/>
    <d v="2019-09-30T00:00:00"/>
    <n v="15.386301369863014"/>
    <d v="2044-10-15T00:00:00"/>
    <n v="301"/>
    <n v="286"/>
    <d v="2021-02-09T00:00:00"/>
    <s v="Gamehendge Inc."/>
    <s v="Spanish Fort, AL 36527"/>
    <n v="36527"/>
    <x v="35"/>
    <x v="3"/>
    <s v="Q"/>
    <s v=""/>
    <s v=""/>
    <x v="2"/>
    <n v="0.03"/>
    <s v="North State Bank"/>
    <s v="Full-Service Restaurants"/>
  </r>
  <r>
    <n v="310058.11"/>
    <n v="3870677004"/>
    <s v="Actual"/>
    <s v="Long Maturity"/>
    <n v="402"/>
    <x v="696"/>
    <n v="114517.43"/>
    <x v="13"/>
    <d v="2019-07-25T00:00:00"/>
    <n v="17.194520547945206"/>
    <d v="2044-08-15T00:00:00"/>
    <n v="301"/>
    <n v="284"/>
    <d v="2021-01-26T00:00:00"/>
    <s v="Camelia E. Antim "/>
    <s v="San Jacinto, CA 92583"/>
    <n v="92583"/>
    <x v="10"/>
    <x v="112"/>
    <s v="Q"/>
    <s v=""/>
    <s v=""/>
    <x v="6"/>
    <n v="0.03"/>
    <s v="Community Valley Bank"/>
    <s v="All Other Specialty Trade Contractors"/>
  </r>
  <r>
    <n v="309289.11"/>
    <n v="3691137000"/>
    <s v="Actual"/>
    <s v="Long Maturity"/>
    <n v="402"/>
    <x v="697"/>
    <n v="896004.7"/>
    <x v="11"/>
    <d v="2019-04-26T00:00:00"/>
    <n v="20.646575342465752"/>
    <d v="2034-08-15T00:00:00"/>
    <n v="184"/>
    <n v="164"/>
    <d v="2021-02-16T00:00:00"/>
    <s v="Chuckanut Real Estate Solutions LLC"/>
    <s v="Bellevue, WA 98004"/>
    <n v="98004"/>
    <x v="13"/>
    <x v="185"/>
    <s v="Q"/>
    <s v=""/>
    <s v=""/>
    <x v="1"/>
    <n v="0.03"/>
    <s v="Stearns Bank, N.A."/>
    <s v="Nonresidential Property Managers"/>
  </r>
  <r>
    <n v="309756.11"/>
    <n v="4022067000"/>
    <s v="Actual"/>
    <s v="Long Maturity"/>
    <n v="402"/>
    <x v="698"/>
    <n v="256405.56"/>
    <x v="11"/>
    <d v="2019-10-25T00:00:00"/>
    <n v="15.419178082191781"/>
    <d v="2044-11-15T00:00:00"/>
    <n v="301"/>
    <n v="287"/>
    <d v="2021-03-06T00:00:00"/>
    <s v="Architectural Stone South, Inc."/>
    <s v="Carrollton, GA 30117"/>
    <n v="30117"/>
    <x v="2"/>
    <x v="156"/>
    <s v="Q"/>
    <s v=""/>
    <s v=""/>
    <x v="3"/>
    <n v="0.03"/>
    <s v="Heritage Bank"/>
    <s v="All Other Miscellaneous Manufacturing"/>
  </r>
  <r>
    <n v="311191.11"/>
    <n v="4156427007"/>
    <s v="Actual"/>
    <s v="Long Maturity"/>
    <n v="402"/>
    <x v="699"/>
    <n v="335716.14"/>
    <x v="11"/>
    <d v="2019-12-20T00:00:00"/>
    <n v="13.052054794520549"/>
    <d v="2045-01-15T00:00:00"/>
    <n v="301"/>
    <n v="289"/>
    <d v="2021-02-20T00:00:00"/>
    <s v="Sage Healing Collective S.C."/>
    <s v="St. Charles, IL 60174"/>
    <n v="60174"/>
    <x v="3"/>
    <x v="74"/>
    <s v="Q"/>
    <s v=""/>
    <s v=""/>
    <x v="1"/>
    <n v="0.03"/>
    <s v="ByLine Bank"/>
    <s v="All Other Personal Services"/>
  </r>
  <r>
    <n v="309636.11"/>
    <n v="3189187009"/>
    <s v="Actual"/>
    <s v="Long Maturity"/>
    <n v="402"/>
    <x v="700"/>
    <n v="1499953.44"/>
    <x v="23"/>
    <d v="2018-11-30T00:00:00"/>
    <n v="24.69041095890411"/>
    <d v="2044-10-15T00:00:00"/>
    <n v="311"/>
    <n v="286"/>
    <d v="2021-01-10T00:00:00"/>
    <s v="Splashy's LLC"/>
    <s v="Murfreesboro, TN 37128"/>
    <n v="37128"/>
    <x v="30"/>
    <x v="16"/>
    <s v="Q"/>
    <s v=""/>
    <s v=""/>
    <x v="0"/>
    <n v="0.01"/>
    <s v="Celtic Bank"/>
    <s v="Car Washes"/>
  </r>
  <r>
    <n v="310144.11"/>
    <n v="4130087003"/>
    <s v="Actual"/>
    <s v="Long Maturity"/>
    <n v="402"/>
    <x v="701"/>
    <n v="123127.5"/>
    <x v="4"/>
    <d v="2019-12-06T00:00:00"/>
    <n v="14.533333333333331"/>
    <d v="2045-01-15T00:00:00"/>
    <n v="301"/>
    <n v="289"/>
    <d v="2021-02-22T00:00:00"/>
    <s v="Kaiser Properties LLC"/>
    <s v="Cambridge, VT 05444"/>
    <n v="5444"/>
    <x v="45"/>
    <x v="137"/>
    <s v="Q"/>
    <s v=""/>
    <s v=""/>
    <x v="5"/>
    <n v="0.03"/>
    <s v="Union Bank"/>
    <s v="Automotive Body, Paint, and Interior Repair and Maintenance"/>
  </r>
  <r>
    <n v="308581.11"/>
    <n v="6208875001"/>
    <s v="Actual"/>
    <s v="Long Maturity"/>
    <n v="402"/>
    <x v="702"/>
    <n v="507301.49"/>
    <x v="20"/>
    <d v="2013-06-14T00:00:00"/>
    <n v="93.567123287671222"/>
    <d v="2033-07-15T00:00:00"/>
    <n v="241"/>
    <n v="151"/>
    <d v="2021-03-30T00:00:00"/>
    <s v="Shivdeep S. Bhinder"/>
    <s v=""/>
    <m/>
    <x v="46"/>
    <x v="144"/>
    <s v="Q"/>
    <s v=""/>
    <s v=""/>
    <x v="4"/>
    <n v="0"/>
    <s v="Whitefish Credit Union Association"/>
    <s v="Unknown"/>
  </r>
  <r>
    <n v="308152.11"/>
    <n v="2853337000"/>
    <s v="Actual"/>
    <s v="Long Maturity"/>
    <n v="402"/>
    <x v="703"/>
    <n v="291072.96999999997"/>
    <x v="18"/>
    <d v="2018-10-02T00:00:00"/>
    <n v="27.766666666666669"/>
    <d v="2044-02-15T00:00:00"/>
    <n v="304"/>
    <n v="278"/>
    <d v="2021-01-25T00:00:00"/>
    <s v="J &amp; G Properties LLC"/>
    <s v="Decatur, GA 30033"/>
    <n v="30033"/>
    <x v="2"/>
    <x v="26"/>
    <s v="Q"/>
    <s v=""/>
    <s v=""/>
    <x v="3"/>
    <n v="0.01"/>
    <s v="CenterState Bank, National Associati"/>
    <s v="Lessors of Nonresidential Buildings (except Miniwarehouses)"/>
  </r>
  <r>
    <n v="311139.11"/>
    <n v="4192767001"/>
    <s v="Actual"/>
    <s v="Short Maturity"/>
    <n v="400"/>
    <x v="704"/>
    <n v="2278026.87"/>
    <x v="13"/>
    <d v="2020-02-27T00:00:00"/>
    <n v="6.2136986301369861"/>
    <d v="2030-03-15T00:00:00"/>
    <n v="121"/>
    <n v="111"/>
    <d v="2020-11-30T00:00:00"/>
    <s v="Dangerous Music Group, LLC"/>
    <s v="New City, NY 10956"/>
    <n v="10956"/>
    <x v="15"/>
    <x v="186"/>
    <s v="Q"/>
    <s v=""/>
    <s v=""/>
    <x v="5"/>
    <n v="0"/>
    <s v="Live Oak Banking Co."/>
    <s v="Audio and Video Equipment Manufacturing"/>
  </r>
  <r>
    <n v="310709.11"/>
    <n v="4185557010"/>
    <s v="Actual"/>
    <s v="Short Maturity"/>
    <n v="400"/>
    <x v="705"/>
    <n v="291542.59999999998"/>
    <x v="68"/>
    <d v="2020-01-24T00:00:00"/>
    <n v="7.3643835616438356"/>
    <d v="2030-02-15T00:00:00"/>
    <n v="121"/>
    <n v="110"/>
    <d v="2020-11-22T00:00:00"/>
    <s v="EWC LBX LLC"/>
    <s v="Long Beach, CA 90808"/>
    <n v="90808"/>
    <x v="10"/>
    <x v="78"/>
    <s v="Q"/>
    <s v=""/>
    <s v=""/>
    <x v="3"/>
    <n v="0"/>
    <s v="Spirit of Texas Bank"/>
    <s v="Other Personal Care Services"/>
  </r>
  <r>
    <n v="311042.11"/>
    <n v="4183077004"/>
    <s v="Actual"/>
    <s v="Short Maturity"/>
    <n v="400"/>
    <x v="706"/>
    <n v="2323584.88"/>
    <x v="4"/>
    <d v="2020-01-30T00:00:00"/>
    <n v="7.1999999999999993"/>
    <d v="2030-02-15T00:00:00"/>
    <n v="121"/>
    <n v="110"/>
    <d v="2020-09-05T00:00:00"/>
    <s v="Anytime Fitness"/>
    <s v="Pittsfield, MA 01201"/>
    <n v="1201"/>
    <x v="4"/>
    <x v="1"/>
    <s v="Q"/>
    <s v=""/>
    <s v=""/>
    <x v="4"/>
    <n v="0"/>
    <s v="Live Oak Banking Co."/>
    <s v="Fitness and Recreational Sports Centers"/>
  </r>
  <r>
    <n v="311143.11"/>
    <n v="4188987005"/>
    <s v="Actual"/>
    <s v="Short Maturity"/>
    <n v="400"/>
    <x v="707"/>
    <n v="3602427.57"/>
    <x v="4"/>
    <d v="2020-01-21T00:00:00"/>
    <n v="7.4958904109589035"/>
    <d v="2030-02-15T00:00:00"/>
    <n v="121"/>
    <n v="110"/>
    <d v="2020-11-27T00:00:00"/>
    <s v="Four Mile Road LLC"/>
    <s v="Coral Springs, FL 33065"/>
    <n v="33065"/>
    <x v="1"/>
    <x v="187"/>
    <s v="Q"/>
    <s v=""/>
    <s v=""/>
    <x v="4"/>
    <n v="0"/>
    <s v="Live Oak Banking Co."/>
    <s v="Outdoor Power Equipment Stores"/>
  </r>
  <r>
    <n v="311153.11"/>
    <n v="4238247005"/>
    <s v="Actual"/>
    <s v="Short Maturity"/>
    <n v="400"/>
    <x v="708"/>
    <n v="2133586.33"/>
    <x v="13"/>
    <d v="2020-02-28T00:00:00"/>
    <n v="6.2465753424657535"/>
    <d v="2030-03-15T00:00:00"/>
    <n v="121"/>
    <n v="111"/>
    <d v="2020-09-05T00:00:00"/>
    <s v="Spoon Exhibit Services, LLC"/>
    <s v="Macedon, NY 14502"/>
    <n v="14502"/>
    <x v="15"/>
    <x v="156"/>
    <s v="Q"/>
    <s v=""/>
    <s v=""/>
    <x v="5"/>
    <n v="0"/>
    <s v="Live Oak Banking Co."/>
    <s v="All Other Miscellaneous Manufacturing"/>
  </r>
  <r>
    <n v="311155.11"/>
    <n v="4249327000"/>
    <s v="Actual"/>
    <s v="Short Maturity"/>
    <n v="400"/>
    <x v="709"/>
    <n v="3616248"/>
    <x v="13"/>
    <d v="2020-02-26T00:00:00"/>
    <n v="6.3123287671232866"/>
    <d v="2030-03-15T00:00:00"/>
    <n v="121"/>
    <n v="111"/>
    <d v="2020-11-30T00:00:00"/>
    <s v="Halski Systems, LLC"/>
    <s v="Gainesville, GA 30504"/>
    <n v="30504"/>
    <x v="2"/>
    <x v="50"/>
    <s v="Q"/>
    <s v=""/>
    <s v=""/>
    <x v="5"/>
    <n v="0"/>
    <s v="Live Oak Banking Co."/>
    <s v="Other Computer Related Services"/>
  </r>
  <r>
    <n v="310488.11"/>
    <n v="4120717009"/>
    <s v="Actual"/>
    <s v="Short Maturity"/>
    <n v="400"/>
    <x v="710"/>
    <n v="212743.85"/>
    <x v="36"/>
    <d v="2020-01-06T00:00:00"/>
    <n v="11.375342465753425"/>
    <d v="2030-05-15T00:00:00"/>
    <n v="124"/>
    <n v="113"/>
    <d v="2021-01-09T00:00:00"/>
    <s v="CJC PA Holdings LLC dba Uptown Cheapskate"/>
    <s v="State College, PA 16801"/>
    <n v="16801"/>
    <x v="11"/>
    <x v="120"/>
    <s v="Q"/>
    <s v=""/>
    <s v=""/>
    <x v="0"/>
    <n v="0"/>
    <s v="KeyBank - East"/>
    <s v="Used Merchandise Stores"/>
  </r>
  <r>
    <n v="311034.11"/>
    <n v="3631517005"/>
    <s v="Actual"/>
    <s v="Short Maturity"/>
    <n v="400"/>
    <x v="711"/>
    <n v="963480.44"/>
    <x v="4"/>
    <d v="2019-04-18T00:00:00"/>
    <n v="18.166666666666664"/>
    <d v="2030-05-15T00:00:00"/>
    <n v="133"/>
    <n v="113"/>
    <d v="2020-11-21T00:00:00"/>
    <s v="Chapel Hill Swim School LLC"/>
    <s v="Cary, NC 27518"/>
    <n v="27518"/>
    <x v="6"/>
    <x v="68"/>
    <s v="Q"/>
    <s v=""/>
    <s v=""/>
    <x v="4"/>
    <n v="0"/>
    <s v="MBank"/>
    <s v="Sports and Recreation Instruction"/>
  </r>
  <r>
    <n v="310507.11"/>
    <n v="4152987003"/>
    <s v="Actual"/>
    <s v="Short Maturity"/>
    <n v="400"/>
    <x v="712"/>
    <n v="1584770.17"/>
    <x v="10"/>
    <d v="2019-12-20T00:00:00"/>
    <n v="11.366666666666667"/>
    <d v="2030-01-15T00:00:00"/>
    <n v="121"/>
    <n v="109"/>
    <d v="2021-01-05T00:00:00"/>
    <s v="EnviroTest Acquistition LLC"/>
    <s v="Newburgh, NY 12550"/>
    <n v="12550"/>
    <x v="15"/>
    <x v="188"/>
    <s v="Q"/>
    <s v=""/>
    <s v=""/>
    <x v="5"/>
    <n v="0"/>
    <s v="Firstrust Bank"/>
    <s v="Testing Laboratories"/>
  </r>
  <r>
    <n v="311723.11"/>
    <n v="4313367007"/>
    <s v="Actual"/>
    <s v="Short Maturity"/>
    <n v="400"/>
    <x v="713"/>
    <n v="117965.29"/>
    <x v="69"/>
    <d v="2020-04-24T00:00:00"/>
    <n v="7.2986301369863025"/>
    <d v="2030-06-15T00:00:00"/>
    <n v="122"/>
    <n v="114"/>
    <d v="2021-01-05T00:00:00"/>
    <s v="Stirm Wine Company LLC"/>
    <s v="Watsonville, CA 95076"/>
    <n v="95076"/>
    <x v="10"/>
    <x v="14"/>
    <s v="Q"/>
    <s v=""/>
    <s v=""/>
    <x v="12"/>
    <n v="0"/>
    <s v="CDC Small Business Finance"/>
    <s v="Wineries"/>
  </r>
  <r>
    <n v="312202.11"/>
    <n v="4236237009"/>
    <s v="Actual"/>
    <s v="Short Maturity"/>
    <n v="400"/>
    <x v="714"/>
    <n v="83727.850000000006"/>
    <x v="69"/>
    <d v="2020-04-20T00:00:00"/>
    <n v="7.4301369863013704"/>
    <d v="2030-05-15T00:00:00"/>
    <n v="121"/>
    <n v="113"/>
    <d v="2021-01-05T00:00:00"/>
    <s v="SalonXLounge Prof. LLC"/>
    <s v="Las Vegas, NV 89147"/>
    <n v="89147"/>
    <x v="40"/>
    <x v="44"/>
    <s v="Q"/>
    <s v=""/>
    <s v=""/>
    <x v="12"/>
    <n v="0"/>
    <s v="CDC Small Business Finance"/>
    <s v="Beauty Salons"/>
  </r>
  <r>
    <n v="310337.11"/>
    <n v="4036907004"/>
    <s v="Actual"/>
    <s v="Short Maturity"/>
    <n v="400"/>
    <x v="715"/>
    <n v="317406.21000000002"/>
    <x v="29"/>
    <d v="2019-12-27T00:00:00"/>
    <n v="11.473972602739725"/>
    <d v="2030-02-15T00:00:00"/>
    <n v="122"/>
    <n v="110"/>
    <d v="2020-12-10T00:00:00"/>
    <s v="Delmay Corporation"/>
    <s v="Hollywood, FL 33020"/>
    <n v="33020"/>
    <x v="1"/>
    <x v="145"/>
    <s v="Q"/>
    <s v=""/>
    <s v=""/>
    <x v="1"/>
    <n v="0"/>
    <s v="BNB Bank"/>
    <s v="Convention and Trade Show Organizers"/>
  </r>
  <r>
    <n v="311167.11"/>
    <n v="4124347002"/>
    <s v="Actual"/>
    <s v="Short Maturity"/>
    <n v="400"/>
    <x v="716"/>
    <n v="351385.96"/>
    <x v="4"/>
    <d v="2020-01-06T00:00:00"/>
    <n v="10.126027397260273"/>
    <d v="2030-02-15T00:00:00"/>
    <n v="121"/>
    <n v="110"/>
    <d v="2020-12-16T00:00:00"/>
    <s v="Isocare Medical Extenders Services Inc."/>
    <s v="Hawthorne, CA  90250"/>
    <n v="90250"/>
    <x v="10"/>
    <x v="46"/>
    <s v="Q"/>
    <s v=""/>
    <s v=""/>
    <x v="4"/>
    <n v="0"/>
    <s v="New Omni Bank, National Association"/>
    <s v="Home Health Care Services"/>
  </r>
  <r>
    <n v="309160.11"/>
    <n v="3548137008"/>
    <s v="Actual"/>
    <s v="Short Maturity"/>
    <n v="400"/>
    <x v="717"/>
    <n v="87855.01"/>
    <x v="4"/>
    <d v="2019-02-28T00:00:00"/>
    <n v="21.2"/>
    <d v="2030-03-15T00:00:00"/>
    <n v="133"/>
    <n v="111"/>
    <d v="2020-12-29T00:00:00"/>
    <s v="Montessori Kids Universe of Mason"/>
    <s v="Mason, OH 45040"/>
    <n v="45040"/>
    <x v="9"/>
    <x v="172"/>
    <s v="Q"/>
    <s v=""/>
    <s v=""/>
    <x v="0"/>
    <n v="0"/>
    <s v="Stifel Bank &amp; Trust"/>
    <s v="Elementary and Secondary Schools"/>
  </r>
  <r>
    <n v="310116.11"/>
    <n v="3968637001"/>
    <s v="Actual"/>
    <s v="Short Maturity"/>
    <n v="400"/>
    <x v="718"/>
    <n v="480261.22"/>
    <x v="3"/>
    <d v="2019-12-06T00:00:00"/>
    <n v="12.756164383561645"/>
    <d v="2030-01-15T00:00:00"/>
    <n v="121"/>
    <n v="109"/>
    <d v="2020-12-28T00:00:00"/>
    <s v="Mavi Liquor Supply Inc"/>
    <s v="Carteret, NJ 07008"/>
    <n v="7008"/>
    <x v="17"/>
    <x v="49"/>
    <s v="Q"/>
    <s v=""/>
    <s v=""/>
    <x v="0"/>
    <n v="0"/>
    <s v="Columbia Bank"/>
    <s v="Beer, Wine, and Liquor Stores"/>
  </r>
  <r>
    <n v="311032.11"/>
    <n v="4237657008"/>
    <s v="Actual"/>
    <s v="Short Maturity"/>
    <n v="400"/>
    <x v="719"/>
    <n v="1264638.82"/>
    <x v="4"/>
    <d v="2020-03-03T00:00:00"/>
    <n v="7.7917808219178077"/>
    <d v="2030-04-15T00:00:00"/>
    <n v="121"/>
    <n v="112"/>
    <d v="2020-10-26T00:00:00"/>
    <s v="303 Highline Corp dba Hudson Market"/>
    <s v="New York, NY 10001"/>
    <n v="10001"/>
    <x v="15"/>
    <x v="72"/>
    <s v="Q"/>
    <s v=""/>
    <s v=""/>
    <x v="4"/>
    <n v="0"/>
    <s v="MetroCity Bank"/>
    <s v="Supermarkets and Other Grocery (except Convenience) Stores"/>
  </r>
  <r>
    <n v="312873.11"/>
    <n v="4264747006"/>
    <s v="Actual"/>
    <s v="Short Maturity"/>
    <n v="400"/>
    <x v="720"/>
    <n v="126749.71"/>
    <x v="34"/>
    <d v="2020-06-03T00:00:00"/>
    <n v="5.7333333333333334"/>
    <d v="2030-07-15T00:00:00"/>
    <n v="121"/>
    <n v="115"/>
    <d v="2021-01-01T00:00:00"/>
    <s v="Everything is Awesome, LLC dba Bricks and Mini Figs"/>
    <s v="Tucson, AZ 85711"/>
    <n v="85711"/>
    <x v="5"/>
    <x v="189"/>
    <s v="Q"/>
    <s v=""/>
    <s v=""/>
    <x v="13"/>
    <n v="0"/>
    <s v="Business Development Finance Corpora"/>
    <s v="Hobby, Toy, and Game Stores"/>
  </r>
  <r>
    <n v="312317.11"/>
    <n v="1540127905"/>
    <s v="Actual"/>
    <s v="Short Maturity"/>
    <n v="400"/>
    <x v="721"/>
    <n v="120471.27"/>
    <x v="11"/>
    <d v="2020-07-28T00:00:00"/>
    <n v="3.978082191780822"/>
    <d v="2030-08-15T00:00:00"/>
    <n v="121"/>
    <n v="116"/>
    <d v="2020-12-27T00:00:00"/>
    <s v="Marco Island Factory Blinds LLC"/>
    <s v="Marco Island, FL 34145"/>
    <n v="34145"/>
    <x v="1"/>
    <x v="190"/>
    <s v="Q"/>
    <s v=""/>
    <s v=""/>
    <x v="14"/>
    <n v="0"/>
    <s v="Sunshine State Economic Development "/>
    <s v="Window Treatment Stores"/>
  </r>
  <r>
    <n v="310328.11"/>
    <n v="4143147007"/>
    <s v="Actual"/>
    <s v="Short Maturity"/>
    <n v="400"/>
    <x v="722"/>
    <n v="246646.25"/>
    <x v="29"/>
    <d v="2019-12-20T00:00:00"/>
    <n v="10.323287671232876"/>
    <d v="2030-01-15T00:00:00"/>
    <n v="121"/>
    <n v="109"/>
    <d v="2020-10-29T00:00:00"/>
    <s v="Comfeeti LLC"/>
    <s v="Seattle, WA 98108"/>
    <n v="98108"/>
    <x v="13"/>
    <x v="191"/>
    <s v="Q"/>
    <s v=""/>
    <s v=""/>
    <x v="1"/>
    <n v="0"/>
    <s v="KeyBank - West"/>
    <s v="Shoe Stores"/>
  </r>
  <r>
    <n v="310610.11"/>
    <n v="4204917007"/>
    <s v="Actual"/>
    <s v="Short Maturity"/>
    <n v="400"/>
    <x v="723"/>
    <n v="300090.59999999998"/>
    <x v="36"/>
    <d v="2020-01-29T00:00:00"/>
    <n v="11.046575342465754"/>
    <d v="2030-02-15T00:00:00"/>
    <n v="121"/>
    <n v="110"/>
    <d v="2020-12-30T00:00:00"/>
    <s v="Parlin Bar &amp; Liquor LLC"/>
    <s v="Parlin, NJ 08859"/>
    <n v="8859"/>
    <x v="17"/>
    <x v="49"/>
    <s v="Q"/>
    <s v=""/>
    <s v=""/>
    <x v="0"/>
    <n v="0"/>
    <s v="Peapack Gladstone Bank"/>
    <s v="Beer, Wine, and Liquor Stores"/>
  </r>
  <r>
    <n v="310611.11"/>
    <n v="4206127010"/>
    <s v="Actual"/>
    <s v="Short Maturity"/>
    <n v="400"/>
    <x v="724"/>
    <n v="1010992.63"/>
    <x v="39"/>
    <d v="2020-01-30T00:00:00"/>
    <n v="11.013698630136986"/>
    <d v="2030-02-15T00:00:00"/>
    <n v="121"/>
    <n v="110"/>
    <d v="2020-12-30T00:00:00"/>
    <s v="Shevchenko Monuments LLC"/>
    <s v="Hopelawn, NJ 08861"/>
    <n v="8861"/>
    <x v="17"/>
    <x v="96"/>
    <s v="Q"/>
    <s v=""/>
    <s v=""/>
    <x v="2"/>
    <n v="0"/>
    <s v="Peapack Gladstone Bank"/>
    <s v="Cut Stone and Stone Product Manufacturing"/>
  </r>
  <r>
    <n v="310811.11"/>
    <n v="3923927001"/>
    <s v="Actual"/>
    <s v="Short Maturity"/>
    <n v="400"/>
    <x v="725"/>
    <n v="250957.48"/>
    <x v="39"/>
    <d v="2019-10-21T00:00:00"/>
    <n v="14.367123287671234"/>
    <d v="2030-05-15T00:00:00"/>
    <n v="127"/>
    <n v="113"/>
    <d v="2020-12-31T00:00:00"/>
    <s v="PBP Wings LLC "/>
    <s v="Houston, TX  77053"/>
    <n v="77053"/>
    <x v="0"/>
    <x v="22"/>
    <s v="Q"/>
    <s v=""/>
    <s v=""/>
    <x v="2"/>
    <n v="0"/>
    <s v="Spirit of Texas Bank"/>
    <s v="Limited-Service Restaurants"/>
  </r>
  <r>
    <n v="310232.11"/>
    <n v="4132057009"/>
    <s v="Actual"/>
    <s v="Short Maturity"/>
    <n v="400"/>
    <x v="726"/>
    <n v="765010.84"/>
    <x v="36"/>
    <d v="2019-12-17T00:00:00"/>
    <n v="11.473972602739725"/>
    <d v="2030-01-15T00:00:00"/>
    <n v="121"/>
    <n v="109"/>
    <d v="2020-12-31T00:00:00"/>
    <s v="Sandquist Corporation DBA Sound Xperience"/>
    <s v="Jenkintown, PA 19046"/>
    <n v="19046"/>
    <x v="11"/>
    <x v="69"/>
    <s v="Q"/>
    <s v=""/>
    <s v=""/>
    <x v="0"/>
    <n v="0"/>
    <s v="Univest Bank and Trust Co."/>
    <s v="Electrical Contractors and Other Wiring Installation Contractors"/>
  </r>
  <r>
    <n v="310533.11"/>
    <n v="4050237000"/>
    <s v="Actual"/>
    <s v="Short Maturity"/>
    <n v="400"/>
    <x v="727"/>
    <n v="305933.64"/>
    <x v="39"/>
    <d v="2019-12-20T00:00:00"/>
    <n v="12.427397260273972"/>
    <d v="2030-01-15T00:00:00"/>
    <n v="121"/>
    <n v="109"/>
    <d v="2021-01-01T00:00:00"/>
    <s v="Brindlesen, LLC"/>
    <s v="Foxborough, MA 02035"/>
    <n v="2035"/>
    <x v="4"/>
    <x v="78"/>
    <s v="Q"/>
    <s v=""/>
    <s v=""/>
    <x v="2"/>
    <n v="0"/>
    <s v="Spirit of Texas Bank"/>
    <s v="Other Personal Care Services"/>
  </r>
  <r>
    <n v="310296.11"/>
    <n v="4148067006"/>
    <s v="Actual"/>
    <s v="Short Maturity"/>
    <n v="400"/>
    <x v="728"/>
    <n v="311948.03000000003"/>
    <x v="29"/>
    <d v="2019-12-30T00:00:00"/>
    <n v="11.033333333333333"/>
    <d v="2030-01-15T00:00:00"/>
    <n v="121"/>
    <n v="109"/>
    <d v="2021-01-01T00:00:00"/>
    <s v="Vance Ewing LLC"/>
    <s v="St Robert, MO 65584"/>
    <n v="65584"/>
    <x v="28"/>
    <x v="10"/>
    <s v="Q"/>
    <s v=""/>
    <s v=""/>
    <x v="1"/>
    <n v="0"/>
    <s v="Newtek Small Business Finance, Inc."/>
    <s v="All Other Amusement and Recreation Industries"/>
  </r>
  <r>
    <n v="310526.11"/>
    <n v="4186617006"/>
    <s v="Actual"/>
    <s v="Short Maturity"/>
    <n v="400"/>
    <x v="729"/>
    <n v="358565.03"/>
    <x v="10"/>
    <d v="2020-01-15T00:00:00"/>
    <n v="10.553424657534247"/>
    <d v="2030-02-15T00:00:00"/>
    <n v="121"/>
    <n v="110"/>
    <d v="2021-01-01T00:00:00"/>
    <s v="PBY Development, Inc."/>
    <s v="Cupertino, CA 95014"/>
    <n v="95014"/>
    <x v="10"/>
    <x v="121"/>
    <s v="Q"/>
    <s v=""/>
    <s v=""/>
    <x v="5"/>
    <n v="0"/>
    <s v="U.S. Metro Bank"/>
    <s v="Baked Goods Stores"/>
  </r>
  <r>
    <n v="310527.11"/>
    <n v="4186607003"/>
    <s v="Actual"/>
    <s v="Short Maturity"/>
    <n v="400"/>
    <x v="730"/>
    <n v="615962.35"/>
    <x v="10"/>
    <d v="2020-01-15T00:00:00"/>
    <n v="10.553424657534247"/>
    <d v="2030-02-15T00:00:00"/>
    <n v="121"/>
    <n v="110"/>
    <d v="2021-01-01T00:00:00"/>
    <s v="PBY Development, Inc."/>
    <s v="Milpitas, CA 95035"/>
    <n v="95035"/>
    <x v="10"/>
    <x v="121"/>
    <s v="Q"/>
    <s v=""/>
    <s v=""/>
    <x v="5"/>
    <n v="0"/>
    <s v="U.S. Metro Bank"/>
    <s v="Baked Goods Stores"/>
  </r>
  <r>
    <n v="310577.11"/>
    <n v="4168237006"/>
    <s v="Actual"/>
    <s v="Short Maturity"/>
    <n v="400"/>
    <x v="731"/>
    <n v="350794.23999999999"/>
    <x v="36"/>
    <d v="2019-12-31T00:00:00"/>
    <n v="11.046575342465754"/>
    <d v="2030-01-15T00:00:00"/>
    <n v="121"/>
    <n v="109"/>
    <d v="2020-12-01T00:00:00"/>
    <s v="Victor Bustos, D.M.D., P.L."/>
    <s v="Bradenton, FL 34212"/>
    <n v="34212"/>
    <x v="1"/>
    <x v="6"/>
    <s v="Q"/>
    <s v=""/>
    <s v=""/>
    <x v="0"/>
    <n v="0"/>
    <s v="United Midwest Savings Bank"/>
    <s v="Offices of Dentists"/>
  </r>
  <r>
    <n v="310712.11"/>
    <n v="3672307008"/>
    <s v="Actual"/>
    <s v="Short Maturity"/>
    <n v="400"/>
    <x v="732"/>
    <n v="291319.71999999997"/>
    <x v="36"/>
    <d v="2020-01-15T00:00:00"/>
    <n v="10.553424657534247"/>
    <d v="2030-02-15T00:00:00"/>
    <n v="121"/>
    <n v="110"/>
    <d v="2021-01-05T00:00:00"/>
    <s v="Midtown Lash, LLC"/>
    <s v="Sacramento, CA 95811"/>
    <n v="95811"/>
    <x v="10"/>
    <x v="74"/>
    <s v="Q"/>
    <s v=""/>
    <s v=""/>
    <x v="0"/>
    <n v="0"/>
    <s v="Spirit of Texas Bank"/>
    <s v="All Other Personal Services"/>
  </r>
  <r>
    <n v="310715.11"/>
    <n v="4189517006"/>
    <s v="Actual"/>
    <s v="Short Maturity"/>
    <n v="400"/>
    <x v="733"/>
    <n v="222893.2"/>
    <x v="68"/>
    <d v="2020-02-10T00:00:00"/>
    <n v="9.6986301369863011"/>
    <d v="2030-03-15T00:00:00"/>
    <n v="121"/>
    <n v="111"/>
    <d v="2021-01-01T00:00:00"/>
    <s v="Wax Castle Rock LLC "/>
    <s v="Castle Rock, CO 80108"/>
    <n v="80108"/>
    <x v="33"/>
    <x v="78"/>
    <s v="Q"/>
    <s v=""/>
    <s v=""/>
    <x v="3"/>
    <n v="0"/>
    <s v="Spirit of Texas Bank"/>
    <s v="Other Personal Care Services"/>
  </r>
  <r>
    <n v="310808.11"/>
    <n v="4208857010"/>
    <s v="Actual"/>
    <s v="Short Maturity"/>
    <n v="400"/>
    <x v="734"/>
    <n v="52121.7"/>
    <x v="36"/>
    <d v="2020-02-14T00:00:00"/>
    <n v="10.257534246575343"/>
    <d v="2030-03-15T00:00:00"/>
    <n v="121"/>
    <n v="111"/>
    <d v="2021-01-29T00:00:00"/>
    <s v="MLO, Enterprises, LLC  "/>
    <s v="Denham Springs, LA 70726"/>
    <n v="70726"/>
    <x v="20"/>
    <x v="78"/>
    <s v="Q"/>
    <s v=""/>
    <s v=""/>
    <x v="0"/>
    <n v="0"/>
    <s v="Spirit of Texas Bank"/>
    <s v="Other Personal Care Services"/>
  </r>
  <r>
    <n v="311166.11"/>
    <n v="4205347004"/>
    <s v="Actual"/>
    <s v="Short Maturity"/>
    <n v="400"/>
    <x v="735"/>
    <n v="347500.12"/>
    <x v="13"/>
    <d v="2020-01-28T00:00:00"/>
    <n v="10.126027397260273"/>
    <d v="2030-02-15T00:00:00"/>
    <n v="121"/>
    <n v="110"/>
    <d v="2021-01-01T00:00:00"/>
    <s v="Kalpesh P Solanki dba Best Ontario Inn "/>
    <s v="Ontario, CA 91762"/>
    <n v="91762"/>
    <x v="10"/>
    <x v="19"/>
    <s v="Q"/>
    <s v=""/>
    <s v=""/>
    <x v="5"/>
    <n v="0"/>
    <s v="New Omni Bank, National Association"/>
    <s v="Hotels (except Casino Hotels) and Motels"/>
  </r>
  <r>
    <n v="310280.11"/>
    <n v="4117867007"/>
    <s v="Actual"/>
    <s v="Short Maturity"/>
    <n v="400"/>
    <x v="736"/>
    <n v="1981289.1"/>
    <x v="29"/>
    <d v="2019-12-20T00:00:00"/>
    <n v="11.408219178082192"/>
    <d v="2030-01-15T00:00:00"/>
    <n v="121"/>
    <n v="109"/>
    <d v="2021-01-04T00:00:00"/>
    <s v="Krystyna's Deli Inc."/>
    <s v="Mount Prospect, IL 60056"/>
    <n v="60056"/>
    <x v="3"/>
    <x v="72"/>
    <s v="Q"/>
    <s v=""/>
    <s v=""/>
    <x v="1"/>
    <n v="0"/>
    <s v="ByLine Bank"/>
    <s v="Supermarkets and Other Grocery (except Convenience) Stores"/>
  </r>
  <r>
    <n v="310282.11"/>
    <n v="4146837008"/>
    <s v="Actual"/>
    <s v="Short Maturity"/>
    <n v="400"/>
    <x v="737"/>
    <n v="695146.36"/>
    <x v="29"/>
    <d v="2019-12-20T00:00:00"/>
    <n v="11.408219178082192"/>
    <d v="2030-01-15T00:00:00"/>
    <n v="121"/>
    <n v="109"/>
    <d v="2021-01-04T00:00:00"/>
    <s v="Acuity Staffing Inc."/>
    <s v="Indianapolis, IN 46241"/>
    <n v="46241"/>
    <x v="39"/>
    <x v="192"/>
    <s v="Q"/>
    <s v=""/>
    <s v=""/>
    <x v="1"/>
    <n v="0"/>
    <s v="ByLine Bank"/>
    <s v="Temporary Help Services"/>
  </r>
  <r>
    <n v="310291.11"/>
    <n v="4098607003"/>
    <s v="Actual"/>
    <s v="Short Maturity"/>
    <n v="400"/>
    <x v="738"/>
    <n v="346428.61"/>
    <x v="39"/>
    <d v="2019-12-27T00:00:00"/>
    <n v="11.133333333333333"/>
    <d v="2030-01-15T00:00:00"/>
    <n v="121"/>
    <n v="109"/>
    <d v="2021-01-04T00:00:00"/>
    <s v="WC Restaurant Enterprises LLC dba Which Wich Superior Sandwiches &amp; Pac"/>
    <s v="Tyler, TX 75703"/>
    <n v="75703"/>
    <x v="0"/>
    <x v="22"/>
    <s v="Q"/>
    <s v=""/>
    <s v=""/>
    <x v="2"/>
    <n v="0"/>
    <s v="Berkshire Bank"/>
    <s v="Limited-Service Restaurants"/>
  </r>
  <r>
    <n v="310379.11"/>
    <n v="4118727002"/>
    <s v="Actual"/>
    <s v="Short Maturity"/>
    <n v="400"/>
    <x v="739"/>
    <n v="193397.1"/>
    <x v="5"/>
    <d v="2019-12-03T00:00:00"/>
    <n v="11.967123287671233"/>
    <d v="2030-01-15T00:00:00"/>
    <n v="121"/>
    <n v="109"/>
    <d v="2021-01-04T00:00:00"/>
    <s v="Myung Sushi Inc dba Hapa J's Kitchen &amp; Lounge"/>
    <s v="San Clemente, CA 92672"/>
    <n v="92672"/>
    <x v="10"/>
    <x v="3"/>
    <s v="Q"/>
    <s v=""/>
    <s v=""/>
    <x v="4"/>
    <n v="0"/>
    <s v="Hanmi Bank"/>
    <s v="Full-Service Restaurants"/>
  </r>
  <r>
    <n v="310386.11"/>
    <n v="4163277008"/>
    <s v="Actual"/>
    <s v="Short Maturity"/>
    <n v="400"/>
    <x v="740"/>
    <n v="698512.49"/>
    <x v="68"/>
    <d v="2019-12-23T00:00:00"/>
    <n v="11.30958904109589"/>
    <d v="2030-01-15T00:00:00"/>
    <n v="121"/>
    <n v="109"/>
    <d v="2021-01-04T00:00:00"/>
    <s v="Wildcat Inc, dba Wildcat Wine &amp; Spirits"/>
    <s v="Highlands Ranch, CO 80126"/>
    <n v="80126"/>
    <x v="33"/>
    <x v="49"/>
    <s v="Q"/>
    <s v=""/>
    <s v=""/>
    <x v="3"/>
    <n v="0"/>
    <s v="Hanmi Bank"/>
    <s v="Beer, Wine, and Liquor Stores"/>
  </r>
  <r>
    <n v="310387.11"/>
    <n v="4167867005"/>
    <s v="Actual"/>
    <s v="Short Maturity"/>
    <n v="400"/>
    <x v="741"/>
    <n v="290797.40999999997"/>
    <x v="5"/>
    <d v="2019-12-26T00:00:00"/>
    <n v="11.243835616438357"/>
    <d v="2030-01-15T00:00:00"/>
    <n v="121"/>
    <n v="109"/>
    <d v="2021-01-04T00:00:00"/>
    <s v="Woosouk Joshua Mun dba Sharon Heights Cleaners"/>
    <s v="Menlo Park, CA 94025"/>
    <n v="94025"/>
    <x v="10"/>
    <x v="81"/>
    <s v="Q"/>
    <s v=""/>
    <s v=""/>
    <x v="4"/>
    <n v="0"/>
    <s v="Hanmi Bank"/>
    <s v="Drycleaning and Laundry Services (except Coin-Operated)"/>
  </r>
  <r>
    <n v="310553.11"/>
    <n v="4157747000"/>
    <s v="Actual"/>
    <s v="Short Maturity"/>
    <n v="400"/>
    <x v="742"/>
    <n v="260365.34"/>
    <x v="10"/>
    <d v="2019-12-18T00:00:00"/>
    <n v="11.473972602739725"/>
    <d v="2030-01-15T00:00:00"/>
    <n v="121"/>
    <n v="109"/>
    <d v="2021-01-04T00:00:00"/>
    <s v="Prime for the Dime, Inc.and Zalik Inc."/>
    <s v="Brooklyn, NY 11230"/>
    <n v="11230"/>
    <x v="15"/>
    <x v="193"/>
    <s v="Q"/>
    <s v=""/>
    <s v=""/>
    <x v="5"/>
    <n v="0"/>
    <s v="Grow America Fund, Inc."/>
    <s v="Electronic Shopping and Mail-Order Houses"/>
  </r>
  <r>
    <n v="310718.11"/>
    <n v="4151987001"/>
    <s v="Actual"/>
    <s v="Short Maturity"/>
    <n v="400"/>
    <x v="743"/>
    <n v="171868.53"/>
    <x v="29"/>
    <d v="2020-01-31T00:00:00"/>
    <n v="10.027397260273972"/>
    <d v="2030-02-15T00:00:00"/>
    <n v="121"/>
    <n v="110"/>
    <d v="2021-01-04T00:00:00"/>
    <s v="NOLA Transportation, Inc. "/>
    <s v="Houston, TX 77056"/>
    <n v="77056"/>
    <x v="0"/>
    <x v="112"/>
    <s v="Q"/>
    <s v=""/>
    <s v=""/>
    <x v="1"/>
    <n v="0"/>
    <s v="Spirit of Texas Bank"/>
    <s v="All Other Specialty Trade Contractors"/>
  </r>
  <r>
    <n v="310704.11"/>
    <n v="4161957007"/>
    <s v="Actual"/>
    <s v="Short Maturity"/>
    <n v="400"/>
    <x v="744"/>
    <n v="126024.46"/>
    <x v="11"/>
    <d v="2020-01-21T00:00:00"/>
    <n v="10.389041095890411"/>
    <d v="2030-02-15T00:00:00"/>
    <n v="121"/>
    <n v="110"/>
    <d v="2021-01-05T00:00:00"/>
    <s v="Angelfish Enterprises Inc."/>
    <s v="San Diego, CA 92122"/>
    <n v="92122"/>
    <x v="10"/>
    <x v="194"/>
    <s v="Q"/>
    <s v=""/>
    <s v=""/>
    <x v="14"/>
    <n v="0"/>
    <s v="CDC Small Business Finance"/>
    <s v="Advertising Agencies"/>
  </r>
  <r>
    <n v="311712.11"/>
    <n v="4312287005"/>
    <s v="Actual"/>
    <s v="Short Maturity"/>
    <n v="400"/>
    <x v="745"/>
    <n v="80978.649999999994"/>
    <x v="69"/>
    <d v="2020-04-01T00:00:00"/>
    <n v="8.0547945205479454"/>
    <d v="2030-05-15T00:00:00"/>
    <n v="121"/>
    <n v="113"/>
    <d v="2021-01-05T00:00:00"/>
    <s v="Optimal Solutions Inc."/>
    <s v="Santee, CA 92071"/>
    <n v="92071"/>
    <x v="10"/>
    <x v="104"/>
    <s v="Q"/>
    <s v=""/>
    <s v=""/>
    <x v="12"/>
    <n v="0"/>
    <s v="CDC Small Business Finance"/>
    <s v="Site Preparation Contractors"/>
  </r>
  <r>
    <n v="311722.11"/>
    <n v="4239687010"/>
    <s v="Actual"/>
    <s v="Short Maturity"/>
    <n v="400"/>
    <x v="746"/>
    <n v="107377.65"/>
    <x v="69"/>
    <d v="2020-03-04T00:00:00"/>
    <n v="8.9753424657534246"/>
    <d v="2030-04-15T00:00:00"/>
    <n v="121"/>
    <n v="112"/>
    <d v="2021-01-05T00:00:00"/>
    <s v="Tourmaline Birth &amp; Wellness Collective"/>
    <s v="San Diego, CA 92109"/>
    <n v="92109"/>
    <x v="10"/>
    <x v="99"/>
    <s v="Q"/>
    <s v=""/>
    <s v=""/>
    <x v="12"/>
    <n v="0"/>
    <s v="CDC Small Business Finance"/>
    <s v="Offices of All Other Miscellaneous Health Practitioners"/>
  </r>
  <r>
    <n v="311724.11"/>
    <n v="3384837401"/>
    <s v="Actual"/>
    <s v="Short Maturity"/>
    <n v="400"/>
    <x v="747"/>
    <n v="122642.33"/>
    <x v="11"/>
    <d v="2020-05-19T00:00:00"/>
    <n v="6.4767123287671229"/>
    <d v="2030-06-15T00:00:00"/>
    <n v="121"/>
    <n v="114"/>
    <d v="2021-01-05T00:00:00"/>
    <s v="American Specialty Adhesive Products Inc."/>
    <s v="Canoga Park, CA 91304"/>
    <n v="91304"/>
    <x v="10"/>
    <x v="195"/>
    <s v="Q"/>
    <s v=""/>
    <s v=""/>
    <x v="14"/>
    <n v="0"/>
    <s v="CDC Small Business Finance"/>
    <s v="All Other Home Furnishings Stores"/>
  </r>
  <r>
    <n v="311729.11"/>
    <n v="4326307010"/>
    <s v="Actual"/>
    <s v="Short Maturity"/>
    <n v="400"/>
    <x v="748"/>
    <n v="65341.25"/>
    <x v="69"/>
    <d v="2020-05-28T00:00:00"/>
    <n v="6.1808219178082187"/>
    <d v="2030-07-15T00:00:00"/>
    <n v="122"/>
    <n v="115"/>
    <d v="2021-01-05T00:00:00"/>
    <s v="OB STATS Inc."/>
    <s v="Las Vegas, NV 89144"/>
    <n v="89144"/>
    <x v="40"/>
    <x v="196"/>
    <s v="Q"/>
    <s v=""/>
    <s v=""/>
    <x v="12"/>
    <n v="0"/>
    <s v="CDC Small Business Finance"/>
    <s v="Research and Development in the Physical, Engineering, and Life Sciences (except Nanotechnology and Biotechnology)"/>
  </r>
  <r>
    <n v="312195.11"/>
    <n v="9933888010"/>
    <s v="Actual"/>
    <s v="Short Maturity"/>
    <n v="400"/>
    <x v="749"/>
    <n v="82785.52"/>
    <x v="11"/>
    <d v="2020-07-16T00:00:00"/>
    <n v="4.5698630136986296"/>
    <d v="2030-08-15T00:00:00"/>
    <n v="121"/>
    <n v="116"/>
    <d v="2021-01-05T00:00:00"/>
    <s v="Wolfgang International LLC"/>
    <s v="Manhattan Beach, CA 90266"/>
    <n v="90266"/>
    <x v="10"/>
    <x v="197"/>
    <s v="Q"/>
    <s v=""/>
    <s v=""/>
    <x v="14"/>
    <n v="0"/>
    <s v="CDC Small Business Finance"/>
    <s v="Other Clothing Stores"/>
  </r>
  <r>
    <n v="312197.11"/>
    <n v="3846947002"/>
    <s v="Actual"/>
    <s v="Short Maturity"/>
    <n v="400"/>
    <x v="750"/>
    <n v="175766.54"/>
    <x v="18"/>
    <d v="2019-12-15T00:00:00"/>
    <n v="11.605479452054794"/>
    <d v="2030-01-15T00:00:00"/>
    <n v="121"/>
    <n v="109"/>
    <d v="2021-01-05T00:00:00"/>
    <s v="Tea Leaves &amp; Coffee Company LLC"/>
    <s v="Huntington Beach, CA 92647"/>
    <n v="92647"/>
    <x v="10"/>
    <x v="84"/>
    <s v="Q"/>
    <s v=""/>
    <s v=""/>
    <x v="15"/>
    <n v="0"/>
    <s v="CDC Small Business Finance"/>
    <s v="Snack and Nonalcoholic Beverage Bars"/>
  </r>
  <r>
    <n v="312199.11"/>
    <n v="9785507405"/>
    <s v="Actual"/>
    <s v="Short Maturity"/>
    <n v="400"/>
    <x v="751"/>
    <n v="98710.47"/>
    <x v="69"/>
    <d v="2020-07-08T00:00:00"/>
    <n v="4.8328767123287673"/>
    <d v="2030-08-15T00:00:00"/>
    <n v="121"/>
    <n v="116"/>
    <d v="2021-01-05T00:00:00"/>
    <s v="The Switchboard Restaurant LLC"/>
    <s v="Oceanside, CA 92054"/>
    <n v="92054"/>
    <x v="10"/>
    <x v="3"/>
    <s v="Q"/>
    <s v=""/>
    <s v=""/>
    <x v="12"/>
    <n v="0"/>
    <s v="CDC Small Business Finance"/>
    <s v="Full-Service Restaurants"/>
  </r>
  <r>
    <n v="312439.11"/>
    <n v="4116037003"/>
    <s v="Actual"/>
    <s v="Short Maturity"/>
    <n v="400"/>
    <x v="752"/>
    <n v="64674.59"/>
    <x v="15"/>
    <d v="2020-03-17T00:00:00"/>
    <n v="9.0739726027397261"/>
    <d v="2030-04-15T00:00:00"/>
    <n v="121"/>
    <n v="112"/>
    <d v="2021-01-06T00:00:00"/>
    <s v="Bettina Giselle Alvarez"/>
    <s v="McDermitt, NV 89421"/>
    <n v="89421"/>
    <x v="40"/>
    <x v="71"/>
    <s v="Q"/>
    <s v=""/>
    <s v=""/>
    <x v="16"/>
    <n v="0"/>
    <s v="CDC Small Business Finance"/>
    <s v="Offices of Physicians (except Mental Health Specialists)"/>
  </r>
  <r>
    <n v="312440.11"/>
    <n v="1830647100"/>
    <s v="Actual"/>
    <s v="Short Maturity"/>
    <n v="400"/>
    <x v="753"/>
    <n v="86365.83"/>
    <x v="11"/>
    <d v="2020-06-17T00:00:00"/>
    <n v="5.5232876712328771"/>
    <d v="2030-07-15T00:00:00"/>
    <n v="121"/>
    <n v="115"/>
    <d v="2021-01-05T00:00:00"/>
    <s v="Mojdeh Abbasian DDS"/>
    <s v="San Diego, CA 92121"/>
    <n v="92121"/>
    <x v="10"/>
    <x v="6"/>
    <s v="Q"/>
    <s v=""/>
    <s v=""/>
    <x v="14"/>
    <n v="0"/>
    <s v="CDC Small Business Finance"/>
    <s v="Offices of Dentists"/>
  </r>
  <r>
    <n v="312441.11"/>
    <n v="4098757002"/>
    <s v="Actual"/>
    <s v="Short Maturity"/>
    <n v="400"/>
    <x v="754"/>
    <n v="59488.83"/>
    <x v="70"/>
    <d v="2020-03-20T00:00:00"/>
    <n v="8.4493150684931511"/>
    <d v="2030-04-15T00:00:00"/>
    <n v="121"/>
    <n v="112"/>
    <d v="2021-01-05T00:00:00"/>
    <s v="50/50 Juice Lounge LLC"/>
    <s v="Los Angeles, CA 90047"/>
    <n v="90047"/>
    <x v="10"/>
    <x v="84"/>
    <s v="Q"/>
    <s v=""/>
    <s v=""/>
    <x v="17"/>
    <n v="0"/>
    <s v="CDC Small Business Finance"/>
    <s v="Snack and Nonalcoholic Beverage Bars"/>
  </r>
  <r>
    <n v="312442.11"/>
    <n v="6457757908"/>
    <s v="Actual"/>
    <s v="Short Maturity"/>
    <n v="400"/>
    <x v="755"/>
    <n v="99486"/>
    <x v="15"/>
    <d v="2020-07-14T00:00:00"/>
    <n v="4.6356164383561644"/>
    <d v="2030-08-15T00:00:00"/>
    <n v="121"/>
    <n v="116"/>
    <d v="2021-01-05T00:00:00"/>
    <s v="Kingstruction Inc."/>
    <s v="Solana Beach, CA 92075"/>
    <n v="92075"/>
    <x v="10"/>
    <x v="118"/>
    <s v="Q"/>
    <s v=""/>
    <s v=""/>
    <x v="16"/>
    <n v="0"/>
    <s v="CDC Small Business Finance"/>
    <s v="Residential Remodelers"/>
  </r>
  <r>
    <n v="312443.11"/>
    <n v="2986918106"/>
    <s v="Actual"/>
    <s v="Short Maturity"/>
    <n v="400"/>
    <x v="756"/>
    <n v="124470.65"/>
    <x v="11"/>
    <d v="2020-09-02T00:00:00"/>
    <n v="2.9917808219178084"/>
    <d v="2030-10-15T00:00:00"/>
    <n v="121"/>
    <n v="118"/>
    <d v="2021-01-05T00:00:00"/>
    <s v="Logan &amp; Sigsbee LLC"/>
    <s v="San Diego, CA 92113"/>
    <n v="92113"/>
    <x v="10"/>
    <x v="198"/>
    <s v="Q"/>
    <s v=""/>
    <s v=""/>
    <x v="14"/>
    <n v="0"/>
    <s v="CDC Small Business Finance"/>
    <s v="Lessors of Residential Buildings and Dwellings"/>
  </r>
  <r>
    <n v="312456.11"/>
    <n v="4156127000"/>
    <s v="Actual"/>
    <s v="Short Maturity"/>
    <n v="400"/>
    <x v="757"/>
    <n v="173338.59"/>
    <x v="69"/>
    <d v="2020-01-30T00:00:00"/>
    <n v="10.093150684931507"/>
    <d v="2030-03-15T00:00:00"/>
    <n v="122"/>
    <n v="111"/>
    <d v="2021-01-05T00:00:00"/>
    <s v="Qualitat Drywall LLC"/>
    <s v="Bonita, CA 91902"/>
    <n v="91902"/>
    <x v="10"/>
    <x v="199"/>
    <s v="Q"/>
    <s v=""/>
    <s v=""/>
    <x v="12"/>
    <n v="0"/>
    <s v="CDC Small Business Finance"/>
    <s v="Drywall and Insulation Contractors"/>
  </r>
  <r>
    <n v="310699.11"/>
    <n v="4062367001"/>
    <s v="Actual"/>
    <s v="Short Maturity"/>
    <n v="400"/>
    <x v="758"/>
    <n v="125065.21"/>
    <x v="11"/>
    <d v="2019-12-16T00:00:00"/>
    <n v="11.605479452054794"/>
    <d v="2030-02-15T00:00:00"/>
    <n v="122"/>
    <n v="110"/>
    <d v="2021-01-06T00:00:00"/>
    <s v="Hop Secret Brewing Company LLC and Christopher M. Thomas"/>
    <s v="Monrovia, CA 91016"/>
    <n v="91016"/>
    <x v="10"/>
    <x v="12"/>
    <s v="Q"/>
    <s v=""/>
    <s v=""/>
    <x v="14"/>
    <n v="0"/>
    <s v="CDC Small Business Finance"/>
    <s v="Breweries"/>
  </r>
  <r>
    <n v="311368.11"/>
    <n v="4178807004"/>
    <s v="Actual"/>
    <s v="Short Maturity"/>
    <n v="400"/>
    <x v="759"/>
    <n v="125037.21"/>
    <x v="13"/>
    <d v="2020-01-14T00:00:00"/>
    <n v="10.586301369863014"/>
    <d v="2030-02-15T00:00:00"/>
    <n v="121"/>
    <n v="110"/>
    <d v="2021-01-04T00:00:00"/>
    <s v="Purpose Enterprises, Inc."/>
    <s v="Carmel, IN 46032"/>
    <n v="46032"/>
    <x v="39"/>
    <x v="200"/>
    <s v="Q"/>
    <s v=""/>
    <s v=""/>
    <x v="5"/>
    <n v="0"/>
    <s v="First Internet Bank of Indiana"/>
    <s v="Corporate, Subsidiary, and Regional Managing Offices"/>
  </r>
  <r>
    <n v="309588.11"/>
    <n v="3107177003"/>
    <s v="Actual"/>
    <s v="Short Maturity"/>
    <n v="400"/>
    <x v="760"/>
    <n v="249194.77"/>
    <x v="19"/>
    <d v="2018-12-05T00:00:00"/>
    <n v="24.098630136986301"/>
    <d v="2030-01-15T00:00:00"/>
    <n v="133"/>
    <n v="109"/>
    <d v="2021-01-05T00:00:00"/>
    <s v="Saraswati Investments, LLC"/>
    <s v="Amarillo, TX 79124"/>
    <n v="79124"/>
    <x v="0"/>
    <x v="0"/>
    <s v="Q"/>
    <s v=""/>
    <s v=""/>
    <x v="3"/>
    <n v="0"/>
    <s v="Meadows Bank"/>
    <s v="Child Day Care Services"/>
  </r>
  <r>
    <n v="310211.11"/>
    <n v="3794997003"/>
    <s v="Actual"/>
    <s v="Short Maturity"/>
    <n v="400"/>
    <x v="761"/>
    <n v="662294.18000000005"/>
    <x v="36"/>
    <d v="2019-12-17T00:00:00"/>
    <n v="11.638356164383563"/>
    <d v="2030-01-15T00:00:00"/>
    <n v="121"/>
    <n v="109"/>
    <d v="2021-01-05T00:00:00"/>
    <s v="Skylark SL LLC"/>
    <s v="Brookfield, WI 53005"/>
    <n v="53005"/>
    <x v="14"/>
    <x v="10"/>
    <s v="Q"/>
    <s v=""/>
    <s v=""/>
    <x v="0"/>
    <n v="0"/>
    <s v="The Huntington National Bank"/>
    <s v="All Other Amusement and Recreation Industries"/>
  </r>
  <r>
    <n v="310404.11"/>
    <n v="4116337010"/>
    <s v="Actual"/>
    <s v="Short Maturity"/>
    <n v="400"/>
    <x v="762"/>
    <n v="443360.86"/>
    <x v="29"/>
    <d v="2019-12-05T00:00:00"/>
    <n v="12.098630136986301"/>
    <d v="2030-01-15T00:00:00"/>
    <n v="121"/>
    <n v="109"/>
    <d v="2021-01-05T00:00:00"/>
    <s v="CSP &amp; Associates, Inc."/>
    <s v="Lake Elmo, MN 55042"/>
    <n v="55042"/>
    <x v="24"/>
    <x v="38"/>
    <s v="Q"/>
    <s v=""/>
    <s v=""/>
    <x v="1"/>
    <n v="0"/>
    <s v="Frandsen Bank &amp; Trust"/>
    <s v="Insurance Agencies and Brokerages"/>
  </r>
  <r>
    <n v="310532.11"/>
    <n v="4102157003"/>
    <s v="Actual"/>
    <s v="Short Maturity"/>
    <n v="400"/>
    <x v="763"/>
    <n v="769185.51"/>
    <x v="36"/>
    <d v="2020-01-09T00:00:00"/>
    <n v="10.84931506849315"/>
    <d v="2030-02-15T00:00:00"/>
    <n v="121"/>
    <n v="110"/>
    <d v="2021-01-15T00:00:00"/>
    <s v="South Arkansas Veterinary Hospital Inc., an Arkansas Corporation &amp; Gre"/>
    <s v="Arkadelphia, AR 71923"/>
    <n v="71923"/>
    <x v="25"/>
    <x v="29"/>
    <s v="Q"/>
    <s v=""/>
    <s v=""/>
    <x v="0"/>
    <n v="0"/>
    <s v="U.S. Eagle Federal Credit Union"/>
    <s v="Veterinary Services"/>
  </r>
  <r>
    <n v="310616.11"/>
    <n v="3153127000"/>
    <s v="Actual"/>
    <s v="Short Maturity"/>
    <n v="400"/>
    <x v="764"/>
    <n v="1464561.97"/>
    <x v="68"/>
    <d v="2020-01-10T00:00:00"/>
    <n v="10.717808219178082"/>
    <d v="2030-02-15T00:00:00"/>
    <n v="121"/>
    <n v="110"/>
    <d v="2021-01-01T00:00:00"/>
    <s v="Urban Air Reynoldsburg LLC"/>
    <s v="Reynoldsburg, OH 43068"/>
    <n v="43068"/>
    <x v="9"/>
    <x v="10"/>
    <s v="Q"/>
    <s v=""/>
    <s v=""/>
    <x v="3"/>
    <n v="0"/>
    <s v="KeyBank - East"/>
    <s v="All Other Amusement and Recreation Industries"/>
  </r>
  <r>
    <n v="311046.11"/>
    <n v="4139437008"/>
    <s v="Actual"/>
    <s v="Short Maturity"/>
    <n v="400"/>
    <x v="765"/>
    <n v="1619800.53"/>
    <x v="71"/>
    <d v="2019-12-19T00:00:00"/>
    <n v="11.638356164383563"/>
    <d v="2030-01-15T00:00:00"/>
    <n v="121"/>
    <n v="109"/>
    <d v="2021-01-05T00:00:00"/>
    <s v="Ephlin Insurance Group Inc."/>
    <s v="Bartlett, TN 38133"/>
    <n v="38133"/>
    <x v="30"/>
    <x v="38"/>
    <s v="Q"/>
    <s v=""/>
    <s v=""/>
    <x v="18"/>
    <n v="0"/>
    <s v="Live Oak Banking Co."/>
    <s v="Insurance Agencies and Brokerages"/>
  </r>
  <r>
    <n v="311084.11"/>
    <n v="4175387003"/>
    <s v="Actual"/>
    <s v="Short Maturity"/>
    <n v="400"/>
    <x v="766"/>
    <n v="1577757.42"/>
    <x v="13"/>
    <d v="2020-01-07T00:00:00"/>
    <n v="11.013698630136986"/>
    <d v="2030-02-15T00:00:00"/>
    <n v="121"/>
    <n v="110"/>
    <d v="2021-01-05T00:00:00"/>
    <s v="Institute for Health LLC"/>
    <s v="Fort Mill, SC 29708"/>
    <n v="29708"/>
    <x v="22"/>
    <x v="71"/>
    <s v="Q"/>
    <s v=""/>
    <s v=""/>
    <x v="5"/>
    <n v="0"/>
    <s v="Live Oak Banking Co."/>
    <s v="Offices of Physicians (except Mental Health Specialists)"/>
  </r>
  <r>
    <n v="311165.11"/>
    <n v="4172047000"/>
    <s v="Actual"/>
    <s v="Short Maturity"/>
    <n v="400"/>
    <x v="767"/>
    <n v="35085.08"/>
    <x v="72"/>
    <d v="2020-01-28T00:00:00"/>
    <n v="10.915068493150685"/>
    <d v="2030-02-15T00:00:00"/>
    <n v="121"/>
    <n v="110"/>
    <d v="2021-01-24T00:00:00"/>
    <s v="Deez Trucking LLC "/>
    <s v="Fishkill, NY 12524"/>
    <n v="12524"/>
    <x v="15"/>
    <x v="60"/>
    <s v="Q"/>
    <s v=""/>
    <s v=""/>
    <x v="19"/>
    <n v="0"/>
    <s v="KeyBank - East"/>
    <s v="General Freight Trucking, Local"/>
  </r>
  <r>
    <n v="310828.11"/>
    <n v="4098207001"/>
    <s v="Actual"/>
    <s v="Short Maturity"/>
    <n v="400"/>
    <x v="768"/>
    <n v="2052339.23"/>
    <x v="68"/>
    <d v="2020-02-07T00:00:00"/>
    <n v="9.9287671232876722"/>
    <d v="2030-03-15T00:00:00"/>
    <n v="121"/>
    <n v="111"/>
    <d v="2021-01-11T00:00:00"/>
    <s v="H&amp;S Haddonfield Road LLC"/>
    <s v="Cherry Hill, NJ 08002"/>
    <n v="8002"/>
    <x v="17"/>
    <x v="78"/>
    <s v="Q"/>
    <s v=""/>
    <s v=""/>
    <x v="3"/>
    <n v="0"/>
    <s v="KeyBank - East"/>
    <s v="Other Personal Care Services"/>
  </r>
  <r>
    <n v="310614.11"/>
    <n v="4117817003"/>
    <s v="Actual"/>
    <s v="Short Maturity"/>
    <n v="400"/>
    <x v="769"/>
    <n v="753805.62"/>
    <x v="68"/>
    <d v="2020-01-08T00:00:00"/>
    <n v="11.013698630136986"/>
    <d v="2030-02-15T00:00:00"/>
    <n v="121"/>
    <n v="110"/>
    <d v="2021-01-08T00:00:00"/>
    <s v="Moulton Financial Group LLC"/>
    <s v="Carmel, IN 46032"/>
    <n v="46032"/>
    <x v="39"/>
    <x v="135"/>
    <s v="Q"/>
    <s v=""/>
    <s v=""/>
    <x v="3"/>
    <n v="0"/>
    <s v="KeyBank - East"/>
    <s v="Investment Advice"/>
  </r>
  <r>
    <n v="310324.11"/>
    <n v="4111577002"/>
    <s v="Actual"/>
    <s v="Short Maturity"/>
    <n v="400"/>
    <x v="770"/>
    <n v="251453.04"/>
    <x v="39"/>
    <d v="2019-12-09T00:00:00"/>
    <n v="12.032876712328768"/>
    <d v="2030-07-15T00:00:00"/>
    <n v="127"/>
    <n v="115"/>
    <d v="2021-01-09T00:00:00"/>
    <s v="Politically Not Correct IT LLC"/>
    <s v="Soldotna, AK 99669"/>
    <n v="99669"/>
    <x v="26"/>
    <x v="201"/>
    <s v="Q"/>
    <s v=""/>
    <s v=""/>
    <x v="2"/>
    <n v="0"/>
    <s v="KeyBank - West"/>
    <s v="Other Management Consulting Services"/>
  </r>
  <r>
    <n v="310382.11"/>
    <n v="4104927002"/>
    <s v="Actual"/>
    <s v="Short Maturity"/>
    <n v="400"/>
    <x v="771"/>
    <n v="163960.18"/>
    <x v="5"/>
    <d v="2019-11-22T00:00:00"/>
    <n v="12.591780821917808"/>
    <d v="2030-01-15T00:00:00"/>
    <n v="122"/>
    <n v="109"/>
    <d v="2021-01-11T00:00:00"/>
    <s v="RM Two Twenty Inc, dba Fuji Ya"/>
    <s v="Burbank, CA 91502"/>
    <n v="91502"/>
    <x v="10"/>
    <x v="3"/>
    <s v="Q"/>
    <s v=""/>
    <s v=""/>
    <x v="4"/>
    <n v="0"/>
    <s v="Hanmi Bank"/>
    <s v="Full-Service Restaurants"/>
  </r>
  <r>
    <n v="310710.11"/>
    <n v="3623627003"/>
    <s v="Actual"/>
    <s v="Short Maturity"/>
    <n v="400"/>
    <x v="772"/>
    <n v="233109.88"/>
    <x v="36"/>
    <d v="2020-01-13T00:00:00"/>
    <n v="10.882191780821918"/>
    <d v="2030-02-15T00:00:00"/>
    <n v="121"/>
    <n v="110"/>
    <d v="2021-01-09T00:00:00"/>
    <s v="EWC of Burlington, LLC "/>
    <s v="Burlington, NC 27215"/>
    <n v="27215"/>
    <x v="6"/>
    <x v="78"/>
    <s v="Q"/>
    <s v=""/>
    <s v=""/>
    <x v="0"/>
    <n v="0"/>
    <s v="Spirit of Texas Bank"/>
    <s v="Other Personal Care Services"/>
  </r>
  <r>
    <n v="312200.11"/>
    <n v="4260707008"/>
    <s v="Actual"/>
    <s v="Short Maturity"/>
    <n v="400"/>
    <x v="773"/>
    <n v="163395.85999999999"/>
    <x v="15"/>
    <d v="2020-06-29T00:00:00"/>
    <n v="5.4246575342465748"/>
    <d v="2030-08-15T00:00:00"/>
    <n v="122"/>
    <n v="116"/>
    <d v="2021-01-14T00:00:00"/>
    <s v="Delgado ML Corp."/>
    <s v="El Cajon, CA 92020"/>
    <n v="92020"/>
    <x v="10"/>
    <x v="37"/>
    <s v="Q"/>
    <s v=""/>
    <s v=""/>
    <x v="16"/>
    <n v="0"/>
    <s v="CDC Small Business Finance"/>
    <s v="Services for the Elderly and Persons with Disabilities"/>
  </r>
  <r>
    <n v="309743.11"/>
    <n v="3774337007"/>
    <s v="Actual"/>
    <s v="Short Maturity"/>
    <n v="400"/>
    <x v="774"/>
    <n v="1406007.45"/>
    <x v="68"/>
    <d v="2019-06-14T00:00:00"/>
    <n v="17.063013698630137"/>
    <d v="2030-01-15T00:00:00"/>
    <n v="127"/>
    <n v="109"/>
    <d v="2020-11-14T00:00:00"/>
    <s v="Gravity Parks LLC"/>
    <s v="Knoxville, TN 37922"/>
    <n v="37922"/>
    <x v="30"/>
    <x v="10"/>
    <s v="Q"/>
    <s v=""/>
    <s v=""/>
    <x v="3"/>
    <n v="0"/>
    <s v="KeyBank - East"/>
    <s v="All Other Amusement and Recreation Industries"/>
  </r>
  <r>
    <n v="310663.11"/>
    <n v="4132447008"/>
    <s v="Actual"/>
    <s v="Short Maturity"/>
    <n v="400"/>
    <x v="775"/>
    <n v="500060.72"/>
    <x v="10"/>
    <d v="2019-12-16T00:00:00"/>
    <n v="11.967123287671233"/>
    <d v="2030-01-15T00:00:00"/>
    <n v="121"/>
    <n v="109"/>
    <d v="2021-01-17T00:00:00"/>
    <s v="IDISI Renaissance, Inc."/>
    <s v="Nashville, TN 37209"/>
    <n v="37209"/>
    <x v="30"/>
    <x v="202"/>
    <s v="Q"/>
    <s v=""/>
    <s v=""/>
    <x v="5"/>
    <n v="0"/>
    <s v="Synovus Bank"/>
    <s v="Used Household and Office Goods Moving"/>
  </r>
  <r>
    <n v="312316.11"/>
    <n v="1924958107"/>
    <s v="Actual"/>
    <s v="Short Maturity"/>
    <n v="400"/>
    <x v="776"/>
    <n v="117579.44"/>
    <x v="33"/>
    <d v="2020-08-18T00:00:00"/>
    <n v="3.9123287671232876"/>
    <d v="2030-09-15T00:00:00"/>
    <n v="121"/>
    <n v="117"/>
    <d v="2021-01-15T00:00:00"/>
    <s v="CGJE LLC dba Honeycutt Family Practice"/>
    <s v="Altamonte Springs, FL 32714"/>
    <n v="32714"/>
    <x v="1"/>
    <x v="71"/>
    <s v="Q"/>
    <s v=""/>
    <s v=""/>
    <x v="20"/>
    <n v="0"/>
    <s v="Sunshine State Economic Development "/>
    <s v="Offices of Physicians (except Mental Health Specialists)"/>
  </r>
  <r>
    <n v="310617.11"/>
    <n v="4142347006"/>
    <s v="Actual"/>
    <s v="Short Maturity"/>
    <n v="400"/>
    <x v="777"/>
    <n v="2456920.02"/>
    <x v="68"/>
    <d v="2020-01-17T00:00:00"/>
    <n v="11.013698630136986"/>
    <d v="2030-02-15T00:00:00"/>
    <n v="121"/>
    <n v="110"/>
    <d v="2021-01-17T00:00:00"/>
    <s v="Integral Recoveries Inc"/>
    <s v="Englewood, CO 80110"/>
    <n v="80110"/>
    <x v="33"/>
    <x v="203"/>
    <s v="Q"/>
    <s v=""/>
    <s v=""/>
    <x v="3"/>
    <n v="0"/>
    <s v="KeyBank - West"/>
    <s v="All Other Professional, Scientific, and Technical Services"/>
  </r>
  <r>
    <n v="310618.11"/>
    <n v="4157947001"/>
    <s v="Actual"/>
    <s v="Short Maturity"/>
    <n v="400"/>
    <x v="778"/>
    <n v="627299.07999999996"/>
    <x v="36"/>
    <d v="2020-01-17T00:00:00"/>
    <n v="10.027397260273972"/>
    <d v="2030-02-15T00:00:00"/>
    <n v="121"/>
    <n v="110"/>
    <d v="2020-11-17T00:00:00"/>
    <s v="Dawson Management Group"/>
    <s v="Indianapolis, IN 46256"/>
    <n v="46256"/>
    <x v="39"/>
    <x v="112"/>
    <s v="Q"/>
    <s v=""/>
    <s v=""/>
    <x v="0"/>
    <n v="0"/>
    <s v="KeyBank - East"/>
    <s v="All Other Specialty Trade Contractors"/>
  </r>
  <r>
    <n v="310327.11"/>
    <n v="4096477008"/>
    <s v="Actual"/>
    <s v="Short Maturity"/>
    <n v="400"/>
    <x v="779"/>
    <n v="880598.58"/>
    <x v="36"/>
    <d v="2019-12-18T00:00:00"/>
    <n v="12.032876712328768"/>
    <d v="2030-01-15T00:00:00"/>
    <n v="121"/>
    <n v="109"/>
    <d v="2021-01-18T00:00:00"/>
    <s v="AA Greece LLC"/>
    <s v="Rochester, NY 14626"/>
    <n v="14626"/>
    <x v="15"/>
    <x v="84"/>
    <s v="Q"/>
    <s v=""/>
    <s v=""/>
    <x v="0"/>
    <n v="0"/>
    <s v="KeyBank - East"/>
    <s v="Snack and Nonalcoholic Beverage Bars"/>
  </r>
  <r>
    <n v="310408.11"/>
    <n v="4118317008"/>
    <s v="Actual"/>
    <s v="Short Maturity"/>
    <n v="400"/>
    <x v="780"/>
    <n v="376296.81"/>
    <x v="29"/>
    <d v="2019-12-02T00:00:00"/>
    <n v="12.493150684931507"/>
    <d v="2030-01-15T00:00:00"/>
    <n v="121"/>
    <n v="109"/>
    <d v="2021-01-19T00:00:00"/>
    <s v="CAV Partners LLC"/>
    <s v="Las Vegas, NV 89109"/>
    <n v="89109"/>
    <x v="40"/>
    <x v="87"/>
    <s v="Q"/>
    <s v=""/>
    <s v=""/>
    <x v="1"/>
    <n v="0"/>
    <s v="Umpqua Bank – La Mesa    "/>
    <s v="Other Direct Selling Establishments"/>
  </r>
  <r>
    <n v="310607.11"/>
    <n v="3300707009"/>
    <s v="Actual"/>
    <s v="Short Maturity"/>
    <n v="400"/>
    <x v="781"/>
    <n v="216916.3"/>
    <x v="36"/>
    <d v="2020-01-25T00:00:00"/>
    <n v="10.882191780821918"/>
    <d v="2030-02-15T00:00:00"/>
    <n v="121"/>
    <n v="110"/>
    <d v="2021-01-25T00:00:00"/>
    <s v="PSG Metuchen S1, LLC"/>
    <s v="Metuchen, NJ 08840"/>
    <n v="8840"/>
    <x v="17"/>
    <x v="74"/>
    <s v="Q"/>
    <s v=""/>
    <s v=""/>
    <x v="0"/>
    <n v="0"/>
    <s v="Spirit of Texas Bank"/>
    <s v="All Other Personal Services"/>
  </r>
  <r>
    <n v="309487.11"/>
    <n v="3884217007"/>
    <s v="Actual"/>
    <s v="Short Maturity"/>
    <n v="400"/>
    <x v="782"/>
    <n v="212053.75"/>
    <x v="13"/>
    <d v="2019-08-02T00:00:00"/>
    <n v="16.533333333333331"/>
    <d v="2030-01-15T00:00:00"/>
    <n v="125"/>
    <n v="109"/>
    <d v="2020-12-18T00:00:00"/>
    <s v="Masslex LLC"/>
    <s v="Lexington, MA 02420"/>
    <n v="2420"/>
    <x v="4"/>
    <x v="3"/>
    <s v="Q"/>
    <s v=""/>
    <s v=""/>
    <x v="2"/>
    <n v="0"/>
    <s v="Leader Bank, National Association "/>
    <s v="Full-Service Restaurants"/>
  </r>
  <r>
    <n v="311490.11"/>
    <n v="3164147208"/>
    <s v="Actual"/>
    <s v="Short Maturity"/>
    <n v="400"/>
    <x v="783"/>
    <n v="178996.44"/>
    <x v="73"/>
    <d v="2020-05-19T00:00:00"/>
    <n v="7.0666666666666664"/>
    <d v="2030-06-15T00:00:00"/>
    <n v="121"/>
    <n v="114"/>
    <d v="2021-01-19T00:00:00"/>
    <s v="CMC Pharmaceuticals, Inc."/>
    <s v="Solon, OH 44139"/>
    <n v="44139"/>
    <x v="9"/>
    <x v="204"/>
    <s v="Q"/>
    <s v=""/>
    <s v=""/>
    <x v="16"/>
    <n v="0"/>
    <s v="Growth Capital Corp."/>
    <s v="Administrative Management and General Management Consulting Services"/>
  </r>
  <r>
    <n v="310651.11"/>
    <n v="4142127010"/>
    <s v="Actual"/>
    <s v="Short Maturity"/>
    <n v="400"/>
    <x v="784"/>
    <n v="601248.53"/>
    <x v="29"/>
    <d v="2020-01-24T00:00:00"/>
    <n v="10.980821917808219"/>
    <d v="2030-02-15T00:00:00"/>
    <n v="121"/>
    <n v="110"/>
    <d v="2021-01-23T00:00:00"/>
    <s v="Environmental Services Inc."/>
    <s v="Portland, OR 97202"/>
    <n v="97202"/>
    <x v="21"/>
    <x v="205"/>
    <s v="Q"/>
    <s v=""/>
    <s v=""/>
    <x v="1"/>
    <n v="0"/>
    <s v="KeyBank - West"/>
    <s v="Water and Sewer Line and Related Structures Construction"/>
  </r>
  <r>
    <n v="311418.11"/>
    <n v="4282817007"/>
    <s v="Actual"/>
    <s v="Short Maturity"/>
    <n v="400"/>
    <x v="785"/>
    <n v="560557"/>
    <x v="4"/>
    <d v="2020-03-23T00:00:00"/>
    <n v="9.008219178082193"/>
    <d v="2030-04-15T00:00:00"/>
    <n v="121"/>
    <n v="112"/>
    <d v="2021-01-22T00:00:00"/>
    <s v="SBCR Spirits Inc."/>
    <s v="Trumbull, CT 06611"/>
    <n v="6611"/>
    <x v="36"/>
    <x v="49"/>
    <s v="Q"/>
    <s v=""/>
    <s v=""/>
    <x v="4"/>
    <n v="0"/>
    <s v="KeyBank - East"/>
    <s v="Beer, Wine, and Liquor Stores"/>
  </r>
  <r>
    <n v="310225.11"/>
    <n v="4108447008"/>
    <s v="Actual"/>
    <s v="Short Maturity"/>
    <n v="400"/>
    <x v="786"/>
    <n v="353178.97"/>
    <x v="36"/>
    <d v="2019-12-11T00:00:00"/>
    <n v="12.394520547945206"/>
    <d v="2030-01-15T00:00:00"/>
    <n v="121"/>
    <n v="109"/>
    <d v="2021-01-17T00:00:00"/>
    <s v="Lance Enterprises, Incorporated"/>
    <s v="San Carlos, CA 94070"/>
    <n v="94070"/>
    <x v="10"/>
    <x v="1"/>
    <s v="Q"/>
    <s v=""/>
    <s v=""/>
    <x v="0"/>
    <n v="0"/>
    <s v="Spirit of Texas Bank"/>
    <s v="Fitness and Recreational Sports Centers"/>
  </r>
  <r>
    <n v="310524.11"/>
    <n v="4186447003"/>
    <s v="Actual"/>
    <s v="Short Maturity"/>
    <n v="400"/>
    <x v="787"/>
    <n v="3627453.96"/>
    <x v="74"/>
    <d v="2020-01-14T00:00:00"/>
    <n v="11.243835616438357"/>
    <d v="2030-02-15T00:00:00"/>
    <n v="121"/>
    <n v="110"/>
    <d v="2021-01-08T00:00:00"/>
    <s v="Karlsburger Foods, Inc."/>
    <s v="Monticello, MN 55362"/>
    <n v="55362"/>
    <x v="24"/>
    <x v="175"/>
    <s v="Q"/>
    <s v=""/>
    <s v=""/>
    <x v="5"/>
    <n v="0"/>
    <s v="BankVista"/>
    <s v="Perishable Prepared Food Manufacturing"/>
  </r>
  <r>
    <n v="310325.11"/>
    <n v="4098027006"/>
    <s v="Actual"/>
    <s v="Short Maturity"/>
    <n v="400"/>
    <x v="788"/>
    <n v="921472.99"/>
    <x v="36"/>
    <d v="2019-12-31T00:00:00"/>
    <n v="11.868493150684932"/>
    <d v="2030-01-15T00:00:00"/>
    <n v="121"/>
    <n v="109"/>
    <d v="2021-01-26T00:00:00"/>
    <s v="Dennis Piper &amp; Associates P.C. "/>
    <s v="Pittsburgh, PA 15238"/>
    <n v="15238"/>
    <x v="11"/>
    <x v="58"/>
    <s v="Q"/>
    <s v=""/>
    <s v=""/>
    <x v="0"/>
    <n v="0"/>
    <s v="KeyBank - East"/>
    <s v="Offices of Certified Public Accountants"/>
  </r>
  <r>
    <n v="310829.11"/>
    <n v="4206897007"/>
    <s v="Actual"/>
    <s v="Short Maturity"/>
    <n v="400"/>
    <x v="789"/>
    <n v="236470.13"/>
    <x v="39"/>
    <d v="2020-01-29T00:00:00"/>
    <n v="11.145205479452054"/>
    <d v="2030-02-15T00:00:00"/>
    <n v="121"/>
    <n v="110"/>
    <d v="2021-03-04T00:00:00"/>
    <s v="MCWS Law PLLC"/>
    <s v="Black Diamond, WA 98010"/>
    <n v="98010"/>
    <x v="13"/>
    <x v="36"/>
    <s v="Q"/>
    <s v=""/>
    <s v=""/>
    <x v="2"/>
    <n v="0"/>
    <s v="KeyBank - West"/>
    <s v="Offices of Lawyers"/>
  </r>
  <r>
    <n v="310326.11"/>
    <n v="4104587007"/>
    <s v="Actual"/>
    <s v="Short Maturity"/>
    <n v="400"/>
    <x v="790"/>
    <n v="429643.45"/>
    <x v="3"/>
    <d v="2019-12-06T00:00:00"/>
    <n v="14.597260273972605"/>
    <d v="2030-01-15T00:00:00"/>
    <n v="121"/>
    <n v="109"/>
    <d v="2021-02-22T00:00:00"/>
    <s v="JB Adams Designs LLC"/>
    <s v="Indianapolis, IN 46268"/>
    <n v="46268"/>
    <x v="39"/>
    <x v="112"/>
    <s v="Q"/>
    <s v=""/>
    <s v=""/>
    <x v="0"/>
    <n v="0"/>
    <s v="KeyBank - East"/>
    <s v="All Other Specialty Trade Contractors"/>
  </r>
  <r>
    <n v="310045.11"/>
    <n v="3845397001"/>
    <s v="Actual"/>
    <s v="Short Maturity"/>
    <n v="400"/>
    <x v="791"/>
    <n v="582905.51"/>
    <x v="5"/>
    <d v="2019-07-29T00:00:00"/>
    <n v="17.81917808219178"/>
    <d v="2030-02-15T00:00:00"/>
    <n v="127"/>
    <n v="110"/>
    <d v="2021-01-21T00:00:00"/>
    <s v="Y &amp; J Company"/>
    <s v="Vancover, WA 98665-8907"/>
    <n v="8907"/>
    <x v="13"/>
    <x v="3"/>
    <s v="Q"/>
    <s v=""/>
    <s v=""/>
    <x v="4"/>
    <n v="0"/>
    <s v="Umpqua Bank – La Mesa    "/>
    <s v="Full-Service Restaurants"/>
  </r>
  <r>
    <n v="310365.11"/>
    <n v="4142887004"/>
    <s v="Actual"/>
    <s v="Short Maturity"/>
    <n v="400"/>
    <x v="792"/>
    <n v="494687.69"/>
    <x v="29"/>
    <d v="2019-12-31T00:00:00"/>
    <n v="12.953424657534246"/>
    <d v="2030-01-15T00:00:00"/>
    <n v="121"/>
    <n v="109"/>
    <d v="2021-03-04T00:00:00"/>
    <s v="Bala Fitness of Jerome, LLC"/>
    <s v="Bronx, NY 10452"/>
    <n v="10452"/>
    <x v="15"/>
    <x v="1"/>
    <s v="Q"/>
    <s v=""/>
    <s v=""/>
    <x v="1"/>
    <n v="0"/>
    <s v="ByLine Bank"/>
    <s v="Fitness and Recreational Sports Centers"/>
  </r>
  <r>
    <m/>
    <n v="4165647005"/>
    <m/>
    <m/>
    <m/>
    <x v="793"/>
    <n v="656351.02"/>
    <x v="13"/>
    <d v="2019-12-24T00:00:00"/>
    <n v="11.934246575342467"/>
    <d v="2045-01-09T00:00:00"/>
    <n v="304.93333333333334"/>
    <n v="292.99908675799088"/>
    <d v="2021-01-04T00:00:00"/>
    <s v="BARNUEVO GIULIANO"/>
    <s v="Whittier"/>
    <n v="90604"/>
    <x v="10"/>
    <x v="152"/>
    <s v="Q"/>
    <m/>
    <m/>
    <x v="8"/>
    <n v="0.05"/>
    <s v="East West Bank"/>
    <s v="Lessors of Other Real Estate Property"/>
  </r>
  <r>
    <m/>
    <n v="4288767006"/>
    <m/>
    <m/>
    <m/>
    <x v="794"/>
    <n v="883878.67"/>
    <x v="75"/>
    <d v="2020-03-24T00:00:00"/>
    <n v="8.2849315068493148"/>
    <d v="2045-03-24T00:00:00"/>
    <n v="304.36666666666667"/>
    <n v="296.08173515981736"/>
    <d v="2021-01-01T00:00:00"/>
    <s v="LEP2020 LLC "/>
    <s v="Rosemead"/>
    <n v="91770"/>
    <x v="10"/>
    <x v="8"/>
    <s v="Q"/>
    <m/>
    <m/>
    <x v="21"/>
    <n v="0.05"/>
    <s v="East West Bank"/>
    <s v="General Automotive Repair"/>
  </r>
  <r>
    <m/>
    <n v="2820507007"/>
    <m/>
    <m/>
    <m/>
    <x v="795"/>
    <n v="198127.04"/>
    <x v="23"/>
    <d v="2018-08-10T00:00:00"/>
    <n v="27.945205479452056"/>
    <d v="2043-12-14T00:00:00"/>
    <n v="308.56666666666666"/>
    <n v="280.62146118721461"/>
    <d v="2021-01-05T00:00:00"/>
    <s v="44443 16th St LLC"/>
    <s v="Lancaster"/>
    <n v="93534"/>
    <x v="10"/>
    <x v="6"/>
    <s v="Q"/>
    <m/>
    <m/>
    <x v="22"/>
    <n v="0.01"/>
    <s v="Mission Valley Bank"/>
    <s v="Offices of Dentists"/>
  </r>
  <r>
    <m/>
    <n v="8477888207"/>
    <m/>
    <m/>
    <m/>
    <x v="796"/>
    <n v="2091692.27"/>
    <x v="15"/>
    <d v="2020-11-02T00:00:00"/>
    <n v="0.95342465753424666"/>
    <d v="2045-11-05T00:00:00"/>
    <n v="304.46666666666664"/>
    <n v="303.5132420091324"/>
    <d v="2021-01-04T00:00:00"/>
    <s v="Novatek LLC"/>
    <s v="Camarillo"/>
    <n v="93012"/>
    <x v="10"/>
    <x v="206"/>
    <s v="Q"/>
    <m/>
    <m/>
    <x v="3"/>
    <n v="0.05"/>
    <s v="Harvest Small Business Finance LLC"/>
    <s v="In-Vitro Diagnostic Substance Manufacturing"/>
  </r>
  <r>
    <m/>
    <n v="3171037208"/>
    <m/>
    <m/>
    <m/>
    <x v="797"/>
    <n v="1042208.32"/>
    <x v="76"/>
    <d v="2020-06-09T00:00:00"/>
    <n v="6.3123287671232866"/>
    <d v="2045-06-09T00:00:00"/>
    <n v="304.36666666666667"/>
    <n v="298.05433789954338"/>
    <d v="2021-01-05T00:00:00"/>
    <s v="205 Coldren LLC"/>
    <s v="Fayette City"/>
    <n v="15438"/>
    <x v="11"/>
    <x v="198"/>
    <s v="Q"/>
    <m/>
    <m/>
    <x v="2"/>
    <n v="0.05"/>
    <s v="FinWise Bank"/>
    <s v="Lessors of Residential Buildings and Dwellings"/>
  </r>
  <r>
    <m/>
    <n v="6283538210"/>
    <m/>
    <m/>
    <m/>
    <x v="798"/>
    <n v="2855579.1"/>
    <x v="4"/>
    <d v="2020-08-19T00:00:00"/>
    <n v="3.419178082191781"/>
    <d v="2045-08-31T00:00:00"/>
    <n v="304.76666666666665"/>
    <n v="301.34748858447489"/>
    <d v="2021-01-04T00:00:00"/>
    <s v="Mid Valley Auto Body and Repair"/>
    <s v="Thousand Oaks"/>
    <n v="91362"/>
    <x v="10"/>
    <x v="8"/>
    <s v="Q"/>
    <m/>
    <m/>
    <x v="7"/>
    <n v="0.05"/>
    <s v="Openbank"/>
    <s v="General Automotive Repair"/>
  </r>
  <r>
    <m/>
    <n v="7700678202"/>
    <m/>
    <m/>
    <m/>
    <x v="799"/>
    <n v="910858.44"/>
    <x v="11"/>
    <d v="2020-09-03T00:00:00"/>
    <n v="3.1890410958904112"/>
    <d v="2045-09-10T00:00:00"/>
    <n v="304.60000000000002"/>
    <n v="301.41095890410963"/>
    <d v="2021-01-06T00:00:00"/>
    <s v="JJ Liquor"/>
    <s v="Bakersfield"/>
    <n v="93314"/>
    <x v="10"/>
    <x v="27"/>
    <s v="Q"/>
    <m/>
    <m/>
    <x v="5"/>
    <n v="0.05"/>
    <s v="CBB Bank"/>
    <s v="Convenience Stores"/>
  </r>
  <r>
    <m/>
    <n v="8271548204"/>
    <m/>
    <m/>
    <m/>
    <x v="800"/>
    <n v="1866946.12"/>
    <x v="23"/>
    <d v="2020-09-18T00:00:00"/>
    <n v="2.6958904109589041"/>
    <d v="2045-09-25T00:00:00"/>
    <n v="304.60000000000002"/>
    <n v="301.90410958904113"/>
    <d v="2021-01-06T00:00:00"/>
    <s v="Dino Station #3"/>
    <s v="Compton"/>
    <n v="90220"/>
    <x v="10"/>
    <x v="4"/>
    <s v="Q"/>
    <m/>
    <m/>
    <x v="22"/>
    <n v="0.05"/>
    <s v="CBB Bank"/>
    <s v="Gasoline Stations with Convenience Stores"/>
  </r>
  <r>
    <m/>
    <n v="8580418204"/>
    <m/>
    <m/>
    <m/>
    <x v="801"/>
    <n v="516601.45"/>
    <x v="23"/>
    <d v="2020-10-14T00:00:00"/>
    <n v="1.5780821917808217"/>
    <d v="2045-10-14T00:00:00"/>
    <n v="304.36666666666667"/>
    <n v="302.78858447488585"/>
    <d v="2020-12-01T00:00:00"/>
    <s v="Kids R Here Enterprises Inc"/>
    <s v="Spring"/>
    <n v="77373"/>
    <x v="0"/>
    <x v="0"/>
    <s v="Q"/>
    <m/>
    <m/>
    <x v="22"/>
    <n v="0.05"/>
    <s v="Bank of The Orient"/>
    <s v="Child Day Care Services"/>
  </r>
  <r>
    <m/>
    <n v="1340867006"/>
    <m/>
    <m/>
    <m/>
    <x v="802"/>
    <n v="1094888.5"/>
    <x v="11"/>
    <d v="2017-11-14T00:00:00"/>
    <n v="36.821917808219176"/>
    <d v="2043-11-14T00:00:00"/>
    <n v="316.53333333333336"/>
    <n v="279.71141552511421"/>
    <d v="2021-01-07T00:00:00"/>
    <s v="Pacific Foothills LLC and Pacific Horizon Bancorp Inc"/>
    <s v="La Crescenta"/>
    <n v="91214"/>
    <x v="10"/>
    <x v="169"/>
    <s v="Q"/>
    <m/>
    <m/>
    <x v="5"/>
    <n v="0"/>
    <s v="First Choice Bank"/>
    <s v="Real Estate Credit"/>
  </r>
  <r>
    <m/>
    <n v="4149507009"/>
    <m/>
    <m/>
    <m/>
    <x v="803"/>
    <n v="276714.26"/>
    <x v="11"/>
    <d v="2019-12-18T00:00:00"/>
    <n v="12.591780821917808"/>
    <d v="2044-12-18T00:00:00"/>
    <n v="304.39999999999998"/>
    <n v="291.80821917808214"/>
    <d v="2021-01-05T00:00:00"/>
    <s v="Armando Garcia"/>
    <s v="San Diego"/>
    <n v="92154"/>
    <x v="10"/>
    <x v="66"/>
    <s v="Q"/>
    <m/>
    <m/>
    <x v="5"/>
    <n v="0.03"/>
    <s v="First Choice Bank"/>
    <s v="Tire Dealers"/>
  </r>
  <r>
    <m/>
    <n v="4238887009"/>
    <m/>
    <m/>
    <m/>
    <x v="804"/>
    <n v="698400"/>
    <x v="11"/>
    <d v="2020-02-14T00:00:00"/>
    <n v="11.210958904109589"/>
    <d v="2045-02-14T00:00:00"/>
    <n v="304.39999999999998"/>
    <n v="293.18904109589039"/>
    <d v="2021-01-20T00:00:00"/>
    <s v="Left Coast Etcetera LLC &amp; Park-Tours Inc"/>
    <s v="Escondido"/>
    <n v="92025"/>
    <x v="10"/>
    <x v="207"/>
    <s v="Q"/>
    <m/>
    <m/>
    <x v="5"/>
    <n v="0.05"/>
    <s v="First Choice Bank"/>
    <s v="Software Publishers"/>
  </r>
  <r>
    <m/>
    <n v="8353318209"/>
    <m/>
    <m/>
    <m/>
    <x v="593"/>
    <n v="698515.71"/>
    <x v="13"/>
    <d v="2020-09-22T00:00:00"/>
    <n v="2.4328767123287669"/>
    <d v="2045-09-22T00:00:00"/>
    <n v="304.36666666666667"/>
    <n v="301.9337899543379"/>
    <d v="2021-01-05T00:00:00"/>
    <s v="Nela Development 1 LLC"/>
    <s v="Los Angeles"/>
    <n v="90042"/>
    <x v="10"/>
    <x v="21"/>
    <s v="Q"/>
    <m/>
    <m/>
    <x v="8"/>
    <n v="0.05"/>
    <s v="First Choice Bank"/>
    <s v="Other Activities Related to Real Estate"/>
  </r>
  <r>
    <m/>
    <n v="8534548207"/>
    <m/>
    <m/>
    <m/>
    <x v="805"/>
    <n v="479819.01"/>
    <x v="11"/>
    <d v="2020-10-06T00:00:00"/>
    <n v="2.0383561643835617"/>
    <d v="2045-10-06T00:00:00"/>
    <n v="304.36666666666667"/>
    <n v="302.3283105022831"/>
    <d v="2021-01-05T00:00:00"/>
    <s v="S and S Trailers LLC"/>
    <s v="Riverside"/>
    <n v="92501"/>
    <x v="10"/>
    <x v="155"/>
    <s v="Q"/>
    <m/>
    <m/>
    <x v="5"/>
    <n v="0.05"/>
    <s v="First Choice Bank"/>
    <s v="Truck Trailer Manufacturing"/>
  </r>
  <r>
    <m/>
    <n v="8586908210"/>
    <m/>
    <m/>
    <m/>
    <x v="806"/>
    <n v="1321370.7"/>
    <x v="11"/>
    <d v="2020-10-13T00:00:00"/>
    <n v="1.8082191780821917"/>
    <d v="2045-10-13T00:00:00"/>
    <n v="304.36666666666667"/>
    <n v="302.55844748858448"/>
    <d v="2021-01-05T00:00:00"/>
    <s v="Caliber Car Wash Group Inc."/>
    <s v="Moreno Valley"/>
    <n v="92553"/>
    <x v="10"/>
    <x v="208"/>
    <s v="Q"/>
    <m/>
    <m/>
    <x v="5"/>
    <n v="0.05"/>
    <s v="First Choice Bank"/>
    <s v="All Other Automotive Repair and Maintenance"/>
  </r>
  <r>
    <m/>
    <n v="8872138205"/>
    <m/>
    <m/>
    <m/>
    <x v="807"/>
    <n v="455010.72"/>
    <x v="11"/>
    <d v="2020-10-28T00:00:00"/>
    <n v="1.3150684931506849"/>
    <d v="2045-10-28T00:00:00"/>
    <n v="304.36666666666667"/>
    <n v="303.05159817351597"/>
    <d v="2021-01-05T00:00:00"/>
    <s v="Jonathan L Dabbah"/>
    <s v="San Diego"/>
    <n v="92154"/>
    <x v="10"/>
    <x v="193"/>
    <s v="Q"/>
    <m/>
    <m/>
    <x v="5"/>
    <n v="0.05"/>
    <s v="First Choice Bank"/>
    <s v="Electronic Shopping and Mail-Order Houses"/>
  </r>
  <r>
    <m/>
    <n v="8241738201"/>
    <m/>
    <m/>
    <m/>
    <x v="808"/>
    <n v="218184.1"/>
    <x v="18"/>
    <d v="2020-10-28T00:00:00"/>
    <n v="1.4136986301369863"/>
    <d v="2045-10-28T00:00:00"/>
    <n v="304.36666666666667"/>
    <n v="302.95296803652968"/>
    <d v="2021-01-05T00:00:00"/>
    <s v="Moyers Holdings"/>
    <s v="Spring"/>
    <n v="77380"/>
    <x v="0"/>
    <x v="78"/>
    <s v="Q"/>
    <m/>
    <m/>
    <x v="6"/>
    <n v="0.05"/>
    <s v="Guaranty Bank &amp; Trust"/>
    <s v="Other Personal Care Services"/>
  </r>
  <r>
    <m/>
    <n v="3555287005"/>
    <m/>
    <m/>
    <m/>
    <x v="809"/>
    <n v="1140822.98"/>
    <x v="18"/>
    <d v="2019-03-20T00:00:00"/>
    <n v="20.712328767123289"/>
    <d v="2044-04-29T00:00:00"/>
    <n v="305.73333333333335"/>
    <n v="285.02100456621008"/>
    <d v="2021-01-06T00:00:00"/>
    <s v="Salem Shell"/>
    <s v="Salem"/>
    <n v="97305"/>
    <x v="21"/>
    <x v="4"/>
    <s v="Q"/>
    <m/>
    <m/>
    <x v="6"/>
    <n v="0.03"/>
    <s v="CBB Bank"/>
    <s v="Gasoline Stations with Convenience Stores"/>
  </r>
  <r>
    <m/>
    <n v="8254798207"/>
    <m/>
    <m/>
    <m/>
    <x v="810"/>
    <n v="256247.99"/>
    <x v="15"/>
    <d v="2020-09-17T00:00:00"/>
    <n v="2.7287671232876711"/>
    <d v="2045-09-17T00:00:00"/>
    <n v="304.36666666666667"/>
    <n v="301.63789954337898"/>
    <d v="2021-01-05T00:00:00"/>
    <s v="MBLL PROPERTY LLC"/>
    <s v="LANSING"/>
    <n v="48911"/>
    <x v="8"/>
    <x v="46"/>
    <s v="Q"/>
    <m/>
    <m/>
    <x v="3"/>
    <n v="0.05"/>
    <s v="The Huntington National Bank"/>
    <s v="Home Health Care Services"/>
  </r>
  <r>
    <m/>
    <n v="8842758202"/>
    <m/>
    <m/>
    <m/>
    <x v="811"/>
    <n v="104817.68"/>
    <x v="23"/>
    <d v="2020-10-29T00:00:00"/>
    <n v="1.2164383561643834"/>
    <d v="2045-10-29T00:00:00"/>
    <n v="304.36666666666667"/>
    <n v="303.15022831050231"/>
    <d v="2021-01-04T00:00:00"/>
    <s v="ARDESHIR RAGHIAN DDS_x000a_PC"/>
    <s v="WINNETKA"/>
    <n v="60093"/>
    <x v="3"/>
    <x v="6"/>
    <s v="Q"/>
    <m/>
    <m/>
    <x v="22"/>
    <n v="0.05"/>
    <s v="The Huntington National Bank"/>
    <s v="Offices of Dentists"/>
  </r>
  <r>
    <m/>
    <n v="3700507007"/>
    <m/>
    <m/>
    <m/>
    <x v="812"/>
    <n v="353733.02"/>
    <x v="76"/>
    <d v="2019-05-07T00:00:00"/>
    <n v="20.12054794520548"/>
    <d v="2045-05-07T00:00:00"/>
    <n v="316.56666666666666"/>
    <n v="296.44611872146118"/>
    <d v="2021-01-08T00:00:00"/>
    <s v="Melver Enterprises, Inc."/>
    <s v="Battle Mtn"/>
    <n v="89820"/>
    <x v="40"/>
    <x v="22"/>
    <s v="Q"/>
    <m/>
    <m/>
    <x v="2"/>
    <n v="0.03"/>
    <s v="First Utah Bank"/>
    <s v="Limited-Service Restaurants"/>
  </r>
  <r>
    <m/>
    <n v="3414427006"/>
    <m/>
    <m/>
    <m/>
    <x v="813"/>
    <n v="2210915.42"/>
    <x v="11"/>
    <d v="2019-05-31T00:00:00"/>
    <n v="19.002739726027396"/>
    <d v="2045-05-31T00:00:00"/>
    <n v="316.56666666666666"/>
    <n v="297.56392694063925"/>
    <d v="2021-01-04T00:00:00"/>
    <s v="VIP Quick Carwash and Lube, Inc."/>
    <s v="Hesperia"/>
    <n v="92345"/>
    <x v="10"/>
    <x v="16"/>
    <s v="Q"/>
    <m/>
    <m/>
    <x v="5"/>
    <n v="0.03"/>
    <s v="US Metro Bank"/>
    <s v="Car Washes"/>
  </r>
  <r>
    <m/>
    <n v="9173328209"/>
    <m/>
    <m/>
    <m/>
    <x v="814"/>
    <n v="271199.09000000003"/>
    <x v="11"/>
    <d v="2020-11-24T00:00:00"/>
    <n v="0.92054794520547945"/>
    <d v="2045-11-24T00:00:00"/>
    <n v="304.36666666666667"/>
    <n v="303.44611872146118"/>
    <d v="2021-01-04T00:00:00"/>
    <s v="David &amp; Adriana Enterprises LLC"/>
    <s v="Los Angeles"/>
    <n v="90003"/>
    <x v="10"/>
    <x v="209"/>
    <s v="Q"/>
    <m/>
    <m/>
    <x v="5"/>
    <n v="0.05"/>
    <s v="US Metro Bank"/>
    <s v="Men's and Boys' Clothing and Furnishings Merchant Wholesalers"/>
  </r>
  <r>
    <m/>
    <n v="9190498205"/>
    <m/>
    <m/>
    <m/>
    <x v="815"/>
    <n v="2010931.8"/>
    <x v="18"/>
    <d v="2020-12-01T00:00:00"/>
    <n v="0.69041095890410964"/>
    <d v="2045-12-01T00:00:00"/>
    <n v="304.36666666666667"/>
    <n v="303.67625570776255"/>
    <d v="2021-01-10T00:00:00"/>
    <s v="Sande Corporation"/>
    <s v="Mabank"/>
    <n v="75147"/>
    <x v="0"/>
    <x v="4"/>
    <s v="Q"/>
    <m/>
    <m/>
    <x v="6"/>
    <n v="0.05"/>
    <s v="US Metro Bank"/>
    <s v="Gasoline Stations with Convenience Stores"/>
  </r>
  <r>
    <m/>
    <n v="9204498207"/>
    <m/>
    <m/>
    <m/>
    <x v="816"/>
    <n v="1350000"/>
    <x v="11"/>
    <d v="2020-12-02T00:00:00"/>
    <n v="0.65753424657534243"/>
    <d v="2045-12-02T00:00:00"/>
    <n v="304.36666666666667"/>
    <n v="303.70913242009135"/>
    <d v="2021-01-01T00:00:00"/>
    <s v="Tujunga Auto Mall LLC"/>
    <s v="Tujunga"/>
    <n v="91042"/>
    <x v="10"/>
    <x v="210"/>
    <s v="Q"/>
    <m/>
    <m/>
    <x v="5"/>
    <n v="0.05"/>
    <s v="US Metro Bank"/>
    <s v="Automotive Exhaust System Repair"/>
  </r>
  <r>
    <m/>
    <n v="9214048205"/>
    <m/>
    <m/>
    <m/>
    <x v="817"/>
    <n v="637311.78"/>
    <x v="4"/>
    <d v="2020-11-30T00:00:00"/>
    <n v="0.49315068493150682"/>
    <d v="2045-11-30T00:00:00"/>
    <n v="304.36666666666667"/>
    <n v="303.87351598173518"/>
    <d v="2021-01-05T00:00:00"/>
    <s v="Refuge General Store &amp; Hello Liquor"/>
    <s v="Trinidad"/>
    <n v="76163"/>
    <x v="0"/>
    <x v="4"/>
    <s v="Q"/>
    <m/>
    <m/>
    <x v="7"/>
    <n v="0.05"/>
    <s v="First IC Bank"/>
    <s v="Gasoline Stations with Convenience Stores"/>
  </r>
  <r>
    <m/>
    <n v="3393157204"/>
    <m/>
    <m/>
    <m/>
    <x v="818"/>
    <n v="272100"/>
    <x v="23"/>
    <d v="2020-07-07T00:00:00"/>
    <n v="5.5232876712328771"/>
    <d v="2046-01-07T00:00:00"/>
    <n v="310.5"/>
    <n v="304.97671232876712"/>
    <d v="2021-01-07T00:00:00"/>
    <s v="Birch's Communications, LLC"/>
    <s v="Dorothy "/>
    <n v="8317"/>
    <x v="17"/>
    <x v="211"/>
    <s v="Q"/>
    <m/>
    <m/>
    <x v="22"/>
    <n v="0.05"/>
    <s v="Wilmington Savings Fund Society FSB"/>
    <s v="Electronics Stores"/>
  </r>
  <r>
    <m/>
    <n v="4131657010"/>
    <m/>
    <m/>
    <m/>
    <x v="819"/>
    <n v="3002320.5"/>
    <x v="4"/>
    <d v="2019-12-17T00:00:00"/>
    <n v="12.098630136986301"/>
    <d v="2044-12-17T00:00:00"/>
    <n v="304.39999999999998"/>
    <n v="292.30136986301369"/>
    <d v="2020-12-19T00:00:00"/>
    <s v="AALIA Hospitality, LLC "/>
    <s v="Milton"/>
    <n v="32583"/>
    <x v="1"/>
    <x v="19"/>
    <s v="Q"/>
    <m/>
    <m/>
    <x v="7"/>
    <n v="0.03"/>
    <s v="Customers Bank"/>
    <s v="Hotels (except Casino Hotels) and Motels"/>
  </r>
  <r>
    <m/>
    <n v="2694117006"/>
    <m/>
    <m/>
    <m/>
    <x v="820"/>
    <n v="1891741.78"/>
    <x v="15"/>
    <d v="2018-07-02T00:00:00"/>
    <n v="29.966666666666669"/>
    <d v="2045-07-02T00:00:00"/>
    <n v="328.73333333333335"/>
    <n v="298.76666666666665"/>
    <d v="2020-12-30T00:00:00"/>
    <s v="AARKISH REALTY LLC"/>
    <s v="Morris Plains"/>
    <n v="7950"/>
    <x v="17"/>
    <x v="54"/>
    <s v="Q"/>
    <m/>
    <m/>
    <x v="3"/>
    <n v="0.01"/>
    <s v="Unity Bank"/>
    <s v="Pharmaceutical Preparation Manufacturing"/>
  </r>
  <r>
    <m/>
    <n v="9133398203"/>
    <m/>
    <m/>
    <m/>
    <x v="821"/>
    <n v="1135425"/>
    <x v="23"/>
    <d v="2020-12-04T00:00:00"/>
    <n v="0.62465753424657533"/>
    <d v="2045-12-07T00:00:00"/>
    <n v="304.46666666666664"/>
    <n v="303.84200913242006"/>
    <d v="2021-01-05T00:00:00"/>
    <s v="TCAL 2 LLC"/>
    <s v="Lakewood"/>
    <n v="80226"/>
    <x v="33"/>
    <x v="15"/>
    <s v="Q"/>
    <m/>
    <m/>
    <x v="22"/>
    <n v="0.05"/>
    <s v="First Bank"/>
    <s v="Assisted Living Facilities for the Elderly"/>
  </r>
  <r>
    <m/>
    <n v="9150218208"/>
    <m/>
    <m/>
    <m/>
    <x v="822"/>
    <n v="786510"/>
    <x v="11"/>
    <d v="2020-11-30T00:00:00"/>
    <n v="0.75616438356164384"/>
    <d v="2045-12-07T00:00:00"/>
    <n v="304.60000000000002"/>
    <n v="303.84383561643835"/>
    <d v="2021-01-05T00:00:00"/>
    <s v="MDK Design, Inc."/>
    <s v="Los Angeles"/>
    <n v="90015"/>
    <x v="10"/>
    <x v="212"/>
    <s v="Q"/>
    <m/>
    <m/>
    <x v="5"/>
    <n v="0.05"/>
    <s v="First Bank"/>
    <s v="Women's, Children's, and Infants' Clothing and Accessories Merchant Wholesalers"/>
  </r>
  <r>
    <m/>
    <n v="8344008208"/>
    <m/>
    <m/>
    <m/>
    <x v="823"/>
    <n v="2813609.75"/>
    <x v="4"/>
    <d v="2020-10-02T00:00:00"/>
    <n v="2.893150684931507"/>
    <d v="2045-10-02T00:00:00"/>
    <n v="304.36666666666667"/>
    <n v="301.47351598173515"/>
    <d v="2021-01-04T00:00:00"/>
    <s v="Hooch Beverages"/>
    <s v="DULUTH"/>
    <n v="30097"/>
    <x v="2"/>
    <x v="49"/>
    <s v="Q"/>
    <m/>
    <m/>
    <x v="7"/>
    <n v="0.05"/>
    <s v="Metro City Bank"/>
    <s v="Beer, Wine, and Liquor Stores"/>
  </r>
  <r>
    <m/>
    <n v="9118498200"/>
    <m/>
    <m/>
    <m/>
    <x v="824"/>
    <n v="2250000"/>
    <x v="75"/>
    <d v="2020-12-09T00:00:00"/>
    <n v="0.46027397260273972"/>
    <d v="2045-12-09T00:00:00"/>
    <n v="304.36666666666667"/>
    <n v="303.90639269406392"/>
    <d v="2020-12-31T00:00:00"/>
    <s v="All Seasons Car Wash"/>
    <s v="SNELLVILLE"/>
    <n v="30078"/>
    <x v="2"/>
    <x v="16"/>
    <s v="Q"/>
    <m/>
    <m/>
    <x v="21"/>
    <n v="0.05"/>
    <s v="Metro City Bank"/>
    <s v="Car Washes"/>
  </r>
  <r>
    <m/>
    <n v="8859608210"/>
    <m/>
    <m/>
    <m/>
    <x v="825"/>
    <n v="335325"/>
    <x v="15"/>
    <d v="2020-11-20T00:00:00"/>
    <n v="1.4794520547945205"/>
    <d v="2045-11-20T00:00:00"/>
    <n v="304.36666666666667"/>
    <n v="302.88721461187214"/>
    <d v="2021-01-04T00:00:00"/>
    <s v="Thompson Family Holdings LLC and South Alabama Smiles LLC"/>
    <s v="Mobile"/>
    <n v="36608"/>
    <x v="35"/>
    <x v="21"/>
    <s v="Q"/>
    <m/>
    <m/>
    <x v="3"/>
    <n v="0.05"/>
    <s v="Renasant Bank"/>
    <s v="Other Activities Related to Real Estate"/>
  </r>
  <r>
    <m/>
    <n v="8157358202"/>
    <m/>
    <m/>
    <m/>
    <x v="826"/>
    <n v="3309835.77"/>
    <x v="11"/>
    <d v="2020-09-15T00:00:00"/>
    <n v="3.7479452054794518"/>
    <d v="2045-09-25T00:00:00"/>
    <n v="304.7"/>
    <n v="300.95205479452056"/>
    <d v="2021-01-07T00:00:00"/>
    <s v="Middletown Food N Gas"/>
    <s v="Middletown"/>
    <n v="95461"/>
    <x v="10"/>
    <x v="4"/>
    <s v="Q"/>
    <m/>
    <m/>
    <x v="5"/>
    <n v="0.05"/>
    <s v="Openbank"/>
    <s v="Gasoline Stations with Convenience Stores"/>
  </r>
  <r>
    <m/>
    <n v="8345188207"/>
    <m/>
    <m/>
    <m/>
    <x v="827"/>
    <n v="918705.04"/>
    <x v="18"/>
    <d v="2020-09-22T00:00:00"/>
    <n v="2.9917808219178084"/>
    <d v="2045-09-24T00:00:00"/>
    <n v="304.43333333333334"/>
    <n v="301.44155251141552"/>
    <d v="2021-01-04T00:00:00"/>
    <s v="Guest Ranch Motel"/>
    <s v="Cheyenne"/>
    <n v="82001"/>
    <x v="44"/>
    <x v="19"/>
    <s v="Q"/>
    <m/>
    <m/>
    <x v="6"/>
    <n v="0.05"/>
    <s v="Openbank"/>
    <s v="Hotels (except Casino Hotels) and Motels"/>
  </r>
  <r>
    <m/>
    <n v="9219748202"/>
    <m/>
    <m/>
    <m/>
    <x v="816"/>
    <n v="1350000"/>
    <x v="18"/>
    <d v="2020-12-01T00:00:00"/>
    <n v="0.92054794520547945"/>
    <d v="2045-12-15T00:00:00"/>
    <n v="304.83333333333331"/>
    <n v="303.91278538812782"/>
    <d v="2021-01-01T00:00:00"/>
    <s v="La Habra Express LLC (EPC) Canoga Express Wash (OC)"/>
    <s v="La Habra"/>
    <n v="90631"/>
    <x v="10"/>
    <x v="16"/>
    <s v="Q"/>
    <m/>
    <m/>
    <x v="6"/>
    <n v="0.05"/>
    <s v="Mega Bank"/>
    <s v="Car Washes"/>
  </r>
  <r>
    <m/>
    <n v="8841158208"/>
    <m/>
    <m/>
    <m/>
    <x v="828"/>
    <n v="3310165.16"/>
    <x v="4"/>
    <d v="2020-10-27T00:00:00"/>
    <n v="2.3671232876712329"/>
    <d v="2045-11-04T00:00:00"/>
    <n v="304.63333333333333"/>
    <n v="302.26621004566209"/>
    <d v="2021-01-07T00:00:00"/>
    <s v="Bloomington Shell"/>
    <s v="Bloomington"/>
    <n v="92316"/>
    <x v="10"/>
    <x v="4"/>
    <s v="Q"/>
    <m/>
    <m/>
    <x v="7"/>
    <n v="0.05"/>
    <s v="Openbank"/>
    <s v="Gasoline Stations with Convenience Stores"/>
  </r>
  <r>
    <m/>
    <n v="9223788206"/>
    <m/>
    <m/>
    <m/>
    <x v="829"/>
    <n v="870000"/>
    <x v="4"/>
    <d v="2020-12-10T00:00:00"/>
    <n v="0.62465753424657533"/>
    <d v="2045-12-10T00:00:00"/>
    <n v="304.36666666666667"/>
    <n v="303.74200913242009"/>
    <d v="2021-01-01T00:00:00"/>
    <s v="KAY UNIFORMS"/>
    <s v="Long Beach"/>
    <n v="90806"/>
    <x v="10"/>
    <x v="125"/>
    <s v="Q"/>
    <m/>
    <m/>
    <x v="7"/>
    <n v="0.05"/>
    <s v="First IC Bank"/>
    <s v="Women's Clothing Stores"/>
  </r>
  <r>
    <m/>
    <n v="9382318202"/>
    <m/>
    <m/>
    <m/>
    <x v="830"/>
    <n v="1069500"/>
    <x v="4"/>
    <d v="2020-12-17T00:00:00"/>
    <n v="0.66666666666666663"/>
    <d v="2045-12-17T00:00:00"/>
    <n v="304.36666666666667"/>
    <n v="303.7"/>
    <d v="2021-01-07T00:00:00"/>
    <s v="Allison Springer, INC"/>
    <s v="Upperville"/>
    <n v="20185"/>
    <x v="29"/>
    <x v="74"/>
    <s v="Q"/>
    <m/>
    <m/>
    <x v="7"/>
    <n v="0.05"/>
    <s v="Blue Ridge Bank"/>
    <s v="All Other Personal Services"/>
  </r>
  <r>
    <m/>
    <n v="1465208203"/>
    <m/>
    <m/>
    <m/>
    <x v="831"/>
    <n v="1665000"/>
    <x v="18"/>
    <d v="2020-12-10T00:00:00"/>
    <n v="0.69041095890410964"/>
    <d v="2045-12-21T00:00:00"/>
    <n v="304.73333333333335"/>
    <n v="304.04292237442922"/>
    <d v="2021-01-01T00:00:00"/>
    <s v="Bai Petro Inc dba  Flag City Arco AMPM"/>
    <s v="Lodi"/>
    <n v="95242"/>
    <x v="10"/>
    <x v="4"/>
    <s v="Q"/>
    <m/>
    <m/>
    <x v="6"/>
    <n v="0.05"/>
    <s v="Mega Bank"/>
    <s v="Gasoline Stations with Convenience Stores"/>
  </r>
  <r>
    <m/>
    <n v="9377238208"/>
    <m/>
    <m/>
    <m/>
    <x v="832"/>
    <n v="3750000"/>
    <x v="4"/>
    <d v="2020-12-23T00:00:00"/>
    <n v="0.29589041095890412"/>
    <d v="2045-12-23T00:00:00"/>
    <n v="304.36666666666667"/>
    <n v="304.07077625570776"/>
    <d v="2021-01-07T00:00:00"/>
    <s v="Legacy Car Wash"/>
    <s v="FRISCO"/>
    <n v="75034"/>
    <x v="0"/>
    <x v="16"/>
    <s v="Q"/>
    <m/>
    <m/>
    <x v="7"/>
    <n v="0.05"/>
    <s v="Metro City Bank"/>
    <s v="Car Washes"/>
  </r>
  <r>
    <m/>
    <n v="9024798206"/>
    <m/>
    <m/>
    <m/>
    <x v="833"/>
    <n v="2287500"/>
    <x v="4"/>
    <d v="2020-12-15T00:00:00"/>
    <n v="0.75616438356164384"/>
    <d v="2045-12-15T00:00:00"/>
    <n v="304.36666666666667"/>
    <n v="303.61050228310501"/>
    <d v="2021-01-07T00:00:00"/>
    <s v="Marandino's Super Food"/>
    <s v="NEW HARTFORD"/>
    <n v="6057"/>
    <x v="36"/>
    <x v="72"/>
    <s v="Q"/>
    <m/>
    <m/>
    <x v="7"/>
    <n v="0.05"/>
    <s v="Metro City Bank"/>
    <s v="Supermarkets and Other Grocery (except Convenience) Stores"/>
  </r>
  <r>
    <m/>
    <n v="6399688200"/>
    <m/>
    <m/>
    <m/>
    <x v="834"/>
    <n v="437990.93"/>
    <x v="10"/>
    <d v="2020-09-30T00:00:00"/>
    <n v="2.9917808219178084"/>
    <d v="2040-09-30T00:00:00"/>
    <n v="243.5"/>
    <n v="240.50821917808219"/>
    <d v="2020-12-30T00:00:00"/>
    <s v="SVL POULTRY FARMS LLC"/>
    <s v="IDEAL"/>
    <n v="31041"/>
    <x v="2"/>
    <x v="213"/>
    <s v="Q"/>
    <m/>
    <m/>
    <x v="22"/>
    <n v="0.05"/>
    <s v="Wallis Bank"/>
    <s v="Broilers and Other Meat Type Chicken Production"/>
  </r>
  <r>
    <m/>
    <n v="8459418202"/>
    <m/>
    <m/>
    <m/>
    <x v="835"/>
    <n v="40809.57"/>
    <x v="77"/>
    <d v="2020-10-21T00:00:00"/>
    <n v="1.5452054794520547"/>
    <d v="2040-11-05T00:00:00"/>
    <n v="244"/>
    <n v="242.45479452054795"/>
    <d v="2021-01-05T00:00:00"/>
    <s v="ALBION PEARL  LLC"/>
    <s v="STRONGSVILLE"/>
    <n v="44136"/>
    <x v="9"/>
    <x v="214"/>
    <s v="Q"/>
    <m/>
    <m/>
    <x v="6"/>
    <n v="0.05"/>
    <s v="The Huntington National Bank"/>
    <s v="Other Accounting Services"/>
  </r>
  <r>
    <m/>
    <n v="7746348203"/>
    <m/>
    <m/>
    <m/>
    <x v="836"/>
    <n v="804918.7"/>
    <x v="77"/>
    <d v="2020-11-17T00:00:00"/>
    <n v="1.1835616438356165"/>
    <d v="2040-11-17T00:00:00"/>
    <n v="243.5"/>
    <n v="242.31643835616438"/>
    <d v="2021-01-08T00:00:00"/>
    <s v="Ceu Farm"/>
    <s v="MILLEDGEVILLE"/>
    <n v="31061"/>
    <x v="2"/>
    <x v="213"/>
    <s v="Q"/>
    <m/>
    <m/>
    <x v="6"/>
    <n v="0.05"/>
    <s v="Metro City Bank"/>
    <s v="Broilers and Other Meat Type Chicken Production"/>
  </r>
  <r>
    <m/>
    <n v="9345898202"/>
    <m/>
    <m/>
    <m/>
    <x v="837"/>
    <n v="652500"/>
    <x v="77"/>
    <d v="2020-12-08T00:00:00"/>
    <n v="0.49315068493150682"/>
    <d v="2040-12-08T00:00:00"/>
    <n v="243.5"/>
    <n v="243.00684931506851"/>
    <d v="2021-01-01T00:00:00"/>
    <s v="Chin Hill Farm"/>
    <s v="JASPER"/>
    <n v="30143"/>
    <x v="2"/>
    <x v="213"/>
    <s v="Q"/>
    <m/>
    <m/>
    <x v="6"/>
    <n v="0.05"/>
    <s v="Metro City Bank"/>
    <s v="Broilers and Other Meat Type Chicken Production"/>
  </r>
  <r>
    <m/>
    <n v="8759288202"/>
    <m/>
    <m/>
    <m/>
    <x v="838"/>
    <n v="332478.84999999998"/>
    <x v="76"/>
    <d v="2020-10-27T00:00:00"/>
    <n v="3.5666666666666669"/>
    <d v="2045-10-27T00:00:00"/>
    <n v="304.36666666666667"/>
    <n v="300.8"/>
    <s v="TBD "/>
    <s v="Ruff Trio Enterprises"/>
    <s v="Oviedo"/>
    <n v="32765"/>
    <x v="1"/>
    <x v="24"/>
    <s v="Q"/>
    <m/>
    <m/>
    <x v="0"/>
    <n v="0.05"/>
    <s v="TBD "/>
    <s v="Pet Care (except Veterinary) Services"/>
  </r>
  <r>
    <m/>
    <n v="9419428205"/>
    <m/>
    <m/>
    <m/>
    <x v="839"/>
    <n v="1035000"/>
    <x v="18"/>
    <d v="2020-12-18T00:00:00"/>
    <n v="1.8333333333333333"/>
    <d v="2045-12-18T00:00:00"/>
    <n v="304.36666666666667"/>
    <n v="302.53333333333336"/>
    <s v="TBD "/>
    <s v="Byrnes Hospitality Company dba Amelia Island Williams House"/>
    <s v="Fernandina Beach"/>
    <n v="32034"/>
    <x v="1"/>
    <x v="18"/>
    <s v="Q"/>
    <m/>
    <m/>
    <x v="5"/>
    <n v="0.05"/>
    <s v="TBD "/>
    <s v="Bed-and-Breakfast Inns"/>
  </r>
  <r>
    <m/>
    <n v="3474437000"/>
    <m/>
    <m/>
    <m/>
    <x v="840"/>
    <n v="277816.87"/>
    <x v="23"/>
    <d v="2019-01-31T00:00:00"/>
    <n v="24.733333333333334"/>
    <d v="2045-01-31T00:00:00"/>
    <n v="316.56666666666666"/>
    <n v="291.83333333333331"/>
    <s v="TBD "/>
    <s v="Dutch Maid Bakery LLC"/>
    <s v="Sauk Rapids"/>
    <n v="56379"/>
    <x v="24"/>
    <x v="215"/>
    <s v="Q"/>
    <m/>
    <m/>
    <x v="3"/>
    <n v="0.01"/>
    <s v="TBD "/>
    <s v="Retail Bakeries"/>
  </r>
  <r>
    <m/>
    <n v="3791657000"/>
    <m/>
    <m/>
    <m/>
    <x v="841"/>
    <n v="1847482.34"/>
    <x v="18"/>
    <d v="2019-06-21T00:00:00"/>
    <n v="20.033333333333335"/>
    <d v="2045-08-30T00:00:00"/>
    <n v="318.89999999999998"/>
    <n v="298.86666666666662"/>
    <s v="TBD "/>
    <s v="Gas Hopper"/>
    <s v="Baytown"/>
    <n v="77520"/>
    <x v="0"/>
    <x v="4"/>
    <s v="Q"/>
    <m/>
    <m/>
    <x v="5"/>
    <n v="0.03"/>
    <s v="TBD "/>
    <s v="Gasoline Stations with Convenience Stores"/>
  </r>
  <r>
    <m/>
    <n v="2869758107"/>
    <m/>
    <m/>
    <m/>
    <x v="842"/>
    <n v="402918.78749999998"/>
    <x v="70"/>
    <d v="2020-08-31T00:00:00"/>
    <n v="5.4666666666666668"/>
    <d v="2045-08-31T00:00:00"/>
    <n v="304.36666666666667"/>
    <n v="298.90000000000003"/>
    <s v="TBD "/>
    <s v="Little Peach Holdings "/>
    <s v="Hudson"/>
    <n v="1749"/>
    <x v="4"/>
    <x v="27"/>
    <s v="Q"/>
    <m/>
    <m/>
    <x v="1"/>
    <n v="0.05"/>
    <s v="TBD "/>
    <s v="Convenience Stores"/>
  </r>
  <r>
    <m/>
    <n v="9348598201"/>
    <m/>
    <m/>
    <m/>
    <x v="843"/>
    <n v="637500"/>
    <x v="13"/>
    <d v="2020-12-07T00:00:00"/>
    <n v="2.2000000000000002"/>
    <d v="2045-12-28T00:00:00"/>
    <n v="305.06666666666666"/>
    <n v="302.86666666666667"/>
    <s v="TBD "/>
    <s v="Sam's Jr Liquor"/>
    <s v="Long Beach"/>
    <n v="90813"/>
    <x v="10"/>
    <x v="49"/>
    <s v="Q"/>
    <m/>
    <m/>
    <x v="7"/>
    <n v="0.05"/>
    <s v="TBD "/>
    <s v="Beer, Wine, and Liquor Stores"/>
  </r>
  <r>
    <m/>
    <n v="9584498208"/>
    <m/>
    <m/>
    <m/>
    <x v="844"/>
    <n v="1115625"/>
    <x v="13"/>
    <d v="2020-12-24T00:00:00"/>
    <n v="1.6333333333333333"/>
    <d v="2046-01-04T00:00:00"/>
    <n v="304.73333333333335"/>
    <n v="303.10000000000002"/>
    <s v="TBD "/>
    <s v="La Hacienda Meat Market Inc."/>
    <s v="Hawthorne"/>
    <n v="90250"/>
    <x v="10"/>
    <x v="72"/>
    <s v="Q"/>
    <m/>
    <m/>
    <x v="7"/>
    <n v="0.05"/>
    <s v="TBD "/>
    <s v="Supermarkets and Other Grocery (except Convenience) Stores"/>
  </r>
  <r>
    <m/>
    <n v="9613508209"/>
    <m/>
    <m/>
    <m/>
    <x v="845"/>
    <n v="885000"/>
    <x v="18"/>
    <d v="2020-12-28T00:00:00"/>
    <n v="1.5"/>
    <d v="2046-01-05T00:00:00"/>
    <n v="304.63333333333333"/>
    <n v="303.13333333333333"/>
    <s v="TBD "/>
    <s v="H &amp; M Food Mart"/>
    <s v="Irving"/>
    <n v="75062"/>
    <x v="0"/>
    <x v="4"/>
    <s v="Q"/>
    <m/>
    <m/>
    <x v="5"/>
    <n v="0.05"/>
    <s v="TBD "/>
    <s v="Gasoline Stations with Convenience Stores"/>
  </r>
  <r>
    <m/>
    <n v="8352088210"/>
    <m/>
    <m/>
    <m/>
    <x v="846"/>
    <n v="1043497.73"/>
    <x v="4"/>
    <d v="2020-09-24T00:00:00"/>
    <n v="4.666666666666667"/>
    <d v="2045-09-24T00:00:00"/>
    <n v="304.36666666666667"/>
    <n v="299.7"/>
    <s v="TBD "/>
    <s v="Liam Court Property LLC"/>
    <s v="Philadelphia"/>
    <n v="19123"/>
    <x v="11"/>
    <x v="72"/>
    <s v="Q"/>
    <m/>
    <m/>
    <x v="6"/>
    <n v="0.05"/>
    <s v="TBD "/>
    <s v="Supermarkets and Other Grocery (except Convenience) Stores"/>
  </r>
  <r>
    <m/>
    <n v="8461058200"/>
    <m/>
    <m/>
    <m/>
    <x v="847"/>
    <n v="932394.98"/>
    <x v="4"/>
    <d v="2020-10-13T00:00:00"/>
    <n v="4.0333333333333332"/>
    <d v="2045-10-13T00:00:00"/>
    <n v="304.36666666666667"/>
    <n v="300.33333333333331"/>
    <s v="TBD "/>
    <s v="UH&amp;LI Group LLC"/>
    <s v="Brooklyn"/>
    <n v="11214"/>
    <x v="15"/>
    <x v="71"/>
    <s v="Q"/>
    <m/>
    <m/>
    <x v="6"/>
    <n v="0.05"/>
    <s v="TBD "/>
    <s v="Offices of Physicians (except Mental Health Specialists)"/>
  </r>
  <r>
    <m/>
    <n v="8499208203"/>
    <m/>
    <m/>
    <m/>
    <x v="848"/>
    <n v="181966.58"/>
    <x v="13"/>
    <d v="2020-10-13T00:00:00"/>
    <n v="4.0333333333333332"/>
    <d v="2045-10-13T00:00:00"/>
    <n v="304.36666666666667"/>
    <n v="300.33333333333331"/>
    <s v="TBD "/>
    <s v="Tae Cho Chong"/>
    <s v="Irving"/>
    <n v="75061"/>
    <x v="0"/>
    <x v="137"/>
    <s v="Q"/>
    <m/>
    <m/>
    <x v="7"/>
    <n v="0.05"/>
    <s v="TBD "/>
    <s v="Automotive Body, Paint, and Interior Repair and Maintenance"/>
  </r>
  <r>
    <m/>
    <n v="9226248203"/>
    <m/>
    <m/>
    <m/>
    <x v="849"/>
    <n v="927816.42"/>
    <x v="13"/>
    <d v="2020-12-04T00:00:00"/>
    <n v="2.2999999999999998"/>
    <d v="2045-12-04T00:00:00"/>
    <n v="304.36666666666667"/>
    <n v="302.06666666666666"/>
    <s v="TBD "/>
    <s v="12991 Los Nietos LLC"/>
    <s v="Santa Fe Spring"/>
    <n v="90670"/>
    <x v="10"/>
    <x v="216"/>
    <s v="Q"/>
    <m/>
    <m/>
    <x v="7"/>
    <n v="0.05"/>
    <s v="TBD "/>
    <s v="Janitorial Services"/>
  </r>
  <r>
    <m/>
    <n v="9610258200"/>
    <m/>
    <m/>
    <m/>
    <x v="850"/>
    <n v="394500"/>
    <x v="70"/>
    <d v="2021-01-07T00:00:00"/>
    <n v="1.1666666666666667"/>
    <d v="2046-01-07T00:00:00"/>
    <n v="304.36666666666667"/>
    <n v="303.2"/>
    <s v="TBD "/>
    <s v="Day Spring Assisted Living Home LLC"/>
    <s v="Anchorage"/>
    <n v="99507"/>
    <x v="26"/>
    <x v="15"/>
    <s v="Q"/>
    <m/>
    <m/>
    <x v="1"/>
    <n v="0.05"/>
    <s v="TBD "/>
    <s v="Assisted Living Facilities for the Elderly"/>
  </r>
  <r>
    <m/>
    <n v="9423748210"/>
    <m/>
    <m/>
    <m/>
    <x v="851"/>
    <n v="159375"/>
    <x v="70"/>
    <d v="2021-01-04T00:00:00"/>
    <n v="1.2666666666666666"/>
    <d v="2046-01-12T00:00:00"/>
    <n v="304.63333333333333"/>
    <n v="303.36666666666667"/>
    <s v="TBD "/>
    <s v="Rehana Raja"/>
    <s v="Hamilton"/>
    <n v="8690"/>
    <x v="17"/>
    <x v="0"/>
    <s v="Q"/>
    <m/>
    <m/>
    <x v="1"/>
    <n v="0.05"/>
    <s v="TBD "/>
    <s v="Child Day Care Services"/>
  </r>
  <r>
    <m/>
    <n v="9403738210"/>
    <m/>
    <m/>
    <m/>
    <x v="852"/>
    <n v="1501200"/>
    <x v="15"/>
    <d v="2021-01-08T00:00:00"/>
    <n v="1.1333333333333333"/>
    <d v="2046-01-08T00:00:00"/>
    <n v="304.36666666666667"/>
    <n v="303.23333333333335"/>
    <s v="TBD "/>
    <s v="The Mountain Standard LLC"/>
    <s v="Scappoose"/>
    <n v="97056"/>
    <x v="21"/>
    <x v="122"/>
    <s v="Q"/>
    <m/>
    <m/>
    <x v="2"/>
    <n v="0.05"/>
    <s v="TBD "/>
    <s v="Automotive Parts and Accessories Stores"/>
  </r>
  <r>
    <m/>
    <n v="9422898207"/>
    <m/>
    <m/>
    <m/>
    <x v="853"/>
    <n v="365250"/>
    <x v="70"/>
    <d v="2020-12-31T00:00:00"/>
    <n v="1.4"/>
    <d v="2045-12-31T00:00:00"/>
    <n v="304.36666666666667"/>
    <n v="302.9666666666667"/>
    <s v="TBD "/>
    <s v="ZDJ INC."/>
    <s v="MYRTLE BEACH"/>
    <n v="29588"/>
    <x v="22"/>
    <x v="8"/>
    <s v="Q"/>
    <m/>
    <m/>
    <x v="1"/>
    <n v="0.05"/>
    <s v="TBD "/>
    <s v="General Automotive Repair"/>
  </r>
  <r>
    <m/>
    <n v="9478598210"/>
    <m/>
    <m/>
    <m/>
    <x v="854"/>
    <n v="346875"/>
    <x v="18"/>
    <d v="2020-12-30T00:00:00"/>
    <n v="1.4333333333333333"/>
    <d v="2045-12-30T00:00:00"/>
    <n v="304.36666666666667"/>
    <n v="302.93333333333334"/>
    <s v="TBD "/>
    <s v="ALWAYS BEST RATE MORTGAGE"/>
    <s v="AUBURN"/>
    <n v="95603"/>
    <x v="10"/>
    <x v="176"/>
    <s v="Q"/>
    <m/>
    <m/>
    <x v="5"/>
    <n v="0.05"/>
    <s v="TBD "/>
    <s v="Mortgage and Nonmortgage Loan Brokers"/>
  </r>
  <r>
    <m/>
    <n v="9382108209"/>
    <m/>
    <m/>
    <m/>
    <x v="855"/>
    <n v="218533.89"/>
    <x v="23"/>
    <d v="2020-12-16T00:00:00"/>
    <n v="1.9"/>
    <d v="2045-12-16T00:00:00"/>
    <n v="304.36666666666667"/>
    <n v="302.4666666666667"/>
    <s v="TBD "/>
    <s v="Blue Shark Sports, Inc dba EC Sports"/>
    <s v="Marietta"/>
    <n v="30068"/>
    <x v="2"/>
    <x v="1"/>
    <s v="Q"/>
    <m/>
    <m/>
    <x v="3"/>
    <n v="0.05"/>
    <s v="TBD "/>
    <s v="Fitness and Recreational Sports Centers"/>
  </r>
  <r>
    <m/>
    <n v="9583528202"/>
    <m/>
    <m/>
    <m/>
    <x v="856"/>
    <n v="1117500"/>
    <x v="11"/>
    <d v="2021-01-05T00:00:00"/>
    <n v="1.2333333333333334"/>
    <d v="2046-01-05T00:00:00"/>
    <n v="304.36666666666667"/>
    <n v="303.13333333333333"/>
    <s v="TBD "/>
    <s v="Statewide Investment Group, LLC"/>
    <s v="Atlanta"/>
    <n v="30315"/>
    <x v="2"/>
    <x v="4"/>
    <s v="Q"/>
    <m/>
    <m/>
    <x v="22"/>
    <n v="0.05"/>
    <s v="TBD "/>
    <s v="Gasoline Stations with Convenience Stores"/>
  </r>
  <r>
    <m/>
    <n v="9390848208"/>
    <m/>
    <m/>
    <m/>
    <x v="857"/>
    <n v="697256.35"/>
    <x v="13"/>
    <d v="2020-12-08T00:00:00"/>
    <n v="2.1666666666666665"/>
    <d v="2045-12-22T00:00:00"/>
    <n v="304.83333333333331"/>
    <n v="302.66666666666663"/>
    <s v="TBD "/>
    <s v="Ernest Petros"/>
    <s v="San Jose"/>
    <n v="95126"/>
    <x v="10"/>
    <x v="75"/>
    <s v="Q"/>
    <m/>
    <m/>
    <x v="7"/>
    <n v="0.05"/>
    <s v="TBD "/>
    <s v="Sign Manufacturing"/>
  </r>
  <r>
    <m/>
    <n v="9437448204"/>
    <m/>
    <m/>
    <m/>
    <x v="858"/>
    <n v="722250"/>
    <x v="4"/>
    <d v="2020-12-11T00:00:00"/>
    <n v="2.0666666666666669"/>
    <d v="2046-01-06T00:00:00"/>
    <n v="305.23333333333335"/>
    <n v="303.16666666666669"/>
    <s v="TBD "/>
    <s v="Five Star Dental Laboratory Inc"/>
    <s v="Anaheim"/>
    <n v="92807"/>
    <x v="10"/>
    <x v="91"/>
    <s v="Q"/>
    <m/>
    <m/>
    <x v="6"/>
    <n v="0.05"/>
    <s v="TBD "/>
    <s v="Dental Laboratories"/>
  </r>
  <r>
    <m/>
    <n v="9600708200"/>
    <m/>
    <m/>
    <m/>
    <x v="859"/>
    <n v="3166550.34"/>
    <x v="75"/>
    <d v="2021-01-04T00:00:00"/>
    <n v="1.2666666666666666"/>
    <d v="2046-01-22T00:00:00"/>
    <n v="304.96666666666664"/>
    <n v="303.7"/>
    <s v="TBD "/>
    <s v="Girl Empowerment LLC; DTE Trading Inc."/>
    <s v="El Monte"/>
    <n v="91731"/>
    <x v="10"/>
    <x v="212"/>
    <s v="Q"/>
    <m/>
    <m/>
    <x v="8"/>
    <n v="0.05"/>
    <s v="TBD "/>
    <s v="Women's, Children's, and Infants' Clothing and Accessories Merchant Wholesalers"/>
  </r>
  <r>
    <m/>
    <n v="3447407203"/>
    <m/>
    <m/>
    <m/>
    <x v="860"/>
    <n v="592500"/>
    <x v="70"/>
    <d v="2020-06-26T00:00:00"/>
    <n v="7.666666666666667"/>
    <d v="2046-03-26T00:00:00"/>
    <n v="313.46666666666664"/>
    <n v="305.79999999999995"/>
    <s v="TBD "/>
    <s v="ACS Holdings, LLC                                                     "/>
    <s v="Lexington"/>
    <n v="27292"/>
    <x v="6"/>
    <x v="217"/>
    <s v="Q"/>
    <m/>
    <m/>
    <x v="1"/>
    <n v="0.05"/>
    <s v="TBD "/>
    <s v="Other Automotive Mechanical and Electrical Repair and Maintenance"/>
  </r>
  <r>
    <m/>
    <n v="7859228209"/>
    <m/>
    <m/>
    <m/>
    <x v="861"/>
    <n v="1496479.23"/>
    <x v="11"/>
    <d v="2020-09-09T00:00:00"/>
    <n v="5.166666666666667"/>
    <d v="2045-09-09T00:00:00"/>
    <n v="304.36666666666667"/>
    <n v="299.2"/>
    <s v="TBD "/>
    <s v="Red Roof Plus"/>
    <s v="Irondale"/>
    <n v="35210"/>
    <x v="35"/>
    <x v="18"/>
    <s v="Q"/>
    <m/>
    <m/>
    <x v="22"/>
    <n v="0.05"/>
    <s v="TBD "/>
    <s v="Bed-and-Breakfast Inns"/>
  </r>
  <r>
    <m/>
    <n v="8288208203"/>
    <m/>
    <m/>
    <m/>
    <x v="862"/>
    <n v="731250"/>
    <x v="13"/>
    <d v="2020-09-18T00:00:00"/>
    <n v="4.8666666666666663"/>
    <d v="2030-09-25T00:00:00"/>
    <n v="121.96666666666667"/>
    <n v="117.10000000000001"/>
    <s v="TBD "/>
    <s v="Harlan and Son LLC"/>
    <s v="Portland"/>
    <n v="97201"/>
    <x v="21"/>
    <x v="79"/>
    <s v="Q"/>
    <m/>
    <m/>
    <x v="2"/>
    <n v="0"/>
    <s v="TBD "/>
    <s v="All Other Miscellaneous Store Retailers (except Tobacco Stores)"/>
  </r>
  <r>
    <m/>
    <n v="2832668209"/>
    <m/>
    <m/>
    <m/>
    <x v="863"/>
    <n v="600642.37"/>
    <x v="18"/>
    <d v="2020-08-10T00:00:00"/>
    <n v="6.166666666666667"/>
    <d v="2030-08-10T00:00:00"/>
    <n v="121.73333333333333"/>
    <n v="115.56666666666666"/>
    <s v="TBD "/>
    <s v="Firstat Medical Staffing"/>
    <s v="West Palm Beach"/>
    <n v="33407"/>
    <x v="1"/>
    <x v="218"/>
    <s v="Q"/>
    <m/>
    <m/>
    <x v="1"/>
    <n v="0"/>
    <s v="TBD "/>
    <s v="Employment Placement Agencies"/>
  </r>
  <r>
    <m/>
    <n v="8132058210"/>
    <m/>
    <m/>
    <m/>
    <x v="864"/>
    <n v="640640.67000000004"/>
    <x v="4"/>
    <d v="2020-09-17T00:00:00"/>
    <n v="4.9000000000000004"/>
    <d v="2030-09-17T00:00:00"/>
    <n v="121.73333333333333"/>
    <n v="116.83333333333333"/>
    <s v="TBD "/>
    <s v="Denver Metro Electric"/>
    <s v="Denver"/>
    <n v="80204"/>
    <x v="33"/>
    <x v="69"/>
    <s v="Q"/>
    <m/>
    <m/>
    <x v="0"/>
    <n v="0"/>
    <s v="TBD "/>
    <s v="Electrical Contractors and Other Wiring Installation Contractors"/>
  </r>
  <r>
    <m/>
    <n v="6109428206"/>
    <m/>
    <m/>
    <m/>
    <x v="865"/>
    <n v="123997.63"/>
    <x v="13"/>
    <d v="2020-08-17T00:00:00"/>
    <n v="5.9333333333333336"/>
    <d v="2030-08-17T00:00:00"/>
    <n v="121.73333333333333"/>
    <n v="115.8"/>
    <s v="TBD "/>
    <s v="CLEAN WAVE CAR WASH, LLC"/>
    <s v="ROYAL PALM BEACH"/>
    <n v="33431"/>
    <x v="1"/>
    <x v="16"/>
    <s v="Q"/>
    <m/>
    <m/>
    <x v="2"/>
    <n v="0"/>
    <s v="TBD "/>
    <s v="Car Washes"/>
  </r>
  <r>
    <m/>
    <n v="8229588201"/>
    <m/>
    <m/>
    <m/>
    <x v="866"/>
    <n v="573039.39"/>
    <x v="4"/>
    <d v="2020-09-22T00:00:00"/>
    <n v="4.7333333333333334"/>
    <d v="2030-09-22T00:00:00"/>
    <n v="121.73333333333333"/>
    <n v="117"/>
    <s v="TBD "/>
    <s v="Seismic SignCo"/>
    <s v="Skokie"/>
    <n v="60076"/>
    <x v="3"/>
    <x v="75"/>
    <s v="Q"/>
    <m/>
    <m/>
    <x v="0"/>
    <n v="0"/>
    <s v="TBD "/>
    <s v="Sign Manufacturing"/>
  </r>
  <r>
    <m/>
    <n v="8346548210"/>
    <m/>
    <m/>
    <m/>
    <x v="867"/>
    <n v="253380.74"/>
    <x v="18"/>
    <d v="2020-09-24T00:00:00"/>
    <n v="4.666666666666667"/>
    <d v="2030-09-24T00:00:00"/>
    <n v="121.73333333333333"/>
    <n v="117.06666666666666"/>
    <s v="TBD "/>
    <s v="CRL FAB, LLC"/>
    <s v="Ft. Myers"/>
    <n v="33916"/>
    <x v="1"/>
    <x v="219"/>
    <s v="Q"/>
    <m/>
    <m/>
    <x v="1"/>
    <n v="0"/>
    <s v="TBD "/>
    <s v="Primary Metal Manufacturing"/>
  </r>
  <r>
    <m/>
    <n v="8257958202"/>
    <m/>
    <m/>
    <m/>
    <x v="868"/>
    <n v="719934.8"/>
    <x v="4"/>
    <d v="2020-09-24T00:00:00"/>
    <n v="4.666666666666667"/>
    <d v="2030-09-24T00:00:00"/>
    <n v="121.73333333333333"/>
    <n v="117.06666666666666"/>
    <s v="TBD "/>
    <s v="Craft Pizza, Inc"/>
    <s v="Bloomington"/>
    <n v="61701"/>
    <x v="3"/>
    <x v="32"/>
    <s v="Q"/>
    <m/>
    <m/>
    <x v="0"/>
    <n v="0"/>
    <s v="TBD "/>
    <s v="Food Service Contractors"/>
  </r>
  <r>
    <m/>
    <n v="8355278203"/>
    <m/>
    <m/>
    <m/>
    <x v="869"/>
    <n v="1808180.8875"/>
    <x v="4"/>
    <d v="2020-09-23T00:00:00"/>
    <n v="4.7"/>
    <d v="2030-09-23T00:00:00"/>
    <n v="121.73333333333333"/>
    <n v="117.03333333333333"/>
    <s v="TBD "/>
    <s v="Heinz Engineering LLC"/>
    <s v="Gardenaa"/>
    <n v="90247"/>
    <x v="10"/>
    <x v="25"/>
    <s v="Q"/>
    <m/>
    <m/>
    <x v="0"/>
    <n v="0"/>
    <s v="TBD "/>
    <s v="Machine Shops"/>
  </r>
  <r>
    <m/>
    <n v="1501578207"/>
    <m/>
    <m/>
    <m/>
    <x v="870"/>
    <n v="315000"/>
    <x v="18"/>
    <d v="2020-08-26T00:00:00"/>
    <n v="5.6333333333333337"/>
    <d v="2030-11-26T00:00:00"/>
    <n v="124.8"/>
    <n v="119.16666666666666"/>
    <s v="TBD "/>
    <s v="Thrive Society Inc"/>
    <s v="Dana Point"/>
    <n v="92629"/>
    <x v="10"/>
    <x v="78"/>
    <s v="Q"/>
    <m/>
    <m/>
    <x v="1"/>
    <n v="0"/>
    <s v="TBD "/>
    <s v="Other Personal Care Services"/>
  </r>
  <r>
    <m/>
    <n v="8351408208"/>
    <m/>
    <m/>
    <m/>
    <x v="871"/>
    <n v="1528653.4"/>
    <x v="4"/>
    <d v="2020-09-25T00:00:00"/>
    <n v="4.6333333333333337"/>
    <d v="2030-09-25T00:00:00"/>
    <n v="121.73333333333333"/>
    <n v="117.1"/>
    <s v="TBD "/>
    <s v="Palo Alto Restoration"/>
    <s v="Milpitas"/>
    <n v="95035"/>
    <x v="10"/>
    <x v="220"/>
    <s v="Q"/>
    <m/>
    <m/>
    <x v="0"/>
    <n v="0"/>
    <s v="TBD "/>
    <s v="Other Specialty Trade Contractors"/>
  </r>
  <r>
    <m/>
    <n v="9204738207"/>
    <m/>
    <m/>
    <m/>
    <x v="872"/>
    <n v="282750"/>
    <x v="18"/>
    <d v="2020-12-29T00:00:00"/>
    <n v="1.4666666666666666"/>
    <d v="2030-12-29T00:00:00"/>
    <n v="121.73333333333333"/>
    <n v="120.26666666666667"/>
    <s v="TBD "/>
    <s v="Andvaris Virtual Solutions"/>
    <s v="Miami Lakes"/>
    <n v="33016"/>
    <x v="1"/>
    <x v="203"/>
    <s v="Q"/>
    <m/>
    <m/>
    <x v="1"/>
    <n v="0"/>
    <s v="TBD "/>
    <s v="All Other Professional, Scientific, and Technical Services"/>
  </r>
  <r>
    <m/>
    <n v="3975638104"/>
    <m/>
    <m/>
    <m/>
    <x v="873"/>
    <n v="260883.83"/>
    <x v="18"/>
    <d v="2020-08-20T00:00:00"/>
    <n v="5.833333333333333"/>
    <d v="2030-11-20T00:00:00"/>
    <n v="124.8"/>
    <n v="118.96666666666667"/>
    <s v="TBD "/>
    <s v="DAILY FROG FITNESS STUDIOS LLC DBA EAT THE FROG"/>
    <s v="HIGHLANDS"/>
    <n v="80130"/>
    <x v="33"/>
    <x v="1"/>
    <s v="Q"/>
    <m/>
    <m/>
    <x v="1"/>
    <n v="0"/>
    <s v="TBD "/>
    <s v="Fitness and Recreational Sports Centers"/>
  </r>
  <r>
    <m/>
    <n v="9365778209"/>
    <m/>
    <m/>
    <m/>
    <x v="874"/>
    <n v="262500"/>
    <x v="18"/>
    <d v="2020-12-10T00:00:00"/>
    <n v="2.1"/>
    <d v="2030-12-10T00:00:00"/>
    <n v="121.73333333333333"/>
    <n v="119.63333333333334"/>
    <s v="TBD "/>
    <s v="JAMGLE JAM USA INC dba BANKS JOURNAL"/>
    <s v="NEWPORT BEACH "/>
    <n v="92663"/>
    <x v="10"/>
    <x v="53"/>
    <s v="Q"/>
    <m/>
    <m/>
    <x v="1"/>
    <n v="0"/>
    <s v="TBD "/>
    <s v="Other Miscellaneous Nondurable Goods Merchant Wholesalers"/>
  </r>
  <r>
    <m/>
    <n v="9371378203"/>
    <m/>
    <m/>
    <m/>
    <x v="874"/>
    <n v="262500"/>
    <x v="18"/>
    <d v="2020-12-14T00:00:00"/>
    <n v="1.9666666666666666"/>
    <d v="2030-12-14T00:00:00"/>
    <n v="121.73333333333333"/>
    <n v="119.76666666666667"/>
    <s v="TBD "/>
    <s v="CYNETRA SYSTEMS INC"/>
    <s v="ALDIE "/>
    <n v="20105"/>
    <x v="29"/>
    <x v="143"/>
    <s v="Q"/>
    <m/>
    <m/>
    <x v="1"/>
    <n v="0"/>
    <s v="TBD "/>
    <s v="Custom Computer Programming Services"/>
  </r>
  <r>
    <m/>
    <n v="9389298201"/>
    <m/>
    <m/>
    <m/>
    <x v="874"/>
    <n v="262500"/>
    <x v="18"/>
    <d v="2020-12-14T00:00:00"/>
    <n v="1.9666666666666666"/>
    <d v="2030-12-14T00:00:00"/>
    <n v="121.73333333333333"/>
    <n v="119.76666666666667"/>
    <s v="TBD "/>
    <s v="CONTROL SYSTEMS SERVICES INC"/>
    <s v="WASHINGTONVILLE"/>
    <n v="10992"/>
    <x v="15"/>
    <x v="119"/>
    <s v="Q"/>
    <m/>
    <m/>
    <x v="1"/>
    <n v="0"/>
    <s v="TBD "/>
    <s v="Commercial and Industrial Machinery and Equipment (except Automotive and Electronic) Repair and Maintenance"/>
  </r>
  <r>
    <m/>
    <n v="9393968204"/>
    <m/>
    <m/>
    <m/>
    <x v="874"/>
    <n v="262500"/>
    <x v="18"/>
    <d v="2020-12-10T00:00:00"/>
    <n v="2.1"/>
    <d v="2030-12-10T00:00:00"/>
    <n v="121.73333333333333"/>
    <n v="119.63333333333334"/>
    <s v="TBD "/>
    <s v="COMCENTRIC INC"/>
    <s v="LONE TREE "/>
    <n v="80124"/>
    <x v="33"/>
    <x v="50"/>
    <s v="Q"/>
    <m/>
    <m/>
    <x v="1"/>
    <n v="0"/>
    <s v="TBD "/>
    <s v="Other Computer Related Services"/>
  </r>
  <r>
    <m/>
    <n v="9398198208"/>
    <m/>
    <m/>
    <m/>
    <x v="875"/>
    <n v="225000"/>
    <x v="18"/>
    <d v="2020-12-10T00:00:00"/>
    <n v="2.1"/>
    <d v="2030-12-10T00:00:00"/>
    <n v="121.73333333333333"/>
    <n v="119.63333333333334"/>
    <s v="TBD "/>
    <s v="MECZKA MARKETING / RESEARCH / CONSULTING INC"/>
    <s v="LOS ANGELES "/>
    <n v="90045"/>
    <x v="10"/>
    <x v="221"/>
    <s v="Q"/>
    <m/>
    <m/>
    <x v="1"/>
    <n v="0"/>
    <s v="TBD "/>
    <s v="Marketing Research and Public Opinion Polling"/>
  </r>
  <r>
    <m/>
    <n v="9398648201"/>
    <m/>
    <m/>
    <m/>
    <x v="876"/>
    <n v="187500"/>
    <x v="18"/>
    <d v="2020-12-16T00:00:00"/>
    <n v="1.9"/>
    <d v="2030-12-16T00:00:00"/>
    <n v="121.73333333333333"/>
    <n v="119.83333333333333"/>
    <s v="TBD "/>
    <s v="KAP GERI DOK PLLC"/>
    <s v="IRVING "/>
    <n v="75063"/>
    <x v="0"/>
    <x v="71"/>
    <s v="Q"/>
    <m/>
    <m/>
    <x v="1"/>
    <n v="0"/>
    <s v="TBD "/>
    <s v="Offices of Physicians (except Mental Health Specialists)"/>
  </r>
  <r>
    <m/>
    <n v="9398748207"/>
    <m/>
    <m/>
    <m/>
    <x v="877"/>
    <n v="175000"/>
    <x v="18"/>
    <d v="2020-12-16T00:00:00"/>
    <n v="1.9"/>
    <d v="2030-12-16T00:00:00"/>
    <n v="121.73333333333333"/>
    <n v="119.83333333333333"/>
    <s v="TBD "/>
    <s v="PLUMBING CARE INC"/>
    <s v="SAN RAMON"/>
    <n v="94583"/>
    <x v="10"/>
    <x v="62"/>
    <s v="Q"/>
    <m/>
    <m/>
    <x v="1"/>
    <n v="0"/>
    <s v="TBD "/>
    <s v="Plumbing, Heating, and Air-Conditioning Contractors"/>
  </r>
  <r>
    <m/>
    <n v="9482628209"/>
    <m/>
    <m/>
    <m/>
    <x v="875"/>
    <n v="225000"/>
    <x v="18"/>
    <d v="2020-12-17T00:00:00"/>
    <n v="1.8666666666666667"/>
    <d v="2030-12-17T00:00:00"/>
    <n v="121.73333333333333"/>
    <n v="119.86666666666667"/>
    <s v="TBD "/>
    <s v="JAMES D WINGET LIMITED COMPANY dba TUXEDO YARD CARE"/>
    <s v="UINTAH"/>
    <n v="84403"/>
    <x v="47"/>
    <x v="39"/>
    <s v="Q"/>
    <m/>
    <m/>
    <x v="1"/>
    <n v="0"/>
    <s v="TBD "/>
    <s v="Landscaping Services"/>
  </r>
  <r>
    <m/>
    <n v="9493978204"/>
    <m/>
    <m/>
    <m/>
    <x v="874"/>
    <n v="262500"/>
    <x v="18"/>
    <d v="2020-12-18T00:00:00"/>
    <n v="1.8333333333333333"/>
    <d v="2030-12-18T00:00:00"/>
    <n v="121.73333333333333"/>
    <n v="119.9"/>
    <s v="TBD "/>
    <s v="KLARIS IP LLC"/>
    <s v="NEW YORK"/>
    <n v="10010"/>
    <x v="15"/>
    <x v="201"/>
    <s v="Q"/>
    <m/>
    <m/>
    <x v="1"/>
    <n v="0"/>
    <s v="TBD "/>
    <s v="Other Management Consulting Services"/>
  </r>
  <r>
    <m/>
    <n v="9552918209"/>
    <m/>
    <m/>
    <m/>
    <x v="874"/>
    <n v="262500"/>
    <x v="18"/>
    <d v="2020-12-23T00:00:00"/>
    <n v="1.6666666666666667"/>
    <d v="2030-12-23T00:00:00"/>
    <n v="121.73333333333333"/>
    <n v="120.06666666666666"/>
    <s v="TBD "/>
    <s v="APACHE CONTRACTORS LLC dba BKM TRUCKING LLC"/>
    <s v="PORT ALLEN "/>
    <n v="70767"/>
    <x v="20"/>
    <x v="220"/>
    <s v="Q"/>
    <m/>
    <m/>
    <x v="1"/>
    <n v="0"/>
    <s v="TBD "/>
    <s v="Other Specialty Trade Contractors"/>
  </r>
  <r>
    <m/>
    <n v="1383937907"/>
    <m/>
    <m/>
    <m/>
    <x v="878"/>
    <n v="386025"/>
    <x v="18"/>
    <d v="2020-08-07T00:00:00"/>
    <n v="6.2666666666666666"/>
    <d v="2031-02-07T00:00:00"/>
    <n v="127.86666666666666"/>
    <n v="121.6"/>
    <s v="TBD "/>
    <s v="Crave Hotdogs &amp; BBQ"/>
    <s v="Colorado Springs"/>
    <n v="80917"/>
    <x v="33"/>
    <x v="3"/>
    <s v="Q"/>
    <m/>
    <m/>
    <x v="1"/>
    <n v="0"/>
    <s v="TBD "/>
    <s v="Full-Service Restaurants"/>
  </r>
  <r>
    <m/>
    <n v="2809157901"/>
    <m/>
    <m/>
    <m/>
    <x v="879"/>
    <n v="268350"/>
    <x v="18"/>
    <d v="2020-07-30T00:00:00"/>
    <n v="6.5333333333333332"/>
    <d v="2030-12-30T00:00:00"/>
    <n v="126.83333333333333"/>
    <n v="120.3"/>
    <s v="TBD "/>
    <s v="CM Partners Group LLC"/>
    <s v="Winter Garden"/>
    <n v="34787"/>
    <x v="1"/>
    <x v="84"/>
    <s v="Q"/>
    <m/>
    <m/>
    <x v="1"/>
    <n v="0"/>
    <s v="TBD "/>
    <s v="Snack and Nonalcoholic Beverage Bars"/>
  </r>
  <r>
    <m/>
    <n v="4284037002"/>
    <m/>
    <m/>
    <m/>
    <x v="880"/>
    <n v="391500"/>
    <x v="18"/>
    <d v="2020-08-12T00:00:00"/>
    <n v="6.1"/>
    <d v="2031-01-12T00:00:00"/>
    <n v="126.83333333333333"/>
    <n v="120.73333333333333"/>
    <s v="TBD "/>
    <s v="Dickey's Barbeque Pit dba Trixies"/>
    <s v="Freeport"/>
    <n v="11520"/>
    <x v="15"/>
    <x v="3"/>
    <s v="Q"/>
    <m/>
    <m/>
    <x v="1"/>
    <n v="0"/>
    <s v="TBD "/>
    <s v="Full-Service Restaurants"/>
  </r>
  <r>
    <m/>
    <n v="9408008202"/>
    <m/>
    <m/>
    <m/>
    <x v="881"/>
    <n v="537502.16"/>
    <x v="18"/>
    <d v="2020-12-21T00:00:00"/>
    <n v="1.7333333333333334"/>
    <d v="2030-12-21T00:00:00"/>
    <n v="121.73333333333333"/>
    <n v="120"/>
    <s v="TBD "/>
    <s v="Therapy Partners Inc"/>
    <s v="Oakdale"/>
    <n v="55128"/>
    <x v="24"/>
    <x v="99"/>
    <s v="Q"/>
    <m/>
    <m/>
    <x v="1"/>
    <n v="0"/>
    <s v="TBD "/>
    <s v="Offices of All Other Miscellaneous Health Practitioners"/>
  </r>
  <r>
    <m/>
    <n v="9438448206"/>
    <m/>
    <m/>
    <m/>
    <x v="882"/>
    <n v="1650000"/>
    <x v="18"/>
    <d v="2020-12-31T00:00:00"/>
    <n v="1.4"/>
    <d v="2030-12-31T00:00:00"/>
    <n v="121.73333333333333"/>
    <n v="120.33333333333333"/>
    <s v="TBD "/>
    <s v="Seven C's Manufacturing, Inc."/>
    <s v="Reno"/>
    <n v="89502"/>
    <x v="40"/>
    <x v="156"/>
    <s v="Q"/>
    <m/>
    <m/>
    <x v="1"/>
    <n v="0"/>
    <s v="TBD "/>
    <s v="All Other Miscellaneous Manufacturing"/>
  </r>
  <r>
    <m/>
    <n v="9467118200"/>
    <m/>
    <m/>
    <m/>
    <x v="883"/>
    <n v="1263750"/>
    <x v="18"/>
    <d v="2020-12-30T00:00:00"/>
    <n v="1.4333333333333333"/>
    <d v="2030-12-30T00:00:00"/>
    <n v="121.73333333333333"/>
    <n v="120.3"/>
    <s v="TBD "/>
    <s v="Petroleum Equipment &amp; Services, Inc."/>
    <s v="Anchorage"/>
    <n v="99518"/>
    <x v="26"/>
    <x v="222"/>
    <s v="Q"/>
    <m/>
    <m/>
    <x v="1"/>
    <n v="0"/>
    <s v="TBD "/>
    <s v="Construction, Mining, and Forestry Machinery and Equipment Rental and Leasing"/>
  </r>
  <r>
    <m/>
    <n v="9459658209"/>
    <m/>
    <m/>
    <m/>
    <x v="884"/>
    <n v="223447.42"/>
    <x v="4"/>
    <d v="2020-12-15T00:00:00"/>
    <n v="1.9333333333333333"/>
    <d v="2030-12-18T00:00:00"/>
    <n v="121.83333333333333"/>
    <n v="119.89999999999999"/>
    <s v="TBD "/>
    <s v="CAM Motor Corporation dba Meineke Car Care Center "/>
    <s v="Sparks"/>
    <n v="89431"/>
    <x v="40"/>
    <x v="8"/>
    <s v="Q"/>
    <m/>
    <m/>
    <x v="0"/>
    <n v="0"/>
    <s v="TBD "/>
    <s v="General Automotive Repair"/>
  </r>
  <r>
    <m/>
    <n v="9497568207"/>
    <m/>
    <m/>
    <m/>
    <x v="885"/>
    <n v="168150"/>
    <x v="18"/>
    <d v="2020-12-21T00:00:00"/>
    <n v="1.7333333333333334"/>
    <d v="2030-12-30T00:00:00"/>
    <n v="122.03333333333333"/>
    <n v="120.3"/>
    <s v="TBD "/>
    <s v="Waddell Electric Motor Service LLC "/>
    <s v="Bend"/>
    <n v="97701"/>
    <x v="21"/>
    <x v="119"/>
    <s v="Q"/>
    <m/>
    <m/>
    <x v="1"/>
    <n v="0"/>
    <s v="TBD "/>
    <s v="Commercial and Industrial Machinery and Equipment (except Automotive and Electronic) Repair and Maintenance"/>
  </r>
  <r>
    <m/>
    <n v="9437438201"/>
    <m/>
    <m/>
    <m/>
    <x v="886"/>
    <n v="229350"/>
    <x v="18"/>
    <d v="2020-12-30T00:00:00"/>
    <n v="1.4333333333333333"/>
    <d v="2030-12-30T00:00:00"/>
    <n v="121.73333333333333"/>
    <n v="120.3"/>
    <s v="TBD "/>
    <s v="S&amp;L Window Specialists, Inc."/>
    <s v="Fountain Valley"/>
    <n v="92708"/>
    <x v="48"/>
    <x v="190"/>
    <s v="Q"/>
    <m/>
    <m/>
    <x v="1"/>
    <n v="0"/>
    <s v="TBD "/>
    <s v="Window Treatment Stores"/>
  </r>
  <r>
    <m/>
    <n v="9430358209"/>
    <m/>
    <m/>
    <m/>
    <x v="887"/>
    <n v="1177125"/>
    <x v="18"/>
    <d v="2020-12-16T00:00:00"/>
    <n v="1.9"/>
    <d v="2030-12-16T00:00:00"/>
    <n v="121.73333333333333"/>
    <n v="119.83333333333333"/>
    <s v="TBD "/>
    <s v="Sikiama International Inc."/>
    <s v="Santa Barbara"/>
    <n v="93101"/>
    <x v="10"/>
    <x v="223"/>
    <s v="Q"/>
    <m/>
    <m/>
    <x v="1"/>
    <n v="0"/>
    <s v="TBD "/>
    <s v="All Other Miscellaneous Electrical Equipment and Component Manufacturing"/>
  </r>
  <r>
    <m/>
    <n v="9464868207"/>
    <m/>
    <m/>
    <m/>
    <x v="824"/>
    <n v="2250000"/>
    <x v="75"/>
    <d v="2020-12-31T00:00:00"/>
    <n v="1.4"/>
    <d v="2030-12-31T00:00:00"/>
    <n v="121.73333333333333"/>
    <n v="120.33333333333333"/>
    <s v="TBD "/>
    <s v="Advantage Golf Cars SEFL, LLC"/>
    <s v="Opa Locka"/>
    <n v="33054"/>
    <x v="1"/>
    <x v="224"/>
    <s v="Q"/>
    <m/>
    <m/>
    <x v="3"/>
    <n v="0"/>
    <s v="TBD "/>
    <s v="Motorcycle, ATV, and All Other Motor Vehicle Dealers"/>
  </r>
  <r>
    <m/>
    <n v="1388957901"/>
    <m/>
    <m/>
    <m/>
    <x v="876"/>
    <n v="187500"/>
    <x v="18"/>
    <d v="2020-06-22T00:00:00"/>
    <n v="7.8"/>
    <d v="2031-02-22T00:00:00"/>
    <n v="129.9"/>
    <n v="122.10000000000001"/>
    <s v="TBD "/>
    <s v="TABLE ROCK COFFEE ROASTERS LLC"/>
    <s v="RIDGEDALE"/>
    <n v="65739"/>
    <x v="28"/>
    <x v="84"/>
    <s v="Q"/>
    <m/>
    <m/>
    <x v="1"/>
    <n v="0"/>
    <s v="TBD "/>
    <s v="Snack and Nonalcoholic Beverage Bars"/>
  </r>
  <r>
    <m/>
    <n v="8798898200"/>
    <m/>
    <m/>
    <m/>
    <x v="888"/>
    <n v="148244.82"/>
    <x v="18"/>
    <d v="2020-11-06T00:00:00"/>
    <n v="3.2333333333333334"/>
    <d v="2030-11-06T00:00:00"/>
    <n v="121.73333333333333"/>
    <n v="118.5"/>
    <s v="TBD "/>
    <s v="HOMETOWN MEDICAL GROUP LLC"/>
    <s v="PIERCE CITY"/>
    <n v="65723"/>
    <x v="28"/>
    <x v="99"/>
    <s v="Q"/>
    <m/>
    <m/>
    <x v="1"/>
    <n v="0"/>
    <s v="TBD "/>
    <s v="Offices of All Other Miscellaneous Health Practitioners"/>
  </r>
  <r>
    <m/>
    <n v="8916648208"/>
    <m/>
    <m/>
    <m/>
    <x v="889"/>
    <n v="61200"/>
    <x v="18"/>
    <d v="2020-11-10T00:00:00"/>
    <n v="3.1"/>
    <d v="2030-11-10T00:00:00"/>
    <n v="121.73333333333333"/>
    <n v="118.63333333333334"/>
    <s v="TBD "/>
    <s v="EDUCATING TOMORROWS FUTURE LLC"/>
    <s v="LITTLE ROCK"/>
    <n v="72212"/>
    <x v="25"/>
    <x v="225"/>
    <s v="Q"/>
    <m/>
    <m/>
    <x v="1"/>
    <n v="0"/>
    <s v="TBD "/>
    <s v="Exam Preparation and Tutoring"/>
  </r>
  <r>
    <m/>
    <n v="8944848206"/>
    <m/>
    <m/>
    <m/>
    <x v="890"/>
    <n v="468045.77"/>
    <x v="18"/>
    <d v="2020-11-19T00:00:00"/>
    <n v="2.8"/>
    <d v="2030-11-19T00:00:00"/>
    <n v="121.73333333333333"/>
    <n v="118.93333333333334"/>
    <s v="TBD "/>
    <s v="BIO RESOURCES APPLICATION MANAGEMENT LLC"/>
    <s v="GOLDEN CITY"/>
    <n v="64748"/>
    <x v="28"/>
    <x v="226"/>
    <s v="Q"/>
    <m/>
    <m/>
    <x v="1"/>
    <n v="0"/>
    <s v="TBD "/>
    <s v="Support Activities for Animal Production"/>
  </r>
  <r>
    <m/>
    <n v="4041087001"/>
    <m/>
    <m/>
    <m/>
    <x v="891"/>
    <n v="1109635.29"/>
    <x v="18"/>
    <d v="2020-03-09T00:00:00"/>
    <n v="11.3"/>
    <d v="2030-12-09T00:00:00"/>
    <n v="130.9"/>
    <n v="119.60000000000001"/>
    <s v="TBD "/>
    <s v="Dark Horse Energy Services LLC"/>
    <s v="Odessa"/>
    <n v="79764"/>
    <x v="0"/>
    <x v="227"/>
    <s v="Q"/>
    <m/>
    <m/>
    <x v="1"/>
    <n v="0"/>
    <s v="TBD "/>
    <s v="Specialized Freight (except Used Goods) Trucking, Local"/>
  </r>
  <r>
    <m/>
    <n v="9160978206"/>
    <m/>
    <m/>
    <m/>
    <x v="892"/>
    <n v="1468927.78"/>
    <x v="75"/>
    <d v="2020-11-19T00:00:00"/>
    <n v="2.8"/>
    <d v="2030-11-19T00:00:00"/>
    <n v="121.73333333333333"/>
    <n v="118.93333333333334"/>
    <s v="TBD "/>
    <s v="Cobalt Development Inc"/>
    <s v="Arlington"/>
    <n v="98223"/>
    <x v="13"/>
    <x v="228"/>
    <s v="Q"/>
    <m/>
    <m/>
    <x v="3"/>
    <n v="0"/>
    <s v="TBD "/>
    <s v="Sheet Metal Work Manufacturing"/>
  </r>
  <r>
    <m/>
    <n v="4277887001"/>
    <m/>
    <m/>
    <m/>
    <x v="893"/>
    <n v="371360.29"/>
    <x v="13"/>
    <d v="2020-07-01T00:00:00"/>
    <n v="7.5"/>
    <d v="2031-01-01T00:00:00"/>
    <n v="127.86666666666666"/>
    <n v="120.36666666666666"/>
    <s v="TBD "/>
    <s v="FAT PIBBLE LLC "/>
    <s v="EUGENE"/>
    <n v="97402"/>
    <x v="21"/>
    <x v="24"/>
    <s v="Q"/>
    <m/>
    <m/>
    <x v="2"/>
    <n v="0"/>
    <s v="TBD "/>
    <s v="Pet Care (except Veterinary) Services"/>
  </r>
  <r>
    <m/>
    <n v="9486568201"/>
    <m/>
    <m/>
    <m/>
    <x v="894"/>
    <n v="150000"/>
    <x v="18"/>
    <d v="2020-12-30T00:00:00"/>
    <n v="1.4333333333333333"/>
    <d v="2030-12-30T00:00:00"/>
    <n v="121.73333333333333"/>
    <n v="120.3"/>
    <s v="TBD "/>
    <s v="Eco Pure LLC"/>
    <s v="Santa Ana"/>
    <n v="92705"/>
    <x v="10"/>
    <x v="114"/>
    <s v="Q"/>
    <m/>
    <m/>
    <x v="1"/>
    <n v="0"/>
    <s v="TBD "/>
    <s v="Cemeteries and Crematories"/>
  </r>
  <r>
    <m/>
    <n v="9523008208"/>
    <m/>
    <m/>
    <m/>
    <x v="895"/>
    <n v="675241.21"/>
    <x v="4"/>
    <d v="2020-12-30T00:00:00"/>
    <n v="1.4333333333333333"/>
    <d v="2030-12-30T00:00:00"/>
    <n v="121.73333333333333"/>
    <n v="120.3"/>
    <s v="TBD "/>
    <s v="South East Turf Partners Inc"/>
    <s v="Fort Myers"/>
    <n v="33967"/>
    <x v="1"/>
    <x v="229"/>
    <s v="Q"/>
    <m/>
    <m/>
    <x v="0"/>
    <n v="0"/>
    <s v="TBD "/>
    <s v="Farm Supplies Merchant Wholesalers"/>
  </r>
  <r>
    <m/>
    <n v="9576548210"/>
    <m/>
    <m/>
    <m/>
    <x v="896"/>
    <n v="620200.81999999995"/>
    <x v="18"/>
    <d v="2020-12-30T00:00:00"/>
    <n v="1.4333333333333333"/>
    <d v="2030-12-30T00:00:00"/>
    <n v="121.73333333333333"/>
    <n v="120.3"/>
    <s v="TBD "/>
    <s v="Crump Enterprises, Inc."/>
    <s v="Raleigh"/>
    <n v="27617"/>
    <x v="6"/>
    <x v="96"/>
    <s v="Q"/>
    <m/>
    <m/>
    <x v="1"/>
    <n v="0"/>
    <s v="TBD "/>
    <s v="Cut Stone and Stone Product Manufacturing"/>
  </r>
  <r>
    <m/>
    <n v="9369328200"/>
    <m/>
    <m/>
    <m/>
    <x v="720"/>
    <n v="127500"/>
    <x v="18"/>
    <d v="2021-01-06T00:00:00"/>
    <n v="1.2"/>
    <d v="2031-01-06T00:00:00"/>
    <n v="121.73333333333333"/>
    <n v="120.53333333333333"/>
    <s v="TBD "/>
    <s v="Fadi Kayyali Inc"/>
    <s v="Westlake"/>
    <n v="44145"/>
    <x v="9"/>
    <x v="204"/>
    <s v="Q"/>
    <m/>
    <m/>
    <x v="1"/>
    <n v="0"/>
    <s v="TBD "/>
    <s v="Administrative Management and General Management Consulting Services"/>
  </r>
  <r>
    <m/>
    <n v="9182168200"/>
    <m/>
    <m/>
    <m/>
    <x v="897"/>
    <n v="109132.59"/>
    <x v="4"/>
    <d v="2020-11-20T00:00:00"/>
    <n v="2.7666666666666666"/>
    <d v="2030-11-20T00:00:00"/>
    <n v="121.73333333333333"/>
    <n v="118.96666666666667"/>
    <s v="TBD "/>
    <s v="Beachside Home Service"/>
    <s v="Morehead City"/>
    <n v="28557"/>
    <x v="6"/>
    <x v="46"/>
    <s v="Q"/>
    <m/>
    <m/>
    <x v="0"/>
    <n v="0"/>
    <s v="TBD "/>
    <s v="Home Health Care Services"/>
  </r>
  <r>
    <m/>
    <n v="9367008205"/>
    <m/>
    <m/>
    <m/>
    <x v="898"/>
    <n v="84467.15"/>
    <x v="18"/>
    <d v="2020-12-16T00:00:00"/>
    <n v="1.9"/>
    <d v="2030-12-16T00:00:00"/>
    <n v="121.73333333333333"/>
    <n v="119.83333333333333"/>
    <s v="TBD "/>
    <s v="All Care Motors LLC"/>
    <s v="Billerica"/>
    <n v="1821"/>
    <x v="4"/>
    <x v="8"/>
    <s v="Q"/>
    <m/>
    <m/>
    <x v="1"/>
    <n v="0"/>
    <s v="TBD "/>
    <s v="General Automotive Repair"/>
  </r>
  <r>
    <m/>
    <n v="9297038207"/>
    <m/>
    <m/>
    <m/>
    <x v="899"/>
    <n v="631500"/>
    <x v="18"/>
    <d v="2020-12-16T00:00:00"/>
    <n v="1.9"/>
    <d v="2030-12-16T00:00:00"/>
    <n v="121.73333333333333"/>
    <n v="119.83333333333333"/>
    <s v="TBD "/>
    <s v="Express Service Contractors, LLC"/>
    <s v="Royse City"/>
    <n v="75189"/>
    <x v="0"/>
    <x v="62"/>
    <s v="Q"/>
    <m/>
    <m/>
    <x v="1"/>
    <n v="0"/>
    <s v="TBD "/>
    <s v="Plumbing, Heating, and Air-Conditioning Contractors"/>
  </r>
  <r>
    <m/>
    <n v="9355608200"/>
    <m/>
    <m/>
    <m/>
    <x v="900"/>
    <n v="240000"/>
    <x v="18"/>
    <d v="2020-12-16T00:00:00"/>
    <n v="1.9"/>
    <d v="2030-12-16T00:00:00"/>
    <n v="121.73333333333333"/>
    <n v="119.83333333333333"/>
    <s v="TBD "/>
    <s v="SUBperb Sandwiches Morganton, LLC dba Firehouse Subs"/>
    <s v="Morganton"/>
    <n v="28655"/>
    <x v="6"/>
    <x v="22"/>
    <s v="Q"/>
    <m/>
    <m/>
    <x v="1"/>
    <n v="0"/>
    <s v="TBD "/>
    <s v="Limited-Service Restaurants"/>
  </r>
  <r>
    <m/>
    <n v="9559598201"/>
    <m/>
    <m/>
    <m/>
    <x v="901"/>
    <n v="293250"/>
    <x v="18"/>
    <d v="2020-12-30T00:00:00"/>
    <n v="1.4333333333333333"/>
    <d v="2030-12-30T00:00:00"/>
    <n v="121.73333333333333"/>
    <n v="120.3"/>
    <s v="TBD "/>
    <s v="HB &amp; Me, LLC dba Fully Promoted South Tampa"/>
    <s v="Tampa"/>
    <n v="33609"/>
    <x v="1"/>
    <x v="230"/>
    <s v="Q"/>
    <m/>
    <m/>
    <x v="1"/>
    <n v="0"/>
    <s v="TBD "/>
    <s v="Other Services Related to Advertising"/>
  </r>
  <r>
    <m/>
    <n v="9514238205"/>
    <m/>
    <m/>
    <m/>
    <x v="902"/>
    <n v="598230"/>
    <x v="18"/>
    <d v="2020-12-22T00:00:00"/>
    <n v="1.7"/>
    <d v="2030-12-22T00:00:00"/>
    <n v="121.73333333333333"/>
    <n v="120.03333333333333"/>
    <s v="TBD "/>
    <s v="Tri-County Aerospace, Inc."/>
    <s v="Doral"/>
    <n v="33172"/>
    <x v="1"/>
    <x v="231"/>
    <s v="Q"/>
    <m/>
    <m/>
    <x v="1"/>
    <n v="0"/>
    <s v="TBD "/>
    <s v="Aircraft Engine and Engine Parts Manufacturing"/>
  </r>
  <r>
    <m/>
    <n v="8976418200"/>
    <m/>
    <m/>
    <m/>
    <x v="903"/>
    <n v="1595952.7"/>
    <x v="75"/>
    <d v="2020-11-13T00:00:00"/>
    <n v="3"/>
    <d v="2030-11-13T00:00:00"/>
    <n v="121.73333333333333"/>
    <n v="118.73333333333333"/>
    <s v="TBD "/>
    <s v="Tops Solid Surface Co."/>
    <s v="Olympia"/>
    <n v="98516"/>
    <x v="13"/>
    <x v="232"/>
    <s v="Q"/>
    <m/>
    <m/>
    <x v="3"/>
    <n v="0"/>
    <s v="TBD "/>
    <s v="Wood Kitchen Cabinet and Countertop Manufacturing"/>
  </r>
  <r>
    <m/>
    <n v="9095408202"/>
    <m/>
    <m/>
    <m/>
    <x v="904"/>
    <n v="2625000"/>
    <x v="13"/>
    <d v="2020-11-20T00:00:00"/>
    <n v="2.7666666666666666"/>
    <d v="2030-11-20T00:00:00"/>
    <n v="121.73333333333333"/>
    <n v="118.96666666666667"/>
    <s v="TBD "/>
    <s v="H2O Station Holdings LLC"/>
    <s v="Ambler"/>
    <n v="19002"/>
    <x v="11"/>
    <x v="233"/>
    <s v="Q"/>
    <m/>
    <m/>
    <x v="2"/>
    <n v="0"/>
    <s v="TBD "/>
    <s v="Other Commercial and Service Industry Machinery Manufacturing"/>
  </r>
  <r>
    <m/>
    <n v="8888158205"/>
    <m/>
    <m/>
    <m/>
    <x v="905"/>
    <n v="405000"/>
    <x v="4"/>
    <d v="2020-11-20T00:00:00"/>
    <n v="2.7666666666666666"/>
    <d v="2030-11-27T00:00:00"/>
    <n v="121.96666666666667"/>
    <n v="119.2"/>
    <s v="TBD "/>
    <s v="JBK Central, Inc."/>
    <s v="San Luis Obispo"/>
    <n v="93101"/>
    <x v="10"/>
    <x v="234"/>
    <s v="Q"/>
    <m/>
    <m/>
    <x v="0"/>
    <n v="0"/>
    <s v="TBD "/>
    <s v="Private Mail Centers"/>
  </r>
  <r>
    <m/>
    <n v="9027678200"/>
    <m/>
    <m/>
    <m/>
    <x v="874"/>
    <n v="262500"/>
    <x v="18"/>
    <d v="2020-11-24T00:00:00"/>
    <n v="2.6333333333333333"/>
    <d v="2030-12-03T00:00:00"/>
    <n v="122.03333333333333"/>
    <n v="119.39999999999999"/>
    <s v="TBD "/>
    <s v="Speed Haulier Inc"/>
    <s v="Stockton"/>
    <n v="95212"/>
    <x v="10"/>
    <x v="82"/>
    <s v="Q"/>
    <m/>
    <m/>
    <x v="1"/>
    <n v="0"/>
    <s v="TBD "/>
    <s v="General Freight Trucking, Long-Distance, Truckload"/>
  </r>
  <r>
    <m/>
    <n v="9181608210"/>
    <m/>
    <m/>
    <m/>
    <x v="894"/>
    <n v="150000"/>
    <x v="18"/>
    <d v="2020-12-08T00:00:00"/>
    <n v="2.1666666666666665"/>
    <d v="2030-12-14T00:00:00"/>
    <n v="121.93333333333334"/>
    <n v="119.76666666666667"/>
    <s v="TBD "/>
    <s v="Crusty Inc."/>
    <s v="Fallon"/>
    <n v="89406"/>
    <x v="40"/>
    <x v="3"/>
    <s v="Q"/>
    <m/>
    <m/>
    <x v="1"/>
    <n v="0"/>
    <s v="TBD "/>
    <s v="Full-Service Restaurants"/>
  </r>
  <r>
    <m/>
    <n v="9362258200"/>
    <m/>
    <m/>
    <m/>
    <x v="906"/>
    <n v="112455"/>
    <x v="18"/>
    <d v="2020-12-14T00:00:00"/>
    <n v="1.9666666666666666"/>
    <d v="2030-12-21T00:00:00"/>
    <n v="121.96666666666667"/>
    <n v="120"/>
    <s v="TBD "/>
    <s v="UB TRUCKING"/>
    <s v="Tracy"/>
    <n v="95377"/>
    <x v="10"/>
    <x v="60"/>
    <s v="Q"/>
    <m/>
    <m/>
    <x v="1"/>
    <n v="0"/>
    <s v="TBD "/>
    <s v="General Freight Trucking, Local"/>
  </r>
  <r>
    <m/>
    <n v="9362368209"/>
    <m/>
    <m/>
    <m/>
    <x v="874"/>
    <n v="262500"/>
    <x v="18"/>
    <d v="2020-12-28T00:00:00"/>
    <n v="1.5"/>
    <d v="2030-12-29T00:00:00"/>
    <n v="121.76666666666667"/>
    <n v="120.26666666666667"/>
    <s v="TBD "/>
    <s v="Chalasani Foods Inc."/>
    <s v="Santa Clara"/>
    <n v="95054"/>
    <x v="10"/>
    <x v="22"/>
    <s v="Q"/>
    <m/>
    <m/>
    <x v="1"/>
    <n v="0"/>
    <s v="TBD "/>
    <s v="Limited-Service Restaurants"/>
  </r>
  <r>
    <m/>
    <n v="9362738202"/>
    <m/>
    <m/>
    <m/>
    <x v="874"/>
    <n v="262500"/>
    <x v="18"/>
    <d v="2020-12-14T00:00:00"/>
    <n v="1.9666666666666666"/>
    <d v="2030-12-22T00:00:00"/>
    <n v="122"/>
    <n v="120.03333333333333"/>
    <s v="TBD "/>
    <s v="Stone Solutions Incorporated"/>
    <s v="Kailua Kona"/>
    <n v="96740"/>
    <x v="49"/>
    <x v="96"/>
    <s v="Q"/>
    <m/>
    <m/>
    <x v="1"/>
    <n v="0"/>
    <s v="TBD "/>
    <s v="Cut Stone and Stone Product Manufacturing"/>
  </r>
  <r>
    <m/>
    <n v="9372508207"/>
    <m/>
    <m/>
    <m/>
    <x v="907"/>
    <n v="202500"/>
    <x v="18"/>
    <d v="2020-12-16T00:00:00"/>
    <n v="1.9"/>
    <d v="2030-12-24T00:00:00"/>
    <n v="122"/>
    <n v="120.1"/>
    <s v="TBD "/>
    <s v="Environmental Tree Care LLC"/>
    <s v="Lakewood"/>
    <n v="80232"/>
    <x v="33"/>
    <x v="235"/>
    <s v="Q"/>
    <m/>
    <m/>
    <x v="1"/>
    <n v="0"/>
    <s v="TBD "/>
    <s v="Support Activities for Forestry"/>
  </r>
  <r>
    <m/>
    <n v="9464088209"/>
    <m/>
    <m/>
    <m/>
    <x v="720"/>
    <n v="127500"/>
    <x v="18"/>
    <d v="2020-12-28T00:00:00"/>
    <n v="1.5"/>
    <d v="2030-12-31T00:00:00"/>
    <n v="121.83333333333333"/>
    <n v="120.33333333333333"/>
    <s v="TBD "/>
    <s v="Frontier Neurosurgery, P.L.L.C."/>
    <s v="Yakima"/>
    <n v="98902"/>
    <x v="13"/>
    <x v="71"/>
    <s v="Q"/>
    <m/>
    <m/>
    <x v="1"/>
    <n v="0"/>
    <s v="TBD "/>
    <s v="Offices of Physicians (except Mental Health Specialists)"/>
  </r>
  <r>
    <m/>
    <n v="9479118208"/>
    <m/>
    <m/>
    <m/>
    <x v="894"/>
    <n v="150000"/>
    <x v="18"/>
    <d v="2020-12-22T00:00:00"/>
    <n v="1.7"/>
    <d v="2030-12-31T00:00:00"/>
    <n v="122.03333333333333"/>
    <n v="120.33333333333333"/>
    <s v="TBD "/>
    <s v="DiamondTip LLC"/>
    <s v="Berkeley"/>
    <n v="94703"/>
    <x v="10"/>
    <x v="236"/>
    <s v="Q"/>
    <m/>
    <m/>
    <x v="1"/>
    <n v="0"/>
    <s v="TBD "/>
    <s v="Marketing Consulting Services"/>
  </r>
  <r>
    <m/>
    <n v="9562088202"/>
    <m/>
    <m/>
    <m/>
    <x v="874"/>
    <n v="262500"/>
    <x v="18"/>
    <d v="2020-12-22T00:00:00"/>
    <n v="1.7"/>
    <d v="2030-12-24T00:00:00"/>
    <n v="121.8"/>
    <n v="120.1"/>
    <s v="TBD "/>
    <s v="Windows of Greater Tucson, Inc."/>
    <s v="Catalina"/>
    <n v="85739"/>
    <x v="5"/>
    <x v="237"/>
    <s v="Q"/>
    <m/>
    <m/>
    <x v="1"/>
    <n v="0"/>
    <s v="TBD "/>
    <s v="Other Building Material Dealers"/>
  </r>
  <r>
    <m/>
    <n v="9251528206"/>
    <m/>
    <m/>
    <m/>
    <x v="908"/>
    <n v="2452650"/>
    <x v="18"/>
    <d v="2021-01-07T00:00:00"/>
    <n v="1.1666666666666667"/>
    <d v="2031-01-07T00:00:00"/>
    <n v="121.73333333333333"/>
    <n v="120.56666666666666"/>
    <s v="TBD "/>
    <s v="Sherman Arulappan LLC"/>
    <s v="Murfreesboro"/>
    <n v="37129"/>
    <x v="30"/>
    <x v="238"/>
    <s v="Q"/>
    <m/>
    <m/>
    <x v="1"/>
    <n v="0"/>
    <s v="TBD "/>
    <s v="Electronic Shopping"/>
  </r>
  <r>
    <m/>
    <n v="9405618202"/>
    <m/>
    <m/>
    <m/>
    <x v="909"/>
    <n v="423225"/>
    <x v="18"/>
    <d v="2021-01-07T00:00:00"/>
    <n v="1.1666666666666667"/>
    <d v="2031-01-07T00:00:00"/>
    <n v="121.73333333333333"/>
    <n v="120.56666666666666"/>
    <s v="TBD "/>
    <s v="The Murray Family Co. LLC"/>
    <s v="Las Vegas"/>
    <n v="89103"/>
    <x v="40"/>
    <x v="171"/>
    <s v="Q"/>
    <m/>
    <m/>
    <x v="1"/>
    <n v="0"/>
    <s v="TBD "/>
    <s v="Other Waste Collection"/>
  </r>
  <r>
    <m/>
    <n v="9529308205"/>
    <m/>
    <m/>
    <m/>
    <x v="910"/>
    <n v="778725"/>
    <x v="13"/>
    <d v="2020-12-23T00:00:00"/>
    <n v="1.6666666666666667"/>
    <d v="2031-01-11T00:00:00"/>
    <n v="122.36666666666666"/>
    <n v="120.69999999999999"/>
    <s v="TBD "/>
    <s v="Custom Insurance Solutions LLC"/>
    <s v="Lehi"/>
    <n v="84043"/>
    <x v="34"/>
    <x v="38"/>
    <s v="Q"/>
    <m/>
    <m/>
    <x v="2"/>
    <n v="0"/>
    <s v="TBD "/>
    <s v="Insurance Agencies and Brokerages"/>
  </r>
  <r>
    <m/>
    <n v="8258968207"/>
    <m/>
    <m/>
    <m/>
    <x v="911"/>
    <n v="122739.02250000001"/>
    <x v="18"/>
    <d v="2020-09-18T00:00:00"/>
    <n v="4.8666666666666663"/>
    <d v="2030-09-18T00:00:00"/>
    <n v="121.73333333333333"/>
    <n v="116.86666666666667"/>
    <s v="TBD "/>
    <s v="KKSC enterprises, Inc."/>
    <s v="Richland"/>
    <n v="99352"/>
    <x v="13"/>
    <x v="27"/>
    <s v="Q"/>
    <m/>
    <m/>
    <x v="1"/>
    <n v="0"/>
    <s v="TBD "/>
    <s v="Convenience Stores"/>
  </r>
  <r>
    <m/>
    <n v="9199528208"/>
    <m/>
    <m/>
    <m/>
    <x v="912"/>
    <n v="582375"/>
    <x v="75"/>
    <d v="2020-12-02T00:00:00"/>
    <n v="2.3666666666666667"/>
    <d v="2030-12-02T00:00:00"/>
    <n v="121.73333333333333"/>
    <n v="119.36666666666667"/>
    <s v="TBD "/>
    <s v="Hendricks Hardware, Inc."/>
    <s v="Lynden"/>
    <n v="98264"/>
    <x v="13"/>
    <x v="138"/>
    <s v="Q"/>
    <m/>
    <m/>
    <x v="3"/>
    <n v="0"/>
    <s v="TBD "/>
    <s v="Hardware Stores"/>
  </r>
  <r>
    <m/>
    <n v="9428808203"/>
    <m/>
    <m/>
    <m/>
    <x v="913"/>
    <n v="1688325"/>
    <x v="75"/>
    <d v="2020-12-28T00:00:00"/>
    <n v="1.5"/>
    <d v="2030-12-28T00:00:00"/>
    <n v="121.73333333333333"/>
    <n v="120.23333333333333"/>
    <s v="TBD "/>
    <s v="J3 Company, LLC"/>
    <s v="Comfort"/>
    <n v="78013"/>
    <x v="0"/>
    <x v="239"/>
    <s v="Q"/>
    <m/>
    <m/>
    <x v="3"/>
    <n v="0"/>
    <s v="TBD "/>
    <s v="Other Heavy and Civil Engineering Construction"/>
  </r>
  <r>
    <m/>
    <n v="8771938210"/>
    <m/>
    <m/>
    <m/>
    <x v="914"/>
    <n v="330025.07"/>
    <x v="4"/>
    <d v="2020-11-02T00:00:00"/>
    <n v="3.3666666666666667"/>
    <d v="2030-11-03T00:00:00"/>
    <n v="121.76666666666667"/>
    <n v="118.4"/>
    <s v="TBD "/>
    <s v="T Scott Enterprises LLC"/>
    <s v="Ankeny"/>
    <n v="50023"/>
    <x v="38"/>
    <x v="111"/>
    <s v="Q"/>
    <m/>
    <m/>
    <x v="0"/>
    <n v="0"/>
    <s v="TBD "/>
    <s v="Commercial Printing (except Screen and Books)"/>
  </r>
  <r>
    <m/>
    <n v="8224748202"/>
    <m/>
    <m/>
    <m/>
    <x v="915"/>
    <n v="925101.21"/>
    <x v="4"/>
    <d v="2020-09-23T00:00:00"/>
    <n v="4.7"/>
    <d v="2030-09-23T00:00:00"/>
    <n v="121.73333333333333"/>
    <n v="117.03333333333333"/>
    <s v="TBD "/>
    <s v="STEVEN C GARDNER AGENCY OF"/>
    <s v="THE WOODLANDS"/>
    <n v="77381"/>
    <x v="0"/>
    <x v="38"/>
    <s v="Q"/>
    <m/>
    <m/>
    <x v="0"/>
    <n v="0"/>
    <s v="TBD "/>
    <s v="Insurance Agencies and Brokerages"/>
  </r>
  <r>
    <m/>
    <n v="8527858208"/>
    <m/>
    <m/>
    <m/>
    <x v="916"/>
    <n v="1142882.1599999999"/>
    <x v="13"/>
    <d v="2020-11-04T00:00:00"/>
    <n v="3.3"/>
    <d v="2030-11-04T00:00:00"/>
    <n v="121.73333333333333"/>
    <n v="118.43333333333334"/>
    <s v="TBD "/>
    <s v="BILLIET AGENCY LLC"/>
    <s v="DELRAY BEACH"/>
    <n v="33484"/>
    <x v="1"/>
    <x v="38"/>
    <s v="Q"/>
    <m/>
    <m/>
    <x v="2"/>
    <n v="0"/>
    <s v="TBD "/>
    <s v="Insurance Agencies and Brokerages"/>
  </r>
  <r>
    <m/>
    <n v="8637508209"/>
    <m/>
    <m/>
    <m/>
    <x v="917"/>
    <n v="824029.86"/>
    <x v="4"/>
    <d v="2020-11-19T00:00:00"/>
    <n v="2.8"/>
    <d v="2030-11-19T00:00:00"/>
    <n v="121.73333333333333"/>
    <n v="118.93333333333334"/>
    <s v="TBD "/>
    <s v="REED AGENCY GROUP LLC"/>
    <s v="AUSTIN"/>
    <n v="78745"/>
    <x v="0"/>
    <x v="38"/>
    <s v="Q"/>
    <m/>
    <m/>
    <x v="0"/>
    <n v="0"/>
    <s v="TBD "/>
    <s v="Insurance Agencies and Brokerages"/>
  </r>
  <r>
    <m/>
    <n v="9409348201"/>
    <m/>
    <m/>
    <m/>
    <x v="918"/>
    <n v="1074983.385"/>
    <x v="4"/>
    <d v="2020-12-30T00:00:00"/>
    <n v="1.4333333333333333"/>
    <d v="2030-12-30T00:00:00"/>
    <n v="121.73333333333333"/>
    <n v="120.3"/>
    <s v="TBD "/>
    <s v="MK AGENCY GROUP LLC"/>
    <s v="AUSTIN"/>
    <n v="78759"/>
    <x v="0"/>
    <x v="38"/>
    <s v="Q"/>
    <m/>
    <m/>
    <x v="0"/>
    <n v="0"/>
    <s v="TBD "/>
    <s v="Insurance Agencies and Brokerages"/>
  </r>
  <r>
    <m/>
    <n v="8182868204"/>
    <m/>
    <m/>
    <m/>
    <x v="919"/>
    <n v="201805.77"/>
    <x v="13"/>
    <d v="2020-09-24T00:00:00"/>
    <n v="4.666666666666667"/>
    <d v="2030-09-24T00:00:00"/>
    <n v="121.73333333333333"/>
    <n v="117.06666666666666"/>
    <s v="TBD "/>
    <s v="STAT Medical Disposal Inc"/>
    <s v="Vero Beach"/>
    <n v="32966"/>
    <x v="1"/>
    <x v="240"/>
    <s v="Q"/>
    <m/>
    <m/>
    <x v="2"/>
    <n v="0"/>
    <s v="TBD "/>
    <s v="Hazardous Waste Treatment and Disposal"/>
  </r>
  <r>
    <m/>
    <n v="9417128205"/>
    <m/>
    <m/>
    <m/>
    <x v="920"/>
    <n v="472943.44"/>
    <x v="13"/>
    <d v="2020-12-30T00:00:00"/>
    <n v="1.4333333333333333"/>
    <d v="2030-12-30T00:00:00"/>
    <n v="121.73333333333333"/>
    <n v="120.3"/>
    <s v="TBD "/>
    <s v="P&amp;G Medical Transport"/>
    <s v="Tulsa"/>
    <n v="71133"/>
    <x v="32"/>
    <x v="241"/>
    <s v="Q"/>
    <m/>
    <m/>
    <x v="2"/>
    <n v="0"/>
    <s v="TBD "/>
    <s v="All Other Transit and Ground Passenger Transportation"/>
  </r>
  <r>
    <m/>
    <n v="8318118202"/>
    <m/>
    <m/>
    <m/>
    <x v="921"/>
    <n v="3285028.2075"/>
    <x v="75"/>
    <d v="2020-09-23T00:00:00"/>
    <n v="4.7"/>
    <d v="2030-09-23T00:00:00"/>
    <n v="121.73333333333333"/>
    <n v="117.03333333333333"/>
    <s v="TBD "/>
    <s v="SUMMIT CUSTOM SPRAY DRYING, INC"/>
    <s v="Flemington"/>
    <n v="8822"/>
    <x v="17"/>
    <x v="203"/>
    <s v="Q"/>
    <m/>
    <m/>
    <x v="3"/>
    <n v="0"/>
    <s v="TBD "/>
    <s v="All Other Professional, Scientific, and Technical Services"/>
  </r>
  <r>
    <m/>
    <n v="2961037001"/>
    <m/>
    <m/>
    <m/>
    <x v="922"/>
    <n v="101560.82"/>
    <x v="55"/>
    <d v="2019-12-27T00:00:00"/>
    <n v="13.733333333333333"/>
    <d v="2026-12-27T00:00:00"/>
    <n v="85.233333333333334"/>
    <n v="71.5"/>
    <s v="TBD "/>
    <s v="Let's Bap USA Inc"/>
    <s v="CHAMBLEE"/>
    <n v="30341"/>
    <x v="2"/>
    <x v="22"/>
    <s v="Q"/>
    <m/>
    <m/>
    <x v="1"/>
    <n v="0"/>
    <s v="TBD "/>
    <s v="Limited-Service Restaurants"/>
  </r>
  <r>
    <m/>
    <n v="3129487003"/>
    <m/>
    <m/>
    <m/>
    <x v="923"/>
    <n v="138585.51"/>
    <x v="25"/>
    <d v="2019-03-05T00:00:00"/>
    <n v="23.633333333333333"/>
    <d v="2034-03-05T00:00:00"/>
    <n v="182.63333333333333"/>
    <n v="159"/>
    <s v="TBD "/>
    <s v="DNLRS Mgt Group LLC"/>
    <s v="Pennsauken"/>
    <n v="8110"/>
    <x v="17"/>
    <x v="242"/>
    <s v="Q"/>
    <m/>
    <m/>
    <x v="3"/>
    <n v="0.03"/>
    <s v="TBD "/>
    <s v="Unknown"/>
  </r>
  <r>
    <m/>
    <n v="3205688101"/>
    <m/>
    <m/>
    <m/>
    <x v="924"/>
    <n v="577473.99"/>
    <x v="78"/>
    <d v="2020-09-02T00:00:00"/>
    <n v="5.4"/>
    <d v="2030-09-02T00:00:00"/>
    <n v="121.73333333333333"/>
    <n v="116.33333333333333"/>
    <s v="TBD "/>
    <s v="Unique Healthcare Systems LLC dba AFC Urgent Care Tyrone"/>
    <s v="Pinellas Park"/>
    <n v="33781"/>
    <x v="1"/>
    <x v="71"/>
    <s v="Q"/>
    <m/>
    <m/>
    <x v="2"/>
    <n v="0"/>
    <s v="TBD "/>
    <s v="Offices of Physicians (except Mental Health Specialists)"/>
  </r>
  <r>
    <m/>
    <n v="3303607205"/>
    <m/>
    <m/>
    <m/>
    <x v="925"/>
    <n v="447843.11"/>
    <x v="76"/>
    <d v="2020-05-13T00:00:00"/>
    <n v="9.1333333333333329"/>
    <d v="2030-05-13T00:00:00"/>
    <n v="121.73333333333333"/>
    <n v="112.6"/>
    <s v="TBD "/>
    <s v="Umbrella Digital LLC"/>
    <s v="Jersey City"/>
    <n v="7302"/>
    <x v="17"/>
    <x v="236"/>
    <s v="Q"/>
    <m/>
    <m/>
    <x v="0"/>
    <n v="0"/>
    <s v="TBD "/>
    <s v="Marketing Consulting Services"/>
  </r>
  <r>
    <m/>
    <n v="3319317206"/>
    <m/>
    <m/>
    <m/>
    <x v="926"/>
    <n v="426473.5"/>
    <x v="15"/>
    <d v="2020-05-22T00:00:00"/>
    <n v="8.8333333333333339"/>
    <d v="2030-05-22T00:00:00"/>
    <n v="121.73333333333333"/>
    <n v="112.9"/>
    <s v="TBD "/>
    <s v="RAINMAKER HEALTH_x000a_SOLUTIONS"/>
    <s v="OCOEE"/>
    <n v="34761"/>
    <x v="1"/>
    <x v="243"/>
    <s v="Q"/>
    <m/>
    <m/>
    <x v="2"/>
    <n v="0"/>
    <s v="TBD "/>
    <s v="Offices of Optometrists"/>
  </r>
  <r>
    <m/>
    <n v="3357697205"/>
    <m/>
    <m/>
    <m/>
    <x v="927"/>
    <n v="752250"/>
    <x v="23"/>
    <d v="2020-05-06T00:00:00"/>
    <n v="9.3666666666666671"/>
    <d v="2030-11-06T00:00:00"/>
    <n v="127.86666666666666"/>
    <n v="118.5"/>
    <s v="TBD "/>
    <s v="Coastal Paws Pet Resort, LLC"/>
    <s v="North Myrtle Beach"/>
    <n v="29582"/>
    <x v="22"/>
    <x v="24"/>
    <s v="Q"/>
    <m/>
    <m/>
    <x v="3"/>
    <n v="0"/>
    <s v="TBD "/>
    <s v="Pet Care (except Veterinary) Services"/>
  </r>
  <r>
    <m/>
    <n v="3392637204"/>
    <m/>
    <m/>
    <m/>
    <x v="928"/>
    <n v="81981.17"/>
    <x v="70"/>
    <d v="2020-06-10T00:00:00"/>
    <n v="8.1999999999999993"/>
    <d v="2030-06-10T00:00:00"/>
    <n v="121.73333333333333"/>
    <n v="113.53333333333333"/>
    <s v="TBD "/>
    <s v="EVEREST TRADING LLC"/>
    <s v="KREMMLING"/>
    <n v="80459"/>
    <x v="33"/>
    <x v="238"/>
    <s v="Q"/>
    <m/>
    <m/>
    <x v="1"/>
    <n v="0"/>
    <s v="TBD "/>
    <s v="Electronic Shopping"/>
  </r>
  <r>
    <m/>
    <n v="3446867210"/>
    <m/>
    <m/>
    <m/>
    <x v="929"/>
    <n v="553055.14"/>
    <x v="70"/>
    <d v="2020-06-03T00:00:00"/>
    <n v="8.4333333333333336"/>
    <d v="2030-06-03T00:00:00"/>
    <n v="121.73333333333333"/>
    <n v="113.3"/>
    <s v="TBD "/>
    <s v="Skipper Social "/>
    <s v="Charlotte"/>
    <n v="28208"/>
    <x v="6"/>
    <x v="24"/>
    <s v="Q"/>
    <m/>
    <m/>
    <x v="1"/>
    <n v="0"/>
    <s v="TBD "/>
    <s v="Pet Care (except Veterinary) Services"/>
  </r>
  <r>
    <m/>
    <n v="3515787008"/>
    <m/>
    <m/>
    <m/>
    <x v="930"/>
    <n v="396010.54"/>
    <x v="25"/>
    <d v="2019-04-15T00:00:00"/>
    <n v="22.266666666666666"/>
    <d v="2029-04-16T00:00:00"/>
    <n v="121.8"/>
    <n v="99.533333333333331"/>
    <s v="TBD "/>
    <s v="Gear CS Enterprise, Inc."/>
    <s v="Northridge"/>
    <n v="91324"/>
    <x v="10"/>
    <x v="22"/>
    <s v="Q"/>
    <m/>
    <m/>
    <x v="3"/>
    <n v="0"/>
    <s v="TBD "/>
    <s v="Limited-Service Restaurants"/>
  </r>
  <r>
    <m/>
    <n v="3933247002"/>
    <m/>
    <m/>
    <m/>
    <x v="931"/>
    <n v="1070049.74"/>
    <x v="15"/>
    <d v="2019-10-17T00:00:00"/>
    <n v="16.100000000000001"/>
    <d v="2030-01-17T00:00:00"/>
    <n v="124.83333333333333"/>
    <n v="108.73333333333332"/>
    <s v="TBD "/>
    <s v="Mid Ulster Enterprises LLC dba Media's Townhouse"/>
    <s v="Media"/>
    <n v="19063"/>
    <x v="11"/>
    <x v="2"/>
    <s v="Q"/>
    <m/>
    <m/>
    <x v="2"/>
    <n v="0"/>
    <s v="TBD "/>
    <s v="Drinking Places (Alcoholic Beverages)"/>
  </r>
  <r>
    <m/>
    <n v="3938097004"/>
    <m/>
    <m/>
    <m/>
    <x v="932"/>
    <n v="363052.19"/>
    <x v="76"/>
    <d v="2019-10-28T00:00:00"/>
    <n v="15.733333333333333"/>
    <d v="2030-07-28T00:00:00"/>
    <n v="130.86666666666667"/>
    <n v="115.13333333333334"/>
    <s v="TBD "/>
    <s v="Central Park Doggy Day Care"/>
    <s v="Landover"/>
    <n v="20785"/>
    <x v="19"/>
    <x v="24"/>
    <s v="Q"/>
    <m/>
    <m/>
    <x v="0"/>
    <n v="0"/>
    <s v="TBD "/>
    <s v="Pet Care (except Veterinary) Services"/>
  </r>
  <r>
    <m/>
    <n v="3999897001"/>
    <m/>
    <m/>
    <m/>
    <x v="933"/>
    <n v="120160.02"/>
    <x v="79"/>
    <d v="2019-12-19T00:00:00"/>
    <n v="14"/>
    <d v="2029-12-20T00:00:00"/>
    <n v="121.8"/>
    <n v="107.8"/>
    <s v="TBD "/>
    <s v="Flavor Train LLC dba Pop Zest"/>
    <s v="Boulder"/>
    <n v="80304"/>
    <x v="33"/>
    <x v="244"/>
    <s v="Q"/>
    <m/>
    <m/>
    <x v="16"/>
    <n v="0"/>
    <s v="TBD "/>
    <s v="Spice and Extract Manufacturing"/>
  </r>
  <r>
    <m/>
    <n v="4037517007"/>
    <m/>
    <m/>
    <m/>
    <x v="934"/>
    <n v="223656.59"/>
    <x v="23"/>
    <d v="2019-10-29T00:00:00"/>
    <n v="15.7"/>
    <d v="2030-04-29T00:00:00"/>
    <n v="127.83333333333333"/>
    <n v="112.13333333333333"/>
    <s v="TBD "/>
    <s v="Duck Donuts"/>
    <s v="Pflugerville"/>
    <n v="78660"/>
    <x v="0"/>
    <x v="121"/>
    <s v="Q"/>
    <m/>
    <m/>
    <x v="3"/>
    <n v="0"/>
    <s v="TBD "/>
    <s v="Baked Goods Stores"/>
  </r>
  <r>
    <m/>
    <n v="4145577000"/>
    <m/>
    <m/>
    <m/>
    <x v="935"/>
    <n v="123981.18"/>
    <x v="80"/>
    <d v="2020-03-09T00:00:00"/>
    <n v="11.3"/>
    <d v="2030-03-09T00:00:00"/>
    <n v="121.73333333333333"/>
    <n v="110.43333333333334"/>
    <s v="TBD "/>
    <s v="Presidio Foods, Inc."/>
    <s v="Los Angeles"/>
    <n v="90043"/>
    <x v="10"/>
    <x v="33"/>
    <s v="Q"/>
    <m/>
    <m/>
    <x v="23"/>
    <n v="0"/>
    <s v="TBD "/>
    <s v="Caterers"/>
  </r>
  <r>
    <m/>
    <n v="5932298010"/>
    <m/>
    <m/>
    <m/>
    <x v="936"/>
    <n v="123525.17"/>
    <x v="70"/>
    <d v="2020-06-30T00:00:00"/>
    <n v="7.5333333333333332"/>
    <d v="2030-06-30T00:00:00"/>
    <n v="121.73333333333333"/>
    <n v="114.2"/>
    <s v="TBD "/>
    <s v="ADVANCE TEAM RESTORATION INC."/>
    <s v="MANTECA"/>
    <n v="95336"/>
    <x v="10"/>
    <x v="118"/>
    <s v="Q"/>
    <m/>
    <m/>
    <x v="1"/>
    <n v="0"/>
    <s v="TBD "/>
    <s v="Residential Remodelers"/>
  </r>
  <r>
    <m/>
    <n v="6148828004"/>
    <m/>
    <m/>
    <m/>
    <x v="937"/>
    <n v="65388.09"/>
    <x v="70"/>
    <d v="2020-06-30T00:00:00"/>
    <n v="7.5333333333333332"/>
    <d v="2030-06-30T00:00:00"/>
    <n v="121.73333333333333"/>
    <n v="114.2"/>
    <s v="TBD "/>
    <s v="INSURANCE SOLUTIONS GROUP OF UTAH, INC."/>
    <s v="SANDY"/>
    <n v="84070"/>
    <x v="34"/>
    <x v="38"/>
    <s v="Q"/>
    <m/>
    <m/>
    <x v="1"/>
    <n v="0"/>
    <s v="TBD "/>
    <s v="Insurance Agencies and Brokerages"/>
  </r>
  <r>
    <m/>
    <n v="6363128205"/>
    <m/>
    <m/>
    <m/>
    <x v="938"/>
    <n v="516262.69"/>
    <x v="78"/>
    <d v="2020-09-18T00:00:00"/>
    <n v="4.8666666666666663"/>
    <d v="2030-09-18T00:00:00"/>
    <n v="121.73333333333333"/>
    <n v="116.86666666666667"/>
    <s v="TBD "/>
    <s v="Peachtree Tooling Corp"/>
    <s v="Braselton"/>
    <n v="30517"/>
    <x v="2"/>
    <x v="245"/>
    <s v="Q"/>
    <m/>
    <m/>
    <x v="2"/>
    <n v="0"/>
    <s v="TBD "/>
    <s v="Machine Tool Manufacturing"/>
  </r>
  <r>
    <m/>
    <n v="6377408207"/>
    <m/>
    <m/>
    <m/>
    <x v="939"/>
    <n v="115386.28"/>
    <x v="23"/>
    <d v="2020-08-21T00:00:00"/>
    <n v="5.8"/>
    <d v="2030-09-01T00:00:00"/>
    <n v="122.1"/>
    <n v="116.3"/>
    <s v="TBD "/>
    <s v="Commonwealth Medical Practice LLC"/>
    <s v="Dracut"/>
    <n v="1826"/>
    <x v="50"/>
    <x v="71"/>
    <s v="Q"/>
    <m/>
    <m/>
    <x v="3"/>
    <n v="0"/>
    <s v="TBD "/>
    <s v="Offices of Physicians (except Mental Health Specialists)"/>
  </r>
  <r>
    <m/>
    <n v="6428388204"/>
    <m/>
    <m/>
    <m/>
    <x v="940"/>
    <n v="221741.07"/>
    <x v="11"/>
    <d v="2020-08-28T00:00:00"/>
    <n v="5.5666666666666664"/>
    <d v="2030-08-28T00:00:00"/>
    <n v="121.73333333333333"/>
    <n v="116.16666666666667"/>
    <s v="TBD "/>
    <s v="Talbert Deli Provisions Inc"/>
    <s v="Lawrenceville"/>
    <n v="30043"/>
    <x v="2"/>
    <x v="61"/>
    <s v="Q"/>
    <m/>
    <m/>
    <x v="22"/>
    <n v="0"/>
    <s v="TBD "/>
    <s v="Meat and Meat Product Merchant Wholesalers"/>
  </r>
  <r>
    <m/>
    <n v="6662408108"/>
    <m/>
    <m/>
    <m/>
    <x v="941"/>
    <n v="246831.86"/>
    <x v="70"/>
    <d v="2020-07-28T00:00:00"/>
    <n v="6.6"/>
    <d v="2030-07-28T00:00:00"/>
    <n v="121.73333333333333"/>
    <n v="115.13333333333334"/>
    <s v="TBD "/>
    <s v="Systems Staffing Group LLC"/>
    <s v="Norristown"/>
    <n v="19401"/>
    <x v="11"/>
    <x v="203"/>
    <s v="Q"/>
    <m/>
    <m/>
    <x v="1"/>
    <n v="0"/>
    <s v="TBD "/>
    <s v="All Other Professional, Scientific, and Technical Services"/>
  </r>
  <r>
    <m/>
    <n v="7695247908"/>
    <m/>
    <m/>
    <m/>
    <x v="942"/>
    <n v="949075.69"/>
    <x v="76"/>
    <d v="2020-07-06T00:00:00"/>
    <n v="7.333333333333333"/>
    <d v="2030-07-06T00:00:00"/>
    <n v="121.73333333333333"/>
    <n v="114.4"/>
    <s v="TBD "/>
    <s v="Lonestar Meadows LLC"/>
    <s v="Flower Mound"/>
    <n v="75028"/>
    <x v="0"/>
    <x v="246"/>
    <s v="Q"/>
    <m/>
    <m/>
    <x v="0"/>
    <n v="0"/>
    <s v="TBD "/>
    <s v="Surgical Appliance and Supplies Manufacturing"/>
  </r>
  <r>
    <m/>
    <n v="8260628209"/>
    <m/>
    <m/>
    <m/>
    <x v="943"/>
    <n v="325832.55"/>
    <x v="78"/>
    <d v="2020-09-24T00:00:00"/>
    <n v="4.666666666666667"/>
    <d v="2030-09-24T00:00:00"/>
    <n v="121.73333333333333"/>
    <n v="117.06666666666666"/>
    <s v="TBD "/>
    <s v="Strah Financial Group Two, LLC"/>
    <s v="Akron"/>
    <n v="44333"/>
    <x v="9"/>
    <x v="58"/>
    <s v="Q"/>
    <m/>
    <m/>
    <x v="2"/>
    <n v="0"/>
    <s v="TBD "/>
    <s v="Offices of Certified Public Accountants"/>
  </r>
  <r>
    <m/>
    <n v="8350678206"/>
    <m/>
    <m/>
    <m/>
    <x v="944"/>
    <n v="125696.09"/>
    <x v="15"/>
    <d v="2020-09-25T00:00:00"/>
    <n v="4.6333333333333337"/>
    <d v="2030-09-25T00:00:00"/>
    <n v="121.73333333333333"/>
    <n v="117.1"/>
    <s v="TBD "/>
    <s v="Pirtek Treasure Coast LLC"/>
    <s v="Fort Pierce"/>
    <n v="34946"/>
    <x v="1"/>
    <x v="247"/>
    <s v="Q"/>
    <m/>
    <m/>
    <x v="2"/>
    <n v="0"/>
    <s v="TBD "/>
    <s v="Metal Window and Door Manufacturing"/>
  </r>
  <r>
    <m/>
    <n v="8362508209"/>
    <m/>
    <m/>
    <m/>
    <x v="945"/>
    <n v="375000"/>
    <x v="13"/>
    <d v="2020-09-22T00:00:00"/>
    <n v="4.7333333333333334"/>
    <d v="2030-09-22T00:00:00"/>
    <n v="121.73333333333333"/>
    <n v="117"/>
    <s v="TBD "/>
    <s v="William B Stetson MD"/>
    <s v="Burbank"/>
    <n v="91505"/>
    <x v="10"/>
    <x v="71"/>
    <s v="Q"/>
    <m/>
    <m/>
    <x v="7"/>
    <n v="0"/>
    <s v="TBD "/>
    <s v="Offices of Physicians (except Mental Health Specialists)"/>
  </r>
  <r>
    <m/>
    <n v="8366958201"/>
    <m/>
    <m/>
    <m/>
    <x v="946"/>
    <n v="84645.85"/>
    <x v="23"/>
    <d v="2020-09-24T00:00:00"/>
    <n v="4.666666666666667"/>
    <d v="2030-10-01T00:00:00"/>
    <n v="121.96666666666667"/>
    <n v="117.3"/>
    <s v="TBD "/>
    <s v="Streetlight Ventures, LLC"/>
    <s v="Winchester"/>
    <n v="1890"/>
    <x v="50"/>
    <x v="21"/>
    <s v="Q"/>
    <m/>
    <m/>
    <x v="3"/>
    <n v="0"/>
    <s v="TBD "/>
    <s v="Other Activities Related to Real Estate"/>
  </r>
  <r>
    <m/>
    <n v="8381068203"/>
    <m/>
    <m/>
    <m/>
    <x v="947"/>
    <n v="593705.19999999995"/>
    <x v="78"/>
    <d v="2020-10-29T00:00:00"/>
    <n v="3.5"/>
    <d v="2030-11-13T00:00:00"/>
    <n v="122.23333333333333"/>
    <n v="118.73333333333333"/>
    <s v="TBD "/>
    <s v="INTEGRATED INSPECTION SYSTEMS"/>
    <s v="Clackamas"/>
    <n v="97015"/>
    <x v="21"/>
    <x v="248"/>
    <s v="Q"/>
    <m/>
    <m/>
    <x v="2"/>
    <n v="0"/>
    <s v="TBD "/>
    <s v="Engineering Services"/>
  </r>
  <r>
    <m/>
    <n v="8405128203"/>
    <m/>
    <m/>
    <m/>
    <x v="948"/>
    <n v="373459.23"/>
    <x v="81"/>
    <d v="2020-10-19T00:00:00"/>
    <n v="3.8333333333333335"/>
    <d v="2030-10-19T00:00:00"/>
    <n v="121.73333333333333"/>
    <n v="117.9"/>
    <s v="TBD "/>
    <s v="Husted Insurance Services, LLC"/>
    <s v="Kennewick"/>
    <n v="99336"/>
    <x v="13"/>
    <x v="38"/>
    <s v="Q"/>
    <m/>
    <m/>
    <x v="24"/>
    <n v="0"/>
    <s v="TBD "/>
    <s v="Insurance Agencies and Brokerages"/>
  </r>
  <r>
    <m/>
    <n v="8406128205"/>
    <m/>
    <m/>
    <m/>
    <x v="949"/>
    <n v="147000"/>
    <x v="23"/>
    <d v="2020-11-19T00:00:00"/>
    <n v="2.8"/>
    <d v="2030-11-19T00:00:00"/>
    <n v="121.73333333333333"/>
    <n v="118.93333333333334"/>
    <s v="TBD "/>
    <s v="Public Facilities &amp; Services Inc."/>
    <s v="Atlanta"/>
    <n v="30311"/>
    <x v="2"/>
    <x v="249"/>
    <s v="Q"/>
    <m/>
    <m/>
    <x v="3"/>
    <n v="0"/>
    <s v="TBD "/>
    <s v="Facilities Support Services"/>
  </r>
  <r>
    <m/>
    <n v="8632398203"/>
    <m/>
    <m/>
    <m/>
    <x v="950"/>
    <n v="392402.01"/>
    <x v="82"/>
    <d v="2020-10-20T00:00:00"/>
    <n v="3.8"/>
    <d v="2030-10-20T00:00:00"/>
    <n v="121.73333333333333"/>
    <n v="117.93333333333334"/>
    <s v="TBD "/>
    <s v="NORTH TEXAS INSURANCE AGENCY INC"/>
    <s v="McKinney"/>
    <n v="75070"/>
    <x v="0"/>
    <x v="38"/>
    <s v="Q"/>
    <m/>
    <m/>
    <x v="25"/>
    <n v="0"/>
    <s v="TBD "/>
    <s v="Insurance Agencies and Brokerages"/>
  </r>
  <r>
    <m/>
    <n v="8645998205"/>
    <m/>
    <m/>
    <m/>
    <x v="951"/>
    <n v="598797.48"/>
    <x v="13"/>
    <d v="2020-10-21T00:00:00"/>
    <n v="3.7666666666666666"/>
    <d v="2030-10-21T00:00:00"/>
    <n v="121.73333333333333"/>
    <n v="117.96666666666667"/>
    <s v="TBD "/>
    <s v="SAVANS"/>
    <s v="Coon Rapids"/>
    <n v="55448"/>
    <x v="24"/>
    <x v="49"/>
    <s v="Q"/>
    <m/>
    <m/>
    <x v="7"/>
    <n v="0"/>
    <s v="TBD "/>
    <s v="Beer, Wine, and Liquor Stores"/>
  </r>
  <r>
    <m/>
    <n v="8709408203"/>
    <m/>
    <m/>
    <m/>
    <x v="952"/>
    <n v="249750"/>
    <x v="23"/>
    <d v="2020-11-03T00:00:00"/>
    <n v="3.3333333333333335"/>
    <d v="2030-11-03T00:00:00"/>
    <n v="121.73333333333333"/>
    <n v="118.4"/>
    <s v="TBD "/>
    <s v="Byron Ace Hardware Inc"/>
    <s v="Byron"/>
    <n v="31008"/>
    <x v="2"/>
    <x v="138"/>
    <s v="Q"/>
    <m/>
    <m/>
    <x v="3"/>
    <n v="0"/>
    <s v="TBD "/>
    <s v="Hardware Stores"/>
  </r>
  <r>
    <m/>
    <n v="8729598200"/>
    <m/>
    <m/>
    <m/>
    <x v="953"/>
    <n v="393100.76"/>
    <x v="23"/>
    <d v="2020-10-28T00:00:00"/>
    <n v="3.5333333333333332"/>
    <d v="2030-11-02T00:00:00"/>
    <n v="121.9"/>
    <n v="118.36666666666667"/>
    <s v="TBD "/>
    <s v="KIMA, Inc."/>
    <s v="COLORADO SPRINGS"/>
    <n v="80918"/>
    <x v="33"/>
    <x v="112"/>
    <s v="Q"/>
    <m/>
    <m/>
    <x v="3"/>
    <n v="0"/>
    <s v="TBD "/>
    <s v="All Other Specialty Trade Contractors"/>
  </r>
  <r>
    <m/>
    <n v="8733538207"/>
    <m/>
    <m/>
    <m/>
    <x v="954"/>
    <n v="46263.12"/>
    <x v="79"/>
    <d v="2020-10-27T00:00:00"/>
    <n v="3.5666666666666669"/>
    <d v="2026-10-29T00:00:00"/>
    <n v="73.099999999999994"/>
    <n v="69.533333333333331"/>
    <s v="TBD "/>
    <s v="Two Pennies LLC"/>
    <s v="Westlake Village"/>
    <n v="91363"/>
    <x v="10"/>
    <x v="214"/>
    <s v="Q"/>
    <m/>
    <m/>
    <x v="16"/>
    <n v="0"/>
    <s v="TBD "/>
    <s v="Other Accounting Services"/>
  </r>
  <r>
    <m/>
    <n v="8759788210"/>
    <m/>
    <m/>
    <m/>
    <x v="955"/>
    <n v="750000"/>
    <x v="4"/>
    <d v="2020-11-30T00:00:00"/>
    <n v="2.4333333333333331"/>
    <d v="2030-11-30T00:00:00"/>
    <n v="121.73333333333333"/>
    <n v="119.3"/>
    <s v="TBD "/>
    <s v="Skillman Wine&amp; Liquor"/>
    <s v="Skillman"/>
    <n v="8558"/>
    <x v="17"/>
    <x v="49"/>
    <s v="Q"/>
    <m/>
    <m/>
    <x v="6"/>
    <n v="0"/>
    <s v="TBD "/>
    <s v="Beer, Wine, and Liquor Stores"/>
  </r>
  <r>
    <m/>
    <n v="8767868210"/>
    <m/>
    <m/>
    <m/>
    <x v="956"/>
    <n v="468750"/>
    <x v="23"/>
    <d v="2020-11-23T00:00:00"/>
    <n v="2.6666666666666665"/>
    <d v="2030-11-24T00:00:00"/>
    <n v="121.76666666666667"/>
    <n v="119.1"/>
    <s v="TBD "/>
    <s v="Energy Truffles LLC"/>
    <s v="Chatsworth"/>
    <n v="91311"/>
    <x v="10"/>
    <x v="250"/>
    <s v="Q"/>
    <m/>
    <m/>
    <x v="3"/>
    <n v="0"/>
    <s v="TBD "/>
    <s v="Confectionery Merchant Wholesalers"/>
  </r>
  <r>
    <m/>
    <n v="8775527108"/>
    <m/>
    <m/>
    <m/>
    <x v="957"/>
    <n v="440212.64"/>
    <x v="70"/>
    <d v="2020-06-15T00:00:00"/>
    <n v="8.0333333333333332"/>
    <d v="2030-07-01T00:00:00"/>
    <n v="122.26666666666667"/>
    <n v="114.23333333333333"/>
    <s v="TBD "/>
    <s v="LOISOS, GEORGE A"/>
    <s v="Penngrove"/>
    <n v="94951"/>
    <x v="10"/>
    <x v="251"/>
    <s v="Q"/>
    <m/>
    <m/>
    <x v="1"/>
    <n v="0"/>
    <s v="TBD "/>
    <s v="Architectural Services"/>
  </r>
  <r>
    <m/>
    <n v="8892648202"/>
    <m/>
    <m/>
    <m/>
    <x v="958"/>
    <n v="521625"/>
    <x v="83"/>
    <d v="2020-11-20T00:00:00"/>
    <n v="2.7666666666666666"/>
    <d v="2030-11-20T00:00:00"/>
    <n v="121.73333333333333"/>
    <n v="118.96666666666667"/>
    <s v="TBD "/>
    <s v="Jet Green Tree Service"/>
    <s v="Upland"/>
    <n v="19063"/>
    <x v="11"/>
    <x v="39"/>
    <s v="Q"/>
    <m/>
    <m/>
    <x v="0"/>
    <n v="0"/>
    <s v="TBD "/>
    <s v="Landscaping Services"/>
  </r>
  <r>
    <m/>
    <n v="8915438202"/>
    <m/>
    <m/>
    <m/>
    <x v="959"/>
    <n v="25349.14"/>
    <x v="84"/>
    <d v="2020-11-10T00:00:00"/>
    <n v="3.1"/>
    <d v="2030-11-10T00:00:00"/>
    <n v="121.73333333333333"/>
    <n v="118.63333333333334"/>
    <s v="TBD "/>
    <s v="HAIR IDENTITY, LLC"/>
    <s v="VERO BEACH"/>
    <n v="32960"/>
    <x v="1"/>
    <x v="160"/>
    <s v="Q"/>
    <m/>
    <m/>
    <x v="15"/>
    <n v="0"/>
    <s v="TBD "/>
    <s v="Barber Shops"/>
  </r>
  <r>
    <m/>
    <n v="8936608204"/>
    <m/>
    <m/>
    <m/>
    <x v="960"/>
    <n v="131250"/>
    <x v="78"/>
    <d v="2020-11-17T00:00:00"/>
    <n v="2.8666666666666667"/>
    <d v="2030-11-17T00:00:00"/>
    <n v="121.73333333333333"/>
    <n v="118.86666666666667"/>
    <s v="TBD "/>
    <s v="Recess by Bevin Prince LLC"/>
    <s v="Wrightsville Beach"/>
    <n v="28480"/>
    <x v="6"/>
    <x v="10"/>
    <s v="Q"/>
    <m/>
    <m/>
    <x v="2"/>
    <n v="0"/>
    <s v="TBD "/>
    <s v="All Other Amusement and Recreation Industries"/>
  </r>
  <r>
    <m/>
    <n v="9011988205"/>
    <m/>
    <m/>
    <m/>
    <x v="961"/>
    <n v="522748.63"/>
    <x v="23"/>
    <d v="2020-11-20T00:00:00"/>
    <n v="2.7666666666666666"/>
    <d v="2030-11-20T00:00:00"/>
    <n v="121.73333333333333"/>
    <n v="118.96666666666667"/>
    <s v="TBD "/>
    <s v="Lisa Newland Allstate Agency"/>
    <s v="Horseheads"/>
    <n v="14845"/>
    <x v="15"/>
    <x v="38"/>
    <s v="Q"/>
    <m/>
    <m/>
    <x v="3"/>
    <n v="0"/>
    <s v="TBD "/>
    <s v="Insurance Agencies and Brokerages"/>
  </r>
  <r>
    <m/>
    <n v="9012068202"/>
    <m/>
    <m/>
    <m/>
    <x v="962"/>
    <n v="57375"/>
    <x v="11"/>
    <d v="2020-11-20T00:00:00"/>
    <n v="2.7666666666666666"/>
    <d v="2030-11-20T00:00:00"/>
    <n v="121.73333333333333"/>
    <n v="118.96666666666667"/>
    <s v="TBD "/>
    <s v="Curseaden Development"/>
    <s v="Milford"/>
    <n v="6460"/>
    <x v="36"/>
    <x v="36"/>
    <s v="Q"/>
    <m/>
    <m/>
    <x v="22"/>
    <n v="0"/>
    <s v="TBD "/>
    <s v="Offices of Lawyers"/>
  </r>
  <r>
    <m/>
    <n v="9026998200"/>
    <m/>
    <m/>
    <m/>
    <x v="956"/>
    <n v="468750"/>
    <x v="83"/>
    <d v="2020-11-18T00:00:00"/>
    <n v="2.8333333333333335"/>
    <d v="2030-11-18T00:00:00"/>
    <n v="121.73333333333333"/>
    <n v="118.9"/>
    <s v="TBD "/>
    <s v="Dravs Restaurants, LLC dba Dickey's Barbeque Pit"/>
    <s v="Greeley"/>
    <n v="80634"/>
    <x v="33"/>
    <x v="22"/>
    <s v="Q"/>
    <m/>
    <m/>
    <x v="0"/>
    <n v="0"/>
    <s v="TBD "/>
    <s v="Limited-Service Restaurants"/>
  </r>
  <r>
    <m/>
    <n v="9030898208"/>
    <m/>
    <m/>
    <m/>
    <x v="963"/>
    <n v="222375"/>
    <x v="83"/>
    <d v="2020-11-23T00:00:00"/>
    <n v="2.6666666666666665"/>
    <d v="2030-11-23T00:00:00"/>
    <n v="121.73333333333333"/>
    <n v="119.06666666666666"/>
    <s v="TBD "/>
    <s v="SPR Enterprises Inc."/>
    <s v="Hilton Head Island"/>
    <n v="29926"/>
    <x v="22"/>
    <x v="94"/>
    <s v="Q"/>
    <m/>
    <m/>
    <x v="0"/>
    <n v="0"/>
    <s v="TBD "/>
    <s v="Pet and Pet Supplies Stores"/>
  </r>
  <r>
    <m/>
    <n v="9071248208"/>
    <m/>
    <m/>
    <m/>
    <x v="964"/>
    <n v="222278.89"/>
    <x v="83"/>
    <d v="2020-11-16T00:00:00"/>
    <n v="2.9"/>
    <d v="2030-11-23T00:00:00"/>
    <n v="121.96666666666667"/>
    <n v="119.06666666666666"/>
    <s v="TBD "/>
    <s v="CoAutoLLC and Vincent Lucido as Co-bor"/>
    <s v="Reno"/>
    <n v="89503"/>
    <x v="40"/>
    <x v="8"/>
    <s v="Q"/>
    <m/>
    <m/>
    <x v="0"/>
    <n v="0"/>
    <s v="TBD "/>
    <s v="General Automotive Repair"/>
  </r>
  <r>
    <m/>
    <n v="9096428210"/>
    <m/>
    <m/>
    <m/>
    <x v="965"/>
    <n v="975000"/>
    <x v="11"/>
    <d v="2020-11-13T00:00:00"/>
    <n v="3"/>
    <d v="2030-10-23T00:00:00"/>
    <n v="121.03333333333333"/>
    <n v="118.03333333333333"/>
    <s v="TBD "/>
    <s v="EZGO Transportation Inc dba FedEx"/>
    <s v="Milpitas"/>
    <n v="0"/>
    <x v="10"/>
    <x v="60"/>
    <s v="Q"/>
    <m/>
    <m/>
    <x v="22"/>
    <n v="0"/>
    <s v="TBD "/>
    <s v="General Freight Trucking, Local"/>
  </r>
  <r>
    <m/>
    <n v="9155688208"/>
    <m/>
    <m/>
    <m/>
    <x v="966"/>
    <n v="237600"/>
    <x v="83"/>
    <d v="2020-11-23T00:00:00"/>
    <n v="2.6666666666666665"/>
    <d v="2030-11-23T00:00:00"/>
    <n v="121.73333333333333"/>
    <n v="119.06666666666666"/>
    <s v="TBD "/>
    <s v="Broadway Chiropractic &amp; Wellness LLC"/>
    <s v="Spring Hill"/>
    <n v="37174"/>
    <x v="30"/>
    <x v="35"/>
    <s v="Q"/>
    <m/>
    <m/>
    <x v="0"/>
    <n v="0"/>
    <s v="TBD "/>
    <s v="Offices of Chiropractors"/>
  </r>
  <r>
    <m/>
    <n v="9165268204"/>
    <m/>
    <m/>
    <m/>
    <x v="967"/>
    <n v="768000"/>
    <x v="23"/>
    <d v="2020-11-24T00:00:00"/>
    <n v="2.6333333333333333"/>
    <d v="2030-11-24T00:00:00"/>
    <n v="121.73333333333333"/>
    <n v="119.1"/>
    <s v="TBD "/>
    <s v="East Lakeview Agency  LLC"/>
    <s v="Chicago"/>
    <n v="60657"/>
    <x v="3"/>
    <x v="38"/>
    <s v="Q"/>
    <m/>
    <m/>
    <x v="3"/>
    <n v="0"/>
    <s v="TBD "/>
    <s v="Insurance Agencies and Brokerages"/>
  </r>
  <r>
    <m/>
    <n v="9234928206"/>
    <m/>
    <m/>
    <m/>
    <x v="968"/>
    <n v="679500"/>
    <x v="78"/>
    <d v="2020-12-09T00:00:00"/>
    <n v="2.1333333333333333"/>
    <d v="2030-12-09T00:00:00"/>
    <n v="121.73333333333333"/>
    <n v="119.6"/>
    <s v="TBD "/>
    <s v="McGurty Maintenance LLC"/>
    <s v="Manchester"/>
    <n v="3103"/>
    <x v="42"/>
    <x v="216"/>
    <s v="Q"/>
    <m/>
    <m/>
    <x v="2"/>
    <n v="0"/>
    <s v="TBD "/>
    <s v="Janitorial Services"/>
  </r>
  <r>
    <m/>
    <n v="9326568202"/>
    <m/>
    <m/>
    <m/>
    <x v="969"/>
    <n v="464550"/>
    <x v="78"/>
    <d v="2020-12-04T00:00:00"/>
    <n v="2.2999999999999998"/>
    <d v="2030-12-04T00:00:00"/>
    <n v="121.73333333333333"/>
    <n v="119.43333333333334"/>
    <s v="TBD "/>
    <s v="TIMBERGLADE HOLDINGS LLC"/>
    <s v="Bloomington"/>
    <n v="55437"/>
    <x v="24"/>
    <x v="252"/>
    <s v="Q"/>
    <m/>
    <m/>
    <x v="2"/>
    <n v="0"/>
    <s v="TBD "/>
    <s v="Roofing Contractor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5">
  <r>
    <n v="306747.11"/>
    <n v="9343515005"/>
    <s v="Actual"/>
    <s v="Long Maturity"/>
    <n v="402"/>
    <x v="0"/>
    <n v="2666579.38"/>
    <x v="0"/>
    <d v="2017-03-31T00:00:00"/>
    <n v="41.095890410958901"/>
    <d v="2043-03-15T00:00:00"/>
    <n v="312"/>
    <n v="267"/>
    <d v="2020-09-01T00:00:00"/>
    <s v="Tutelage Holdings, LLC and Zoomba, LLC dba The Goddard School"/>
    <s v="Sugar Land, TX 77479"/>
    <n v="77479"/>
    <x v="0"/>
    <x v="0"/>
    <s v="Q"/>
    <s v=""/>
    <s v=""/>
    <x v="0"/>
    <n v="0"/>
  </r>
  <r>
    <n v="309139.11"/>
    <n v="8521345001"/>
    <s v="Actual"/>
    <s v="Long Maturity"/>
    <n v="402"/>
    <x v="1"/>
    <n v="724078.12"/>
    <x v="1"/>
    <d v="2017-02-06T00:00:00"/>
    <n v="42.838356164383562"/>
    <d v="2042-03-15T00:00:00"/>
    <n v="301"/>
    <n v="255"/>
    <d v="2020-09-01T00:00:00"/>
    <s v="BNBSOCCER LLC dba Fast 5 Soccer"/>
    <s v="Largo, FL 33771"/>
    <n v="33771"/>
    <x v="1"/>
    <x v="1"/>
    <s v="Q"/>
    <s v=""/>
    <s v=""/>
    <x v="0"/>
    <n v="0"/>
  </r>
  <r>
    <n v="310284.11"/>
    <n v="4126027004"/>
    <s v="Actual"/>
    <s v="Long Maturity"/>
    <n v="402"/>
    <x v="2"/>
    <n v="1853339.01"/>
    <x v="2"/>
    <d v="2019-12-20T00:00:00"/>
    <n v="8.3666666666666671"/>
    <d v="2045-01-15T00:00:00"/>
    <n v="301"/>
    <n v="289"/>
    <d v="2020-09-01T00:00:00"/>
    <s v="Macon Arts Center LLC"/>
    <s v="Macon, GA 31206"/>
    <n v="31206"/>
    <x v="2"/>
    <x v="2"/>
    <s v="Q"/>
    <s v=""/>
    <s v=""/>
    <x v="1"/>
    <n v="0.05"/>
  </r>
  <r>
    <n v="310737.11"/>
    <n v="4032217001"/>
    <s v="Actual"/>
    <s v="Long Maturity"/>
    <n v="402"/>
    <x v="3"/>
    <n v="369795.79"/>
    <x v="3"/>
    <d v="2019-10-31T00:00:00"/>
    <n v="11.333333333333332"/>
    <d v="2044-11-15T00:00:00"/>
    <n v="301"/>
    <n v="287"/>
    <d v="2020-10-10T00:00:00"/>
    <s v="Mariscos El Oceano, Inc."/>
    <s v="Chicago, IL 60638"/>
    <n v="60638"/>
    <x v="3"/>
    <x v="3"/>
    <s v="Q"/>
    <s v=""/>
    <s v=""/>
    <x v="1"/>
    <n v="0.05"/>
  </r>
  <r>
    <n v="311171.11"/>
    <n v="3931827006"/>
    <s v="Actual"/>
    <s v="Long Maturity"/>
    <n v="402"/>
    <x v="4"/>
    <n v="1010965.36"/>
    <x v="4"/>
    <d v="2019-10-18T00:00:00"/>
    <n v="10.433333333333334"/>
    <d v="2045-04-15T00:00:00"/>
    <n v="306"/>
    <n v="292"/>
    <d v="2020-09-01T00:00:00"/>
    <s v="BROPOD LLC (EPC) &amp; FitClub, LLC (OC)"/>
    <s v="Monson, MA 01057"/>
    <n v="1057"/>
    <x v="4"/>
    <x v="1"/>
    <s v="Q"/>
    <s v=""/>
    <s v=""/>
    <x v="2"/>
    <n v="0.05"/>
  </r>
  <r>
    <n v="310773.11"/>
    <n v="3991307005"/>
    <s v="Actual"/>
    <s v="Long Maturity"/>
    <n v="402"/>
    <x v="5"/>
    <n v="435414.42"/>
    <x v="5"/>
    <d v="2019-09-27T00:00:00"/>
    <n v="14.700000000000001"/>
    <d v="2044-10-15T00:00:00"/>
    <n v="301"/>
    <n v="286"/>
    <d v="2020-12-18T00:00:00"/>
    <s v="WestCoast of Florida Mgmt LLC DBA Snack  Food Mart"/>
    <s v="North Fort Myers, FL 33903"/>
    <n v="33903"/>
    <x v="1"/>
    <x v="4"/>
    <s v="Q"/>
    <s v=""/>
    <s v=""/>
    <x v="3"/>
    <n v="0.03"/>
  </r>
  <r>
    <n v="308778.11"/>
    <n v="3764797001"/>
    <s v="Actual"/>
    <s v="Long Maturity"/>
    <n v="402"/>
    <x v="6"/>
    <n v="246099.78"/>
    <x v="6"/>
    <d v="2019-06-04T00:00:00"/>
    <n v="15"/>
    <d v="2044-07-15T00:00:00"/>
    <n v="301"/>
    <n v="283"/>
    <d v="2020-09-04T00:00:00"/>
    <s v="R&amp;D Precision, LLC"/>
    <s v="Lake Havasu City, AZ 86403"/>
    <n v="86403"/>
    <x v="5"/>
    <x v="5"/>
    <s v="Q"/>
    <s v=""/>
    <s v=""/>
    <x v="3"/>
    <n v="0.03"/>
  </r>
  <r>
    <n v="304368.11"/>
    <n v="8677745010"/>
    <s v="Actual"/>
    <s v="Long Maturity"/>
    <n v="402"/>
    <x v="7"/>
    <n v="923684.48"/>
    <x v="7"/>
    <d v="2016-08-26T00:00:00"/>
    <n v="48.361643835616441"/>
    <d v="2042-09-15T00:00:00"/>
    <n v="313"/>
    <n v="261"/>
    <d v="2020-09-05T00:00:00"/>
    <s v="All Needz Dental"/>
    <s v="Kountze, TX 77625"/>
    <n v="77625"/>
    <x v="0"/>
    <x v="6"/>
    <s v="Q"/>
    <s v=""/>
    <s v=""/>
    <x v="4"/>
    <n v="0"/>
  </r>
  <r>
    <n v="305196.11"/>
    <n v="9677055009"/>
    <s v="Actual"/>
    <s v="Long Maturity"/>
    <n v="402"/>
    <x v="8"/>
    <n v="3330338.2"/>
    <x v="8"/>
    <d v="2017-08-28T00:00:00"/>
    <n v="36.295890410958904"/>
    <d v="2042-09-15T00:00:00"/>
    <n v="301"/>
    <n v="261"/>
    <d v="2020-09-05T00:00:00"/>
    <s v="Primrose School of South Charlotte"/>
    <s v="Matthews, NC 28104"/>
    <n v="28104"/>
    <x v="6"/>
    <x v="0"/>
    <s v="Q"/>
    <s v=""/>
    <s v=""/>
    <x v="5"/>
    <n v="0"/>
  </r>
  <r>
    <n v="305879.11"/>
    <n v="9371905001"/>
    <s v="Actual"/>
    <s v="Long Maturity"/>
    <n v="402"/>
    <x v="9"/>
    <n v="726138.21"/>
    <x v="9"/>
    <d v="2017-04-20T00:00:00"/>
    <n v="40.56986301369863"/>
    <d v="2043-05-15T00:00:00"/>
    <n v="313"/>
    <n v="269"/>
    <d v="2020-09-05T00:00:00"/>
    <s v="Cherokee Storage"/>
    <s v="Independence, KY 41051"/>
    <n v="41051"/>
    <x v="7"/>
    <x v="7"/>
    <s v="Q"/>
    <s v=""/>
    <s v=""/>
    <x v="3"/>
    <n v="0"/>
  </r>
  <r>
    <n v="308915.11"/>
    <n v="2949607003"/>
    <s v="Actual"/>
    <s v="Long Maturity"/>
    <n v="402"/>
    <x v="10"/>
    <n v="749164.5"/>
    <x v="10"/>
    <d v="2018-09-21T00:00:00"/>
    <n v="23.506849315068493"/>
    <d v="2043-10-15T00:00:00"/>
    <n v="301"/>
    <n v="274"/>
    <d v="2020-09-05T00:00:00"/>
    <s v="National Realty Holdings LLC"/>
    <s v="Dearborn, MI 48126"/>
    <n v="48126"/>
    <x v="8"/>
    <x v="8"/>
    <s v="Q"/>
    <s v=""/>
    <s v=""/>
    <x v="1"/>
    <n v="0.03"/>
  </r>
  <r>
    <n v="309548.11"/>
    <n v="2522477002"/>
    <s v="Actual"/>
    <s v="Long Maturity"/>
    <n v="402"/>
    <x v="11"/>
    <n v="958843.86"/>
    <x v="11"/>
    <d v="2019-03-27T00:00:00"/>
    <n v="17.358904109589041"/>
    <d v="2044-09-15T00:00:00"/>
    <n v="306"/>
    <n v="285"/>
    <d v="2020-09-05T00:00:00"/>
    <s v="Emerge Savannah LLC"/>
    <s v="Garden City, GA 31405"/>
    <n v="31405"/>
    <x v="2"/>
    <x v="9"/>
    <s v="Q"/>
    <s v=""/>
    <s v=""/>
    <x v="2"/>
    <n v="0.03"/>
  </r>
  <r>
    <n v="309641.11"/>
    <n v="2957477001"/>
    <s v="Actual"/>
    <s v="Long Maturity"/>
    <n v="402"/>
    <x v="12"/>
    <n v="930480.07"/>
    <x v="5"/>
    <d v="2018-10-03T00:00:00"/>
    <n v="23.112328767123287"/>
    <d v="2044-05-15T00:00:00"/>
    <n v="307"/>
    <n v="281"/>
    <d v="2020-09-05T00:00:00"/>
    <s v="Inside the Lines Sports, LLC"/>
    <s v="Friendswood, TX 77546"/>
    <n v="77546"/>
    <x v="0"/>
    <x v="10"/>
    <s v="Q"/>
    <s v=""/>
    <s v=""/>
    <x v="3"/>
    <n v="0.03"/>
  </r>
  <r>
    <n v="309750.11"/>
    <n v="3614677005"/>
    <s v="Actual"/>
    <s v="Long Maturity"/>
    <n v="402"/>
    <x v="13"/>
    <n v="624780.97"/>
    <x v="12"/>
    <d v="2019-04-08T00:00:00"/>
    <n v="16.964383561643835"/>
    <d v="2044-05-15T00:00:00"/>
    <n v="301"/>
    <n v="281"/>
    <d v="2020-09-05T00:00:00"/>
    <s v="Old Charlotte Properties LLC"/>
    <s v="Monroe, NC 28110"/>
    <n v="28110"/>
    <x v="6"/>
    <x v="8"/>
    <s v="Q"/>
    <s v=""/>
    <s v=""/>
    <x v="5"/>
    <n v="0.03"/>
  </r>
  <r>
    <n v="309944.11"/>
    <n v="3725647010"/>
    <s v="Actual"/>
    <s v="Long Maturity"/>
    <n v="402"/>
    <x v="14"/>
    <n v="2153785.5699999998"/>
    <x v="13"/>
    <d v="2019-05-30T00:00:00"/>
    <n v="15.254794520547946"/>
    <d v="2044-06-15T00:00:00"/>
    <n v="301"/>
    <n v="282"/>
    <d v="2020-09-05T00:00:00"/>
    <s v="Ryker Ellis Development Inc."/>
    <s v="Matthews, NC 28105"/>
    <n v="28105"/>
    <x v="6"/>
    <x v="0"/>
    <s v="Q"/>
    <s v=""/>
    <s v=""/>
    <x v="5"/>
    <n v="0.03"/>
  </r>
  <r>
    <n v="310780.11"/>
    <n v="3977747001"/>
    <s v="Actual"/>
    <s v="Long Maturity"/>
    <n v="402"/>
    <x v="15"/>
    <n v="734819.88"/>
    <x v="14"/>
    <d v="2019-09-18T00:00:00"/>
    <n v="11.605479452054794"/>
    <d v="2044-10-15T00:00:00"/>
    <n v="301"/>
    <n v="286"/>
    <d v="2020-09-05T00:00:00"/>
    <s v="2700 National LLC"/>
    <s v="Vandalia, OH 45377"/>
    <n v="45377"/>
    <x v="9"/>
    <x v="11"/>
    <s v="Q"/>
    <s v=""/>
    <s v=""/>
    <x v="0"/>
    <n v="0.05"/>
  </r>
  <r>
    <n v="310918.11"/>
    <n v="2151617007"/>
    <s v="Actual"/>
    <s v="Long Maturity"/>
    <n v="402"/>
    <x v="16"/>
    <n v="2751060.3"/>
    <x v="15"/>
    <d v="2018-04-20T00:00:00"/>
    <n v="28.56986301369863"/>
    <d v="2045-05-15T00:00:00"/>
    <n v="325"/>
    <n v="293"/>
    <d v="2020-09-05T00:00:00"/>
    <s v="Carmen M. Villipoto and TMG Adventures Park, Inc."/>
    <s v="Dublin, OH 43016"/>
    <n v="43016"/>
    <x v="9"/>
    <x v="10"/>
    <s v="Q"/>
    <s v=""/>
    <s v=""/>
    <x v="0"/>
    <n v="0.01"/>
  </r>
  <r>
    <n v="310952.11"/>
    <n v="3784797009"/>
    <s v="Actual"/>
    <s v="Long Maturity"/>
    <n v="402"/>
    <x v="17"/>
    <n v="309330.03999999998"/>
    <x v="4"/>
    <d v="2019-06-25T00:00:00"/>
    <n v="14.399999999999999"/>
    <d v="2035-01-15T00:00:00"/>
    <n v="187"/>
    <n v="169"/>
    <d v="2020-09-05T00:00:00"/>
    <s v="Corralitos Brewing Company LLC"/>
    <s v="Watsonville, CA 95076"/>
    <n v="95076"/>
    <x v="10"/>
    <x v="12"/>
    <s v="Q"/>
    <s v=""/>
    <s v=""/>
    <x v="2"/>
    <n v="0.03"/>
  </r>
  <r>
    <n v="310953.11"/>
    <n v="3674537000"/>
    <s v="Actual"/>
    <s v="Long Maturity"/>
    <n v="402"/>
    <x v="18"/>
    <n v="872668.49"/>
    <x v="4"/>
    <d v="2019-05-10T00:00:00"/>
    <n v="15.912328767123288"/>
    <d v="2034-12-15T00:00:00"/>
    <n v="187"/>
    <n v="168"/>
    <d v="2020-09-05T00:00:00"/>
    <s v="North Bowl Lanes"/>
    <s v="North Attleboro, MA 02760"/>
    <n v="2760"/>
    <x v="4"/>
    <x v="13"/>
    <s v="Q"/>
    <s v=""/>
    <s v=""/>
    <x v="2"/>
    <n v="0.03"/>
  </r>
  <r>
    <n v="310955.11"/>
    <n v="3546097005"/>
    <s v="Actual"/>
    <s v="Long Maturity"/>
    <n v="402"/>
    <x v="19"/>
    <n v="1035380.74"/>
    <x v="13"/>
    <d v="2019-05-02T00:00:00"/>
    <n v="16.175342465753424"/>
    <d v="2035-02-15T00:00:00"/>
    <n v="189"/>
    <n v="170"/>
    <d v="2020-09-05T00:00:00"/>
    <s v="J&amp;L Eppig Brewing LLC"/>
    <s v="Vista, CA 92081"/>
    <n v="92081"/>
    <x v="10"/>
    <x v="12"/>
    <s v="Q"/>
    <s v=""/>
    <s v=""/>
    <x v="3"/>
    <n v="0.03"/>
  </r>
  <r>
    <n v="311045.11"/>
    <n v="2588497000"/>
    <s v="Actual"/>
    <s v="Long Maturity"/>
    <n v="402"/>
    <x v="20"/>
    <n v="333717.09999999998"/>
    <x v="16"/>
    <d v="2018-05-24T00:00:00"/>
    <n v="27.452054794520546"/>
    <d v="2033-06-15T00:00:00"/>
    <n v="181"/>
    <n v="150"/>
    <d v="2020-09-05T00:00:00"/>
    <s v="Hidden River Brewing Company"/>
    <s v="Douglassville, PA 19518"/>
    <n v="19518"/>
    <x v="11"/>
    <x v="12"/>
    <s v="Q"/>
    <s v=""/>
    <s v=""/>
    <x v="2"/>
    <n v="0.01"/>
  </r>
  <r>
    <n v="311065.11"/>
    <n v="1049717001"/>
    <s v="Actual"/>
    <s v="Long Maturity"/>
    <n v="402"/>
    <x v="21"/>
    <n v="908478.78"/>
    <x v="16"/>
    <d v="2017-10-26T00:00:00"/>
    <n v="34.356164383561641"/>
    <d v="2033-11-15T00:00:00"/>
    <n v="193"/>
    <n v="155"/>
    <d v="2020-09-05T00:00:00"/>
    <s v="Urban Orchard Cider Company"/>
    <s v="Asheville, NC 28806"/>
    <n v="28806"/>
    <x v="6"/>
    <x v="14"/>
    <s v="Q"/>
    <s v=""/>
    <s v=""/>
    <x v="2"/>
    <n v="0.01"/>
  </r>
  <r>
    <n v="311067.11"/>
    <n v="2634187003"/>
    <s v="Actual"/>
    <s v="Long Maturity"/>
    <n v="402"/>
    <x v="22"/>
    <n v="324110.81"/>
    <x v="17"/>
    <d v="2018-06-12T00:00:00"/>
    <n v="26.827397260273976"/>
    <d v="2033-07-15T00:00:00"/>
    <n v="181"/>
    <n v="151"/>
    <d v="2020-09-05T00:00:00"/>
    <s v="Fruition Brewing"/>
    <s v="Santa Cruz, CA 95062"/>
    <n v="95062"/>
    <x v="10"/>
    <x v="12"/>
    <s v="Q"/>
    <s v=""/>
    <s v=""/>
    <x v="1"/>
    <n v="0.01"/>
  </r>
  <r>
    <n v="311077.11"/>
    <n v="2694317007"/>
    <s v="Actual"/>
    <s v="Long Maturity"/>
    <n v="402"/>
    <x v="23"/>
    <n v="2289281.8199999998"/>
    <x v="18"/>
    <d v="2018-07-02T00:00:00"/>
    <n v="26.169863013698631"/>
    <d v="2043-08-15T00:00:00"/>
    <n v="301"/>
    <n v="272"/>
    <d v="2020-09-05T00:00:00"/>
    <s v="Ex Novo Brewing LLC"/>
    <s v="Corrales, NM 87048"/>
    <n v="87048"/>
    <x v="12"/>
    <x v="12"/>
    <s v="Q"/>
    <s v=""/>
    <s v=""/>
    <x v="3"/>
    <n v="0.01"/>
  </r>
  <r>
    <n v="311123.11"/>
    <n v="4089227005"/>
    <s v="Actual"/>
    <s v="Long Maturity"/>
    <n v="402"/>
    <x v="24"/>
    <n v="2141171.1"/>
    <x v="19"/>
    <d v="2019-11-20T00:00:00"/>
    <n v="9.5342465753424648"/>
    <d v="2044-12-15T00:00:00"/>
    <n v="301"/>
    <n v="288"/>
    <d v="2020-09-05T00:00:00"/>
    <s v="Sweetwater Adult Care, LLC"/>
    <s v="Scottsdale, AZ 85254"/>
    <n v="85254"/>
    <x v="5"/>
    <x v="15"/>
    <s v="Q"/>
    <s v=""/>
    <s v=""/>
    <x v="5"/>
    <n v="0.05"/>
  </r>
  <r>
    <n v="310726.11"/>
    <n v="4054677000"/>
    <s v="Actual"/>
    <s v="Long Maturity"/>
    <n v="402"/>
    <x v="25"/>
    <n v="198764.88"/>
    <x v="3"/>
    <d v="2019-11-11T00:00:00"/>
    <n v="9.9945205479452053"/>
    <d v="2044-12-15T00:00:00"/>
    <n v="301"/>
    <n v="288"/>
    <d v="2020-09-10T00:00:00"/>
    <s v="Kinder Korner Daycare Inc."/>
    <s v="Country Club Hills, IL 60478"/>
    <n v="60478"/>
    <x v="3"/>
    <x v="0"/>
    <s v="Q"/>
    <s v=""/>
    <s v=""/>
    <x v="1"/>
    <n v="0.05"/>
  </r>
  <r>
    <n v="310834.11"/>
    <n v="4221747006"/>
    <s v="Actual"/>
    <s v="Long Maturity"/>
    <n v="402"/>
    <x v="26"/>
    <n v="574267.73"/>
    <x v="11"/>
    <d v="2020-02-20T00:00:00"/>
    <n v="6.8712328767123285"/>
    <d v="2045-03-15T00:00:00"/>
    <n v="301"/>
    <n v="291"/>
    <d v="2020-09-16T00:00:00"/>
    <s v="Fox River Petro LLC"/>
    <s v="South Elgin, IL 30177"/>
    <n v="30177"/>
    <x v="3"/>
    <x v="4"/>
    <s v="Q"/>
    <s v=""/>
    <s v=""/>
    <x v="1"/>
    <n v="0.05"/>
  </r>
  <r>
    <n v="305230.11"/>
    <n v="9519975008"/>
    <s v="Actual"/>
    <s v="Long Maturity"/>
    <n v="402"/>
    <x v="27"/>
    <n v="2498258.87"/>
    <x v="18"/>
    <d v="2017-06-28T00:00:00"/>
    <n v="38.69589041095891"/>
    <d v="2043-01-15T00:00:00"/>
    <n v="307"/>
    <n v="265"/>
    <d v="2020-09-17T00:00:00"/>
    <s v="Maquella Management LLC"/>
    <s v="Chicago, IL 60608"/>
    <n v="60608"/>
    <x v="3"/>
    <x v="16"/>
    <s v="Q"/>
    <s v=""/>
    <s v=""/>
    <x v="1"/>
    <n v="0"/>
  </r>
  <r>
    <n v="309354.11"/>
    <n v="2821707010"/>
    <s v="Actual"/>
    <s v="Long Maturity"/>
    <n v="402"/>
    <x v="28"/>
    <n v="0"/>
    <x v="15"/>
    <d v="2018-08-15T00:00:00"/>
    <n v="-1424.4493150684932"/>
    <d v="2044-05-15T00:00:00"/>
    <n v="309"/>
    <n v="281"/>
    <d v="1899-12-30T00:00:00"/>
    <s v="Dougan Outdoor Media LLC"/>
    <s v="Hasbrouck Height, NJ 07604"/>
    <n v="7604"/>
    <x v="13"/>
    <x v="17"/>
    <s v="Q"/>
    <s v=""/>
    <s v=""/>
    <x v="1"/>
    <n v="0.05"/>
  </r>
  <r>
    <n v="311417.11"/>
    <n v="3969347010"/>
    <s v="Actual"/>
    <s v="Long Maturity"/>
    <n v="402"/>
    <x v="29"/>
    <n v="462952.7"/>
    <x v="4"/>
    <d v="2019-09-20T00:00:00"/>
    <n v="12.032876712328768"/>
    <d v="2044-10-15T00:00:00"/>
    <n v="301"/>
    <n v="286"/>
    <d v="2020-09-20T00:00:00"/>
    <s v="813 Sumner LLC / Yee's Sax Corp."/>
    <s v="Tacoma, WA 98403"/>
    <n v="98403"/>
    <x v="14"/>
    <x v="3"/>
    <s v="Q"/>
    <s v=""/>
    <s v=""/>
    <x v="5"/>
    <n v="0.03"/>
  </r>
  <r>
    <n v="311611.11"/>
    <n v="1394737803"/>
    <s v="Actual"/>
    <s v="Long Maturity"/>
    <n v="402"/>
    <x v="30"/>
    <n v="540000"/>
    <x v="13"/>
    <d v="2020-06-03T00:00:00"/>
    <n v="3.6333333333333329"/>
    <d v="2045-07-15T00:00:00"/>
    <n v="301"/>
    <n v="295"/>
    <d v="2020-09-22T00:00:00"/>
    <s v="M.L.S. Automotive, LLC"/>
    <s v="Warminster, PA 18974"/>
    <n v="18974"/>
    <x v="11"/>
    <x v="8"/>
    <s v="Q"/>
    <s v=""/>
    <s v=""/>
    <x v="4"/>
    <n v="0.05"/>
  </r>
  <r>
    <n v="309697.11"/>
    <n v="2973467009"/>
    <s v="Actual"/>
    <s v="Long Maturity"/>
    <n v="402"/>
    <x v="31"/>
    <n v="915081.16"/>
    <x v="15"/>
    <d v="2018-12-18T00:00:00"/>
    <n v="21.205479452054796"/>
    <d v="2044-04-15T00:00:00"/>
    <n v="304"/>
    <n v="280"/>
    <d v="2020-09-23T00:00:00"/>
    <s v="Smith + Louise LLC"/>
    <s v="Milwaukee, WI 53222"/>
    <n v="53222"/>
    <x v="15"/>
    <x v="3"/>
    <s v="Q"/>
    <s v=""/>
    <s v=""/>
    <x v="1"/>
    <n v="0.03"/>
  </r>
  <r>
    <n v="310693.11"/>
    <n v="4174207004"/>
    <s v="Actual"/>
    <s v="Long Maturity"/>
    <n v="402"/>
    <x v="32"/>
    <n v="1700695.64"/>
    <x v="19"/>
    <d v="2020-02-11T00:00:00"/>
    <n v="7.397260273972603"/>
    <d v="2045-03-15T00:00:00"/>
    <n v="301"/>
    <n v="291"/>
    <d v="2020-09-23T00:00:00"/>
    <s v="TTM Capital Resources, LLC &amp; ETM Capital Resources, LLC &amp; Terrence T M"/>
    <s v="Jarrell, TX 76537"/>
    <n v="76537"/>
    <x v="0"/>
    <x v="18"/>
    <s v="Q"/>
    <s v=""/>
    <s v=""/>
    <x v="5"/>
    <n v="0.05"/>
  </r>
  <r>
    <n v="305354.11"/>
    <n v="9542525000"/>
    <s v="Actual"/>
    <s v="Long Maturity"/>
    <n v="402"/>
    <x v="33"/>
    <n v="1790062.66"/>
    <x v="19"/>
    <d v="2017-06-23T00:00:00"/>
    <n v="39.090410958904108"/>
    <d v="2043-07-15T00:00:00"/>
    <n v="313"/>
    <n v="271"/>
    <d v="2020-09-24T00:00:00"/>
    <s v="The Greenhouses Hotel LLC"/>
    <s v="Wallkill, NY 12589"/>
    <n v="12589"/>
    <x v="16"/>
    <x v="19"/>
    <s v="Q"/>
    <s v=""/>
    <s v=""/>
    <x v="3"/>
    <n v="0"/>
  </r>
  <r>
    <n v="309489.11"/>
    <n v="3875697009"/>
    <s v="Actual"/>
    <s v="Long Maturity"/>
    <n v="402"/>
    <x v="34"/>
    <n v="3418180.1"/>
    <x v="19"/>
    <d v="2019-08-01T00:00:00"/>
    <n v="13.80821917808219"/>
    <d v="2044-09-15T00:00:00"/>
    <n v="301"/>
    <n v="285"/>
    <d v="2020-09-24T00:00:00"/>
    <s v="HSB Hotels, LLC dba Clarion Inn Pocatello"/>
    <s v="Pocatello, ID 83201"/>
    <n v="83201"/>
    <x v="17"/>
    <x v="20"/>
    <s v="Q"/>
    <s v=""/>
    <s v=""/>
    <x v="6"/>
    <n v="0.03"/>
  </r>
  <r>
    <n v="310160.11"/>
    <n v="4097317008"/>
    <s v="Actual"/>
    <s v="Long Maturity"/>
    <n v="402"/>
    <x v="35"/>
    <n v="3558732.13"/>
    <x v="13"/>
    <d v="2019-11-26T00:00:00"/>
    <n v="11.375342465753425"/>
    <d v="2044-12-15T00:00:00"/>
    <n v="301"/>
    <n v="288"/>
    <d v="2020-11-06T00:00:00"/>
    <s v="Kash Holding Properties, LLC (EPC), Kash Holding Restaurants, LLC,"/>
    <s v="Green Bay, WI 54302"/>
    <n v="54302"/>
    <x v="15"/>
    <x v="3"/>
    <s v="Q"/>
    <s v=""/>
    <s v=""/>
    <x v="4"/>
    <n v="0.05"/>
  </r>
  <r>
    <n v="310179.11"/>
    <n v="2833287001"/>
    <s v="Actual"/>
    <s v="Long Maturity"/>
    <n v="402"/>
    <x v="36"/>
    <n v="962471.27"/>
    <x v="18"/>
    <d v="2018-09-06T00:00:00"/>
    <n v="24.624657534246577"/>
    <d v="2044-08-15T00:00:00"/>
    <n v="311"/>
    <n v="284"/>
    <d v="2020-09-24T00:00:00"/>
    <s v="1107 Wallace LLC"/>
    <s v="Delray Beach, FL 33487"/>
    <n v="33487"/>
    <x v="1"/>
    <x v="21"/>
    <s v="Q"/>
    <s v=""/>
    <s v=""/>
    <x v="4"/>
    <n v="0.01"/>
  </r>
  <r>
    <n v="311216.11"/>
    <n v="1846397004"/>
    <s v="Actual"/>
    <s v="Long Maturity"/>
    <n v="402"/>
    <x v="37"/>
    <n v="285483.75"/>
    <x v="20"/>
    <d v="2018-01-24T00:00:00"/>
    <n v="32.021917808219179"/>
    <d v="2033-02-15T00:00:00"/>
    <n v="181"/>
    <n v="146"/>
    <d v="2020-09-24T00:00:00"/>
    <s v="Bholebaba Inc"/>
    <s v="Jacksonville, NC 28546"/>
    <n v="28546"/>
    <x v="6"/>
    <x v="20"/>
    <s v="Q"/>
    <s v=""/>
    <s v=""/>
    <x v="4"/>
    <n v="0.01"/>
  </r>
  <r>
    <n v="311927.11"/>
    <n v="4035827002"/>
    <s v="Actual"/>
    <s v="Long Maturity"/>
    <n v="402"/>
    <x v="38"/>
    <n v="434047.07"/>
    <x v="4"/>
    <d v="2019-10-23T00:00:00"/>
    <n v="12.854794520547944"/>
    <d v="2039-11-15T00:00:00"/>
    <n v="241"/>
    <n v="227"/>
    <d v="2020-11-17T00:00:00"/>
    <s v="Majack Bag Ventures Inc."/>
    <s v="Bethlehem, PA 18018"/>
    <n v="18018"/>
    <x v="11"/>
    <x v="22"/>
    <s v="Q"/>
    <s v=""/>
    <s v=""/>
    <x v="2"/>
    <n v="0.03"/>
  </r>
  <r>
    <n v="309470.11"/>
    <n v="3692817005"/>
    <s v="Actual"/>
    <s v="Long Maturity"/>
    <n v="402"/>
    <x v="39"/>
    <n v="2976488.81"/>
    <x v="21"/>
    <d v="2019-05-08T00:00:00"/>
    <n v="16.635616438356166"/>
    <d v="2044-06-15T00:00:00"/>
    <n v="301"/>
    <n v="282"/>
    <d v="2020-09-25T00:00:00"/>
    <s v="Cheers Beers and Wine, Inc dba Osaka Sushi &amp; Grill"/>
    <s v="Addison, TX 75001"/>
    <n v="75001"/>
    <x v="0"/>
    <x v="23"/>
    <s v="Q"/>
    <s v=""/>
    <s v=""/>
    <x v="6"/>
    <n v="0.03"/>
  </r>
  <r>
    <n v="309472.11"/>
    <n v="3176857010"/>
    <s v="Actual"/>
    <s v="Long Maturity"/>
    <n v="402"/>
    <x v="40"/>
    <n v="1013442.3"/>
    <x v="19"/>
    <d v="2018-11-20T00:00:00"/>
    <n v="22.19178082191781"/>
    <d v="2043-12-15T00:00:00"/>
    <n v="301"/>
    <n v="276"/>
    <d v="2020-09-25T00:00:00"/>
    <s v="DSJW LLC and Cafe Mixx GA LLC"/>
    <s v="Suwanee, GA 30024"/>
    <n v="30024"/>
    <x v="2"/>
    <x v="3"/>
    <s v="Q"/>
    <s v=""/>
    <s v=""/>
    <x v="6"/>
    <n v="0.03"/>
  </r>
  <r>
    <n v="310054.11"/>
    <n v="3790747001"/>
    <s v="Actual"/>
    <s v="Long Maturity"/>
    <n v="402"/>
    <x v="41"/>
    <n v="1276430.42"/>
    <x v="4"/>
    <d v="2019-07-25T00:00:00"/>
    <n v="14.169863013698629"/>
    <d v="2044-08-15T00:00:00"/>
    <n v="301"/>
    <n v="284"/>
    <d v="2020-09-28T00:00:00"/>
    <s v="92 Route 34 LLC"/>
    <s v="Matawan, NJ 07747"/>
    <n v="7747"/>
    <x v="13"/>
    <x v="24"/>
    <s v="Q"/>
    <s v=""/>
    <s v=""/>
    <x v="5"/>
    <n v="0.03"/>
  </r>
  <r>
    <n v="305780.11"/>
    <n v="9633005003"/>
    <s v="Actual"/>
    <s v="Long Maturity"/>
    <n v="402"/>
    <x v="42"/>
    <n v="2169868.61"/>
    <x v="22"/>
    <d v="2017-08-04T00:00:00"/>
    <n v="37.906849315068492"/>
    <d v="2043-06-15T00:00:00"/>
    <n v="310"/>
    <n v="270"/>
    <d v="2020-09-30T00:00:00"/>
    <s v="Doyle Holdings LLC &amp; Tap Rack Bang Indoor Shooting Range"/>
    <s v="Killeen, TX 76549"/>
    <n v="76549"/>
    <x v="0"/>
    <x v="10"/>
    <s v="Q"/>
    <s v=""/>
    <s v=""/>
    <x v="1"/>
    <n v="0"/>
  </r>
  <r>
    <n v="309705.11"/>
    <n v="4015787006"/>
    <s v="Actual"/>
    <s v="Long Maturity"/>
    <n v="402"/>
    <x v="43"/>
    <n v="3102643.35"/>
    <x v="19"/>
    <d v="2019-10-21T00:00:00"/>
    <n v="13.347945205479453"/>
    <d v="2044-11-15T00:00:00"/>
    <n v="301"/>
    <n v="287"/>
    <d v="2020-11-30T00:00:00"/>
    <s v="Classio Hospitality, LLC"/>
    <s v="Greensboro, NC 27407"/>
    <n v="27407"/>
    <x v="6"/>
    <x v="20"/>
    <s v="Q"/>
    <s v=""/>
    <s v=""/>
    <x v="6"/>
    <n v="0.03"/>
  </r>
  <r>
    <n v="309730.11"/>
    <n v="2864077000"/>
    <s v="Actual"/>
    <s v="Long Maturity"/>
    <n v="402"/>
    <x v="44"/>
    <n v="3322934.73"/>
    <x v="13"/>
    <d v="2018-11-16T00:00:00"/>
    <n v="22.566666666666666"/>
    <d v="2044-03-15T00:00:00"/>
    <n v="304"/>
    <n v="279"/>
    <d v="2020-10-03T00:00:00"/>
    <s v="Mountain Laurel Resort Holdings, LLC &amp; The New Mountain Laurel Resort "/>
    <s v="White Haven, PA 18661"/>
    <n v="18661"/>
    <x v="11"/>
    <x v="20"/>
    <s v="Q"/>
    <s v=""/>
    <s v=""/>
    <x v="6"/>
    <n v="0.03"/>
  </r>
  <r>
    <n v="310761.11"/>
    <n v="3934267010"/>
    <s v="Actual"/>
    <s v="Long Maturity"/>
    <n v="402"/>
    <x v="45"/>
    <n v="435999.18"/>
    <x v="3"/>
    <d v="2019-10-04T00:00:00"/>
    <n v="11.866666666666667"/>
    <d v="2044-11-15T00:00:00"/>
    <n v="301"/>
    <n v="287"/>
    <d v="2020-09-30T00:00:00"/>
    <s v="Bellawood Farm LLC and Bellawood Kennels LLC"/>
    <s v="Newark, DE 17902"/>
    <n v="17902"/>
    <x v="18"/>
    <x v="25"/>
    <s v="Q"/>
    <s v=""/>
    <s v=""/>
    <x v="1"/>
    <n v="0.05"/>
  </r>
  <r>
    <n v="308236.11"/>
    <n v="2915267010"/>
    <s v="Actual"/>
    <s v="Long Maturity"/>
    <n v="402"/>
    <x v="46"/>
    <n v="821521.58"/>
    <x v="23"/>
    <d v="2019-03-20T00:00:00"/>
    <n v="20.449315068493153"/>
    <d v="2044-04-15T00:00:00"/>
    <n v="301"/>
    <n v="280"/>
    <d v="2020-12-01T00:00:00"/>
    <s v="Hanin Hawatmeh, D.C."/>
    <s v="La Habra, CA 90631"/>
    <n v="90631"/>
    <x v="10"/>
    <x v="6"/>
    <s v="Q"/>
    <s v=""/>
    <s v=""/>
    <x v="0"/>
    <n v="0.03"/>
  </r>
  <r>
    <n v="308619.11"/>
    <n v="3487537005"/>
    <s v="Actual"/>
    <s v="Long Maturity"/>
    <n v="402"/>
    <x v="47"/>
    <n v="137582.75"/>
    <x v="18"/>
    <d v="2019-02-14T00:00:00"/>
    <n v="21.567123287671233"/>
    <d v="2044-06-15T00:00:00"/>
    <n v="304"/>
    <n v="282"/>
    <d v="2020-12-01T00:00:00"/>
    <s v="Fuse Fabrication, LLC"/>
    <s v="Mulberry, FL 33860"/>
    <n v="33860"/>
    <x v="1"/>
    <x v="26"/>
    <s v="Q"/>
    <s v=""/>
    <s v=""/>
    <x v="3"/>
    <n v="0.03"/>
  </r>
  <r>
    <n v="308901.11"/>
    <n v="3727227006"/>
    <s v="Actual"/>
    <s v="Long Maturity"/>
    <n v="402"/>
    <x v="48"/>
    <n v="322685.07"/>
    <x v="23"/>
    <d v="2019-06-03T00:00:00"/>
    <n v="17.983561643835614"/>
    <d v="2044-07-15T00:00:00"/>
    <n v="301"/>
    <n v="283"/>
    <d v="2020-12-01T00:00:00"/>
    <s v="Verko, LLC"/>
    <s v="Gaithersburg, MD 20879"/>
    <n v="20879"/>
    <x v="19"/>
    <x v="27"/>
    <s v="Q"/>
    <s v=""/>
    <s v=""/>
    <x v="0"/>
    <n v="0.03"/>
  </r>
  <r>
    <n v="309587.11"/>
    <n v="2451537009"/>
    <s v="Actual"/>
    <s v="Long Maturity"/>
    <n v="402"/>
    <x v="49"/>
    <n v="686792.16"/>
    <x v="11"/>
    <d v="2018-06-13T00:00:00"/>
    <n v="29.654794520547945"/>
    <d v="2044-10-15T00:00:00"/>
    <n v="316"/>
    <n v="286"/>
    <d v="2020-12-01T00:00:00"/>
    <s v="Tuxedo Hospitality Corporation "/>
    <s v="Tuxedo, NY 10987"/>
    <n v="10987"/>
    <x v="16"/>
    <x v="23"/>
    <s v="Q"/>
    <s v=""/>
    <s v=""/>
    <x v="2"/>
    <n v="0.01"/>
  </r>
  <r>
    <n v="309633.11"/>
    <n v="9346405002"/>
    <s v="Actual"/>
    <s v="Long Maturity"/>
    <n v="402"/>
    <x v="50"/>
    <n v="363798.08"/>
    <x v="24"/>
    <d v="2017-06-29T00:00:00"/>
    <n v="41.128767123287673"/>
    <d v="2039-09-15T00:00:00"/>
    <n v="267"/>
    <n v="225"/>
    <d v="2020-12-01T00:00:00"/>
    <s v="JNN Real Estate LLC"/>
    <s v="Fort Lee, NJ 07024"/>
    <n v="7024"/>
    <x v="13"/>
    <x v="27"/>
    <s v="Q"/>
    <s v=""/>
    <s v=""/>
    <x v="1"/>
    <n v="0"/>
  </r>
  <r>
    <n v="309765.11"/>
    <n v="3286577010"/>
    <s v="Actual"/>
    <s v="Long Maturity"/>
    <n v="402"/>
    <x v="51"/>
    <n v="305970.37"/>
    <x v="25"/>
    <d v="2018-12-26T00:00:00"/>
    <n v="23.210958904109589"/>
    <d v="2044-11-15T00:00:00"/>
    <n v="311"/>
    <n v="287"/>
    <d v="2020-12-01T00:00:00"/>
    <s v="Tundavia Investments, LLC"/>
    <s v="Shreveport, LA 71129"/>
    <n v="71129"/>
    <x v="20"/>
    <x v="20"/>
    <s v="Q"/>
    <s v=""/>
    <s v=""/>
    <x v="5"/>
    <n v="0.03"/>
  </r>
  <r>
    <n v="310011.11"/>
    <n v="3923327009"/>
    <s v="Actual"/>
    <s v="Long Maturity"/>
    <n v="402"/>
    <x v="52"/>
    <n v="761158.1"/>
    <x v="4"/>
    <d v="2019-08-21T00:00:00"/>
    <n v="15.386301369863014"/>
    <d v="2044-09-15T00:00:00"/>
    <n v="301"/>
    <n v="285"/>
    <d v="2020-12-01T00:00:00"/>
    <s v="Baba Deep Singh Inc 7"/>
    <s v="Independence, OR 97351"/>
    <n v="97351"/>
    <x v="21"/>
    <x v="28"/>
    <s v="Q"/>
    <s v=""/>
    <s v=""/>
    <x v="5"/>
    <n v="0.03"/>
  </r>
  <r>
    <n v="310334.11"/>
    <n v="4102507001"/>
    <s v="Actual"/>
    <s v="Long Maturity"/>
    <n v="402"/>
    <x v="53"/>
    <n v="390679.52"/>
    <x v="26"/>
    <d v="2019-12-20T00:00:00"/>
    <n v="11.441095890410958"/>
    <d v="2045-01-15T00:00:00"/>
    <n v="301"/>
    <n v="289"/>
    <d v="2020-12-02T00:00:00"/>
    <s v="MD Hospitality, LLC"/>
    <s v="Raton, NM 87740"/>
    <n v="87740"/>
    <x v="12"/>
    <x v="20"/>
    <s v="Q"/>
    <s v=""/>
    <s v=""/>
    <x v="3"/>
    <n v="0.05"/>
  </r>
  <r>
    <n v="310502.11"/>
    <n v="4198157007"/>
    <s v="Actual"/>
    <s v="Long Maturity"/>
    <n v="402"/>
    <x v="54"/>
    <n v="783619.19"/>
    <x v="18"/>
    <d v="2020-01-24T00:00:00"/>
    <n v="9.8999999999999986"/>
    <d v="2045-02-15T00:00:00"/>
    <n v="301"/>
    <n v="290"/>
    <d v="2020-11-21T00:00:00"/>
    <s v="Sparks &amp; Sparks, LLC"/>
    <s v="Fort Pierce, FL 34982"/>
    <n v="34982"/>
    <x v="1"/>
    <x v="3"/>
    <s v="Q"/>
    <s v=""/>
    <s v=""/>
    <x v="2"/>
    <n v="0.05"/>
  </r>
  <r>
    <n v="310755.11"/>
    <n v="3489157002"/>
    <s v="Actual"/>
    <s v="Long Maturity"/>
    <n v="402"/>
    <x v="55"/>
    <n v="143307.31"/>
    <x v="3"/>
    <d v="2019-10-09T00:00:00"/>
    <n v="13.775342465753425"/>
    <d v="2044-11-15T00:00:00"/>
    <n v="301"/>
    <n v="287"/>
    <d v="2020-12-01T00:00:00"/>
    <s v="Lucas Packaging Group Inc"/>
    <s v="Franklin, NJ 07416"/>
    <n v="7416"/>
    <x v="13"/>
    <x v="29"/>
    <s v="Q"/>
    <s v=""/>
    <s v=""/>
    <x v="1"/>
    <n v="0.03"/>
  </r>
  <r>
    <n v="310888.11"/>
    <n v="4238147010"/>
    <s v="Actual"/>
    <s v="Long Maturity"/>
    <n v="402"/>
    <x v="56"/>
    <n v="1840421.4"/>
    <x v="4"/>
    <d v="2020-02-24T00:00:00"/>
    <n v="9.5013698630136982"/>
    <d v="2045-03-15T00:00:00"/>
    <n v="301"/>
    <n v="291"/>
    <d v="2020-12-09T00:00:00"/>
    <s v="Rushi Investment Corporation"/>
    <s v="Weatherford, TX 76087"/>
    <n v="76087"/>
    <x v="0"/>
    <x v="20"/>
    <s v="Q"/>
    <s v=""/>
    <s v=""/>
    <x v="5"/>
    <n v="0.05"/>
  </r>
  <r>
    <n v="311350.11"/>
    <n v="4307267005"/>
    <s v="Actual"/>
    <s v="Long Maturity"/>
    <n v="402"/>
    <x v="57"/>
    <n v="1003289.14"/>
    <x v="4"/>
    <d v="2020-03-25T00:00:00"/>
    <n v="6.2000000000000011"/>
    <d v="2045-04-15T00:00:00"/>
    <n v="301"/>
    <n v="292"/>
    <d v="2020-10-01T00:00:00"/>
    <s v="Josie Kelly's Public House"/>
    <s v="Somers Point, NJ 08244"/>
    <n v="8244"/>
    <x v="13"/>
    <x v="3"/>
    <s v="Q"/>
    <s v=""/>
    <s v=""/>
    <x v="2"/>
    <n v="0.05"/>
  </r>
  <r>
    <n v="311438.11"/>
    <n v="3693627009"/>
    <s v="Actual"/>
    <s v="Long Maturity"/>
    <n v="402"/>
    <x v="58"/>
    <n v="595431.98"/>
    <x v="18"/>
    <d v="2019-05-13T00:00:00"/>
    <n v="18.673972602739727"/>
    <d v="2044-06-15T00:00:00"/>
    <n v="301"/>
    <n v="282"/>
    <d v="2020-12-01T00:00:00"/>
    <s v="Broken Ivories, LLC"/>
    <s v="Greensboro, NC 27403"/>
    <n v="27403"/>
    <x v="6"/>
    <x v="19"/>
    <s v="Q"/>
    <s v=""/>
    <s v=""/>
    <x v="3"/>
    <n v="0.03"/>
  </r>
  <r>
    <n v="311929.11"/>
    <n v="2801487008"/>
    <s v="Actual"/>
    <s v="Long Maturity"/>
    <n v="402"/>
    <x v="59"/>
    <n v="3382419.68"/>
    <x v="19"/>
    <d v="2019-05-02T00:00:00"/>
    <n v="19.035616438356165"/>
    <d v="2045-06-15T00:00:00"/>
    <n v="313"/>
    <n v="294"/>
    <d v="2020-12-01T00:00:00"/>
    <s v="19th Hole Enterprises, LLC and Hill Country Express Wash, Inc."/>
    <s v="San Antonio, TX 78258"/>
    <n v="78258"/>
    <x v="0"/>
    <x v="16"/>
    <s v="Q"/>
    <s v=""/>
    <s v=""/>
    <x v="5"/>
    <n v="0.03"/>
  </r>
  <r>
    <n v="309862.11"/>
    <n v="3930847010"/>
    <s v="Actual"/>
    <s v="Long Maturity"/>
    <n v="402"/>
    <x v="60"/>
    <n v="771637"/>
    <x v="4"/>
    <d v="2019-10-29T00:00:00"/>
    <n v="13.3"/>
    <d v="2044-11-15T00:00:00"/>
    <n v="301"/>
    <n v="287"/>
    <d v="2020-12-08T00:00:00"/>
    <s v="All Pets Animal Hospital"/>
    <s v="Clovis, NM 88101"/>
    <n v="88101"/>
    <x v="12"/>
    <x v="30"/>
    <s v="Q"/>
    <s v=""/>
    <s v=""/>
    <x v="5"/>
    <n v="0.03"/>
  </r>
  <r>
    <n v="310508.11"/>
    <n v="2719277005"/>
    <s v="Actual"/>
    <s v="Long Maturity"/>
    <n v="402"/>
    <x v="61"/>
    <n v="0"/>
    <x v="27"/>
    <d v="2018-09-21T00:00:00"/>
    <n v="-1425.6657534246576"/>
    <d v="2039-04-15T00:00:00"/>
    <n v="247"/>
    <n v="220"/>
    <d v="1899-12-30T00:00:00"/>
    <s v="Coral Springs Animal Hospital"/>
    <s v="Coral Springs, FL 33071"/>
    <n v="33071"/>
    <x v="1"/>
    <x v="30"/>
    <s v="Q"/>
    <s v=""/>
    <s v=""/>
    <x v="4"/>
    <n v="0.05"/>
  </r>
  <r>
    <n v="311221.11"/>
    <n v="4242427003"/>
    <s v="Actual"/>
    <s v="Long Maturity"/>
    <n v="402"/>
    <x v="62"/>
    <n v="556685.12"/>
    <x v="13"/>
    <d v="2020-03-06T00:00:00"/>
    <n v="9.1726027397260275"/>
    <d v="2045-04-15T00:00:00"/>
    <n v="301"/>
    <n v="292"/>
    <d v="2020-12-10T00:00:00"/>
    <s v="JADVA Investment, LLC dba Palmetto Inn"/>
    <s v="Orangeburg,SC 29115"/>
    <n v="29115"/>
    <x v="22"/>
    <x v="20"/>
    <s v="Q"/>
    <s v=""/>
    <s v=""/>
    <x v="3"/>
    <n v="0.05"/>
  </r>
  <r>
    <n v="311956.11"/>
    <n v="9032317903"/>
    <s v="Actual"/>
    <s v="Long Maturity"/>
    <n v="402"/>
    <x v="63"/>
    <n v="287123.19"/>
    <x v="18"/>
    <d v="2020-07-16T00:00:00"/>
    <n v="2.5972602739726027"/>
    <d v="2045-08-15T00:00:00"/>
    <n v="301"/>
    <n v="296"/>
    <d v="2020-10-03T00:00:00"/>
    <s v="Leach Road LLC &amp; J&amp;B Doors Inc. as Co-Borrowers"/>
    <s v="Rochester Hills, MI 48309"/>
    <n v="48309"/>
    <x v="8"/>
    <x v="31"/>
    <s v="Q"/>
    <s v=""/>
    <s v=""/>
    <x v="0"/>
    <n v="0.05"/>
  </r>
  <r>
    <n v="304779.11"/>
    <n v="9862105002"/>
    <s v="Actual"/>
    <s v="Long Maturity"/>
    <n v="402"/>
    <x v="64"/>
    <n v="152669.01999999999"/>
    <x v="28"/>
    <d v="2017-12-19T00:00:00"/>
    <n v="34.487671232876707"/>
    <d v="2043-05-15T00:00:00"/>
    <n v="305"/>
    <n v="269"/>
    <d v="2020-11-02T00:00:00"/>
    <s v="Marker Oil Company, Inc."/>
    <s v="Alturas, CA 96101"/>
    <n v="96101"/>
    <x v="10"/>
    <x v="32"/>
    <s v="Q"/>
    <s v=""/>
    <s v=""/>
    <x v="1"/>
    <n v="0.01"/>
  </r>
  <r>
    <n v="309741.11"/>
    <n v="4022827003"/>
    <s v="Actual"/>
    <s v="Long Maturity"/>
    <n v="402"/>
    <x v="65"/>
    <n v="785616.51"/>
    <x v="23"/>
    <d v="2019-10-25T00:00:00"/>
    <n v="13.709589041095892"/>
    <d v="2044-11-15T00:00:00"/>
    <n v="301"/>
    <n v="287"/>
    <d v="2020-12-15T00:00:00"/>
    <s v="PARI, LLC"/>
    <s v="Vicksburg, MS 39180"/>
    <n v="39180"/>
    <x v="23"/>
    <x v="20"/>
    <s v="Q"/>
    <s v=""/>
    <s v=""/>
    <x v="0"/>
    <n v="0.03"/>
  </r>
  <r>
    <n v="309908.11"/>
    <n v="3206887010"/>
    <s v="Actual"/>
    <s v="Long Maturity"/>
    <n v="402"/>
    <x v="66"/>
    <n v="1238165.8"/>
    <x v="29"/>
    <d v="2019-11-20T00:00:00"/>
    <n v="10.520547945205479"/>
    <d v="2039-12-15T00:00:00"/>
    <n v="241"/>
    <n v="228"/>
    <d v="2020-10-05T00:00:00"/>
    <s v="RYS Properties, LLC"/>
    <s v="Hanover Park, IL 60133"/>
    <n v="60133"/>
    <x v="3"/>
    <x v="33"/>
    <s v="Q"/>
    <s v=""/>
    <s v=""/>
    <x v="1"/>
    <n v="0.05"/>
  </r>
  <r>
    <n v="310495.11"/>
    <n v="3192397003"/>
    <s v="Actual"/>
    <s v="Long Maturity"/>
    <n v="402"/>
    <x v="67"/>
    <n v="144284.31"/>
    <x v="2"/>
    <d v="2019-09-12T00:00:00"/>
    <n v="14.794520547945206"/>
    <d v="2044-10-15T00:00:00"/>
    <n v="301"/>
    <n v="286"/>
    <d v="2020-12-05T00:00:00"/>
    <s v="Semaan Marketing, Inc."/>
    <s v="Cleveland, OH 44104"/>
    <n v="44104"/>
    <x v="9"/>
    <x v="28"/>
    <s v="Q"/>
    <s v=""/>
    <s v=""/>
    <x v="1"/>
    <n v="0.03"/>
  </r>
  <r>
    <n v="310500.11"/>
    <n v="4135897009"/>
    <s v="Actual"/>
    <s v="Long Maturity"/>
    <n v="402"/>
    <x v="68"/>
    <n v="3291560.37"/>
    <x v="13"/>
    <d v="2020-01-02T00:00:00"/>
    <n v="9.1068493150684926"/>
    <d v="2045-02-15T00:00:00"/>
    <n v="301"/>
    <n v="290"/>
    <d v="2020-10-05T00:00:00"/>
    <s v="AMZ Real Estate LLC"/>
    <s v="Steamwood, IL 60107"/>
    <n v="60107"/>
    <x v="3"/>
    <x v="34"/>
    <s v="Q"/>
    <s v=""/>
    <s v=""/>
    <x v="3"/>
    <n v="0.05"/>
  </r>
  <r>
    <n v="310762.11"/>
    <n v="3935957007"/>
    <s v="Actual"/>
    <s v="Long Maturity"/>
    <n v="402"/>
    <x v="69"/>
    <n v="535640.16"/>
    <x v="3"/>
    <d v="2019-10-03T00:00:00"/>
    <n v="13.117808219178084"/>
    <d v="2044-11-15T00:00:00"/>
    <n v="301"/>
    <n v="287"/>
    <d v="2020-11-05T00:00:00"/>
    <s v="A Salute 79, LLC  (EPC) &amp;Salute 74 Main LLC (OC)"/>
    <s v="Matawan, NJ 07747"/>
    <n v="7747"/>
    <x v="13"/>
    <x v="3"/>
    <s v="Q"/>
    <s v=""/>
    <s v=""/>
    <x v="1"/>
    <n v="0.03"/>
  </r>
  <r>
    <n v="311334.11"/>
    <n v="4166837005"/>
    <s v="Actual"/>
    <s v="Long Maturity"/>
    <n v="402"/>
    <x v="70"/>
    <n v="670436.99"/>
    <x v="4"/>
    <d v="2019-12-31T00:00:00"/>
    <n v="10.586301369863014"/>
    <d v="2045-02-15T00:00:00"/>
    <n v="302"/>
    <n v="290"/>
    <d v="2020-11-17T00:00:00"/>
    <s v="Omkar Persaud"/>
    <s v="Inwood, NY 11096"/>
    <n v="11096"/>
    <x v="16"/>
    <x v="8"/>
    <s v="Q"/>
    <s v=""/>
    <s v=""/>
    <x v="3"/>
    <n v="0.05"/>
  </r>
  <r>
    <n v="308359.11"/>
    <n v="3499277007"/>
    <s v="Actual"/>
    <s v="Long Maturity"/>
    <n v="402"/>
    <x v="71"/>
    <n v="2000965.81"/>
    <x v="11"/>
    <d v="2019-03-12T00:00:00"/>
    <n v="20.843835616438355"/>
    <d v="2034-04-15T00:00:00"/>
    <n v="181"/>
    <n v="160"/>
    <d v="2020-12-05T00:00:00"/>
    <s v="Vanguard Utility Service Inc."/>
    <s v="Owensboro, KY 42304"/>
    <n v="42304"/>
    <x v="7"/>
    <x v="35"/>
    <s v="Q"/>
    <s v=""/>
    <s v=""/>
    <x v="1"/>
    <n v="0.03"/>
  </r>
  <r>
    <n v="310216.11"/>
    <n v="4127937008"/>
    <s v="Actual"/>
    <s v="Long Maturity"/>
    <n v="402"/>
    <x v="72"/>
    <n v="2383791.12"/>
    <x v="4"/>
    <d v="2019-12-16T00:00:00"/>
    <n v="9.7315068493150676"/>
    <d v="2045-01-15T00:00:00"/>
    <n v="301"/>
    <n v="289"/>
    <d v="2020-10-07T00:00:00"/>
    <s v="JSK Lakes LLC"/>
    <s v="Johnson City, NY  13790"/>
    <n v="13790"/>
    <x v="16"/>
    <x v="20"/>
    <s v="Q"/>
    <s v=""/>
    <s v=""/>
    <x v="3"/>
    <n v="0.05"/>
  </r>
  <r>
    <n v="309035.11"/>
    <n v="3828217002"/>
    <s v="Actual"/>
    <s v="Long Maturity"/>
    <n v="402"/>
    <x v="73"/>
    <n v="0"/>
    <x v="30"/>
    <d v="2019-07-24T00:00:00"/>
    <n v="15.466666666666669"/>
    <d v="2044-08-15T00:00:00"/>
    <n v="301"/>
    <n v="284"/>
    <d v="2020-11-08T00:00:00"/>
    <s v="Clearfield RE LLC &amp; Manas Management LLC"/>
    <s v="Clearfield, PA 16830"/>
    <n v="16830"/>
    <x v="11"/>
    <x v="20"/>
    <s v="Q"/>
    <s v=""/>
    <s v=""/>
    <x v="5"/>
    <n v="0.03"/>
  </r>
  <r>
    <n v="310736.11"/>
    <n v="4050047002"/>
    <s v="Actual"/>
    <s v="Long Maturity"/>
    <n v="402"/>
    <x v="74"/>
    <n v="493065.59"/>
    <x v="5"/>
    <d v="2019-10-31T00:00:00"/>
    <n v="12.69041095890411"/>
    <d v="2044-11-15T00:00:00"/>
    <n v="301"/>
    <n v="287"/>
    <d v="2020-11-20T00:00:00"/>
    <s v="33 Merz Holdings LLC"/>
    <s v="Fairlawn, OH 44333"/>
    <n v="44333"/>
    <x v="9"/>
    <x v="11"/>
    <s v="Q"/>
    <s v=""/>
    <s v=""/>
    <x v="3"/>
    <n v="0.03"/>
  </r>
  <r>
    <n v="311936.11"/>
    <n v="4052167007"/>
    <s v="Actual"/>
    <s v="Long Maturity"/>
    <n v="402"/>
    <x v="75"/>
    <n v="532956.28"/>
    <x v="11"/>
    <d v="2020-03-20T00:00:00"/>
    <n v="8.2191780821917799"/>
    <d v="2045-04-15T00:00:00"/>
    <n v="301"/>
    <n v="292"/>
    <d v="2020-11-25T00:00:00"/>
    <s v="Cornerstone Commercial Properties L.L.C. &amp; Cornerstone Chiropractic II"/>
    <s v="Aubrey, TX 76227"/>
    <n v="76227"/>
    <x v="0"/>
    <x v="36"/>
    <s v="Q"/>
    <s v=""/>
    <s v=""/>
    <x v="0"/>
    <n v="0.05"/>
  </r>
  <r>
    <n v="309247.11"/>
    <n v="3873037006"/>
    <s v="Actual"/>
    <s v="Long Maturity"/>
    <n v="402"/>
    <x v="76"/>
    <n v="187172.28"/>
    <x v="18"/>
    <d v="2019-07-31T00:00:00"/>
    <n v="16.033333333333331"/>
    <d v="2044-08-15T00:00:00"/>
    <n v="301"/>
    <n v="284"/>
    <d v="2020-12-01T00:00:00"/>
    <s v="The Law Offices of Crystal Magee, P.L.L.C."/>
    <s v="Spring, TX 77389"/>
    <n v="77389"/>
    <x v="0"/>
    <x v="37"/>
    <s v="Q"/>
    <s v=""/>
    <s v=""/>
    <x v="3"/>
    <n v="0.03"/>
  </r>
  <r>
    <n v="309600.11"/>
    <n v="2324407002"/>
    <s v="Actual"/>
    <s v="Long Maturity"/>
    <n v="402"/>
    <x v="77"/>
    <n v="1789045.85"/>
    <x v="19"/>
    <d v="2018-05-17T00:00:00"/>
    <n v="30.80547945205479"/>
    <d v="2043-06-15T00:00:00"/>
    <n v="301"/>
    <n v="270"/>
    <d v="2020-12-09T00:00:00"/>
    <s v="M.J. Property LLC"/>
    <s v="Paramount, CA  90723"/>
    <n v="90723"/>
    <x v="10"/>
    <x v="16"/>
    <s v="Q"/>
    <s v=""/>
    <s v=""/>
    <x v="6"/>
    <n v="0.01"/>
  </r>
  <r>
    <n v="311455.11"/>
    <n v="1471237103"/>
    <s v="Actual"/>
    <s v="Long Maturity"/>
    <n v="402"/>
    <x v="78"/>
    <n v="757565.34"/>
    <x v="18"/>
    <d v="2020-04-17T00:00:00"/>
    <n v="5.7666666666666666"/>
    <d v="2045-05-15T00:00:00"/>
    <n v="301"/>
    <n v="293"/>
    <d v="2020-10-10T00:00:00"/>
    <s v="Shalom Cottage LLC"/>
    <s v="Springfield, OR 97478"/>
    <n v="97478"/>
    <x v="21"/>
    <x v="38"/>
    <s v="Q"/>
    <s v=""/>
    <s v=""/>
    <x v="0"/>
    <n v="0.05"/>
  </r>
  <r>
    <n v="310541.11"/>
    <n v="4142767003"/>
    <s v="Actual"/>
    <s v="Long Maturity"/>
    <n v="402"/>
    <x v="79"/>
    <n v="50454.79"/>
    <x v="26"/>
    <d v="2019-12-13T00:00:00"/>
    <n v="10.980821917808219"/>
    <d v="2045-01-15T00:00:00"/>
    <n v="301"/>
    <n v="289"/>
    <d v="2020-11-11T00:00:00"/>
    <s v="Garden View, LLC"/>
    <s v="Montevideo, MN 56265"/>
    <n v="56265"/>
    <x v="24"/>
    <x v="20"/>
    <s v="Q"/>
    <s v=""/>
    <s v=""/>
    <x v="3"/>
    <n v="0.05"/>
  </r>
  <r>
    <n v="310833.11"/>
    <n v="4152907001"/>
    <s v="Actual"/>
    <s v="Long Maturity"/>
    <n v="402"/>
    <x v="80"/>
    <n v="266017.71999999997"/>
    <x v="11"/>
    <d v="2020-01-22T00:00:00"/>
    <n v="10.61917808219178"/>
    <d v="2045-02-15T00:00:00"/>
    <n v="301"/>
    <n v="290"/>
    <d v="2020-12-10T00:00:00"/>
    <s v="New England Family Insurance &amp; Financial Solutions Inc."/>
    <s v="Fall River, MA 02721"/>
    <n v="2721"/>
    <x v="4"/>
    <x v="39"/>
    <s v="Q"/>
    <s v=""/>
    <s v=""/>
    <x v="1"/>
    <n v="0.05"/>
  </r>
  <r>
    <n v="309492.11"/>
    <n v="3791957007"/>
    <s v="Actual"/>
    <s v="Long Maturity"/>
    <n v="402"/>
    <x v="81"/>
    <n v="122026.79"/>
    <x v="18"/>
    <d v="2019-09-13T00:00:00"/>
    <n v="14.07123287671233"/>
    <d v="2044-10-15T00:00:00"/>
    <n v="301"/>
    <n v="286"/>
    <d v="2020-11-14T00:00:00"/>
    <s v="Jet Green Tree Services, LLC"/>
    <s v="Upland, PA 19013"/>
    <n v="19013"/>
    <x v="11"/>
    <x v="40"/>
    <s v="Q"/>
    <s v=""/>
    <s v=""/>
    <x v="3"/>
    <n v="0.03"/>
  </r>
  <r>
    <n v="310333.11"/>
    <n v="3992577007"/>
    <s v="Actual"/>
    <s v="Long Maturity"/>
    <n v="402"/>
    <x v="82"/>
    <n v="1716701.09"/>
    <x v="19"/>
    <d v="2019-12-06T00:00:00"/>
    <n v="12.065753424657533"/>
    <d v="2045-01-15T00:00:00"/>
    <n v="301"/>
    <n v="289"/>
    <d v="2020-12-07T00:00:00"/>
    <s v="Jay Jalaram Tupelo LLC"/>
    <s v="Tupelo, MS 38804"/>
    <n v="38804"/>
    <x v="23"/>
    <x v="20"/>
    <s v="Q"/>
    <s v=""/>
    <s v=""/>
    <x v="4"/>
    <n v="0.03"/>
  </r>
  <r>
    <n v="308125.11"/>
    <n v="9694095001"/>
    <s v="Actual"/>
    <s v="Long Maturity"/>
    <n v="402"/>
    <x v="83"/>
    <n v="2785794.8"/>
    <x v="22"/>
    <d v="2017-10-13T00:00:00"/>
    <n v="38.104109589041101"/>
    <d v="2043-08-15T00:00:00"/>
    <n v="310"/>
    <n v="272"/>
    <d v="2020-12-15T00:00:00"/>
    <s v="Zenith Landings, LLC &amp; The Apple of Gods Eye, Inc."/>
    <s v="Little Rock, AR 72211"/>
    <n v="72211"/>
    <x v="25"/>
    <x v="41"/>
    <s v="Q"/>
    <s v=""/>
    <s v=""/>
    <x v="0"/>
    <n v="0"/>
  </r>
  <r>
    <n v="311497.11"/>
    <n v="4149627010"/>
    <s v="Actual"/>
    <s v="Long Maturity"/>
    <n v="402"/>
    <x v="84"/>
    <n v="2224225.63"/>
    <x v="4"/>
    <d v="2020-04-10T00:00:00"/>
    <n v="7.5287671232876709"/>
    <d v="2045-05-15T00:00:00"/>
    <n v="301"/>
    <n v="293"/>
    <d v="2020-11-25T00:00:00"/>
    <s v="Shiv Shakti Hospitality LLC dba Comfort Suites"/>
    <s v="Columbus, OH 43232"/>
    <n v="43232"/>
    <x v="9"/>
    <x v="20"/>
    <s v="Q"/>
    <s v=""/>
    <s v=""/>
    <x v="2"/>
    <n v="0.05"/>
  </r>
  <r>
    <n v="307818.11"/>
    <n v="9861395006"/>
    <s v="Actual"/>
    <s v="Long Maturity"/>
    <n v="402"/>
    <x v="85"/>
    <n v="1545392.4"/>
    <x v="31"/>
    <d v="2017-10-18T00:00:00"/>
    <n v="37.512328767123293"/>
    <d v="2043-01-15T00:00:00"/>
    <n v="303"/>
    <n v="265"/>
    <d v="2020-12-02T00:00:00"/>
    <s v="Vista Palm Springs Investments LLC"/>
    <s v="El Segundo, CA 90245"/>
    <n v="90245"/>
    <x v="10"/>
    <x v="20"/>
    <s v="Q"/>
    <s v=""/>
    <s v=""/>
    <x v="4"/>
    <n v="0"/>
  </r>
  <r>
    <n v="309958.11"/>
    <n v="3969617008"/>
    <s v="Actual"/>
    <s v="Long Maturity"/>
    <n v="402"/>
    <x v="86"/>
    <n v="184374.73"/>
    <x v="13"/>
    <d v="2019-10-08T00:00:00"/>
    <n v="12.328767123287673"/>
    <d v="2044-11-15T00:00:00"/>
    <n v="301"/>
    <n v="287"/>
    <d v="2020-10-17T00:00:00"/>
    <s v="Microtel Inn &amp; Suites "/>
    <s v="Anchorage, AK 99507"/>
    <n v="99507"/>
    <x v="26"/>
    <x v="20"/>
    <s v="Q"/>
    <s v=""/>
    <s v=""/>
    <x v="6"/>
    <n v="0.03"/>
  </r>
  <r>
    <n v="308497.11"/>
    <n v="9485735007"/>
    <s v="Actual"/>
    <s v="Long Maturity"/>
    <n v="402"/>
    <x v="87"/>
    <n v="618546.9"/>
    <x v="32"/>
    <d v="2017-05-31T00:00:00"/>
    <n v="42.049315068493151"/>
    <d v="2043-04-15T00:00:00"/>
    <n v="311"/>
    <n v="268"/>
    <d v="2020-11-30T00:00:00"/>
    <s v="So Hot Right Now, LLC and Either Way You're Right, LLC."/>
    <s v="Savannah, GA 31410"/>
    <n v="31410"/>
    <x v="2"/>
    <x v="3"/>
    <s v="Q"/>
    <s v=""/>
    <s v=""/>
    <x v="0"/>
    <n v="0"/>
  </r>
  <r>
    <n v="310768.11"/>
    <n v="3956407005"/>
    <s v="Actual"/>
    <s v="Long Maturity"/>
    <n v="402"/>
    <x v="88"/>
    <n v="722237.93"/>
    <x v="3"/>
    <d v="2019-09-30T00:00:00"/>
    <n v="12.657534246575342"/>
    <d v="2044-10-15T00:00:00"/>
    <n v="301"/>
    <n v="286"/>
    <d v="2020-10-19T00:00:00"/>
    <s v="Galway Inn Ltd"/>
    <s v="Elmhurst, IL 60126"/>
    <n v="60126"/>
    <x v="3"/>
    <x v="2"/>
    <s v="Q"/>
    <s v=""/>
    <s v=""/>
    <x v="1"/>
    <n v="0.03"/>
  </r>
  <r>
    <n v="308334.11"/>
    <n v="3680957004"/>
    <s v="Actual"/>
    <s v="Long Maturity"/>
    <n v="402"/>
    <x v="89"/>
    <n v="2241543.5099999998"/>
    <x v="23"/>
    <d v="2019-04-26T00:00:00"/>
    <n v="19.166666666666668"/>
    <d v="2044-05-15T00:00:00"/>
    <n v="301"/>
    <n v="281"/>
    <d v="2020-12-01T00:00:00"/>
    <s v="Sonmar of Bullhead City LLC"/>
    <s v="Fargo, ND 58104"/>
    <n v="58104"/>
    <x v="27"/>
    <x v="20"/>
    <s v="Q"/>
    <s v=""/>
    <s v=""/>
    <x v="0"/>
    <n v="0.03"/>
  </r>
  <r>
    <n v="310910.11"/>
    <n v="4247217009"/>
    <s v="Actual"/>
    <s v="Long Maturity"/>
    <n v="402"/>
    <x v="90"/>
    <n v="1240908.8"/>
    <x v="11"/>
    <d v="2020-03-02T00:00:00"/>
    <n v="9"/>
    <d v="2035-04-15T00:00:00"/>
    <n v="181"/>
    <n v="172"/>
    <d v="2020-12-02T00:00:00"/>
    <s v="Stevice Investments Inc. dba ProWater Irrigation &amp; Supply"/>
    <s v="Prescott, AZ 86301"/>
    <n v="86301"/>
    <x v="5"/>
    <x v="42"/>
    <s v="Q"/>
    <s v=""/>
    <s v=""/>
    <x v="1"/>
    <n v="0.05"/>
  </r>
  <r>
    <n v="310010.11"/>
    <n v="4114267009"/>
    <s v="Actual"/>
    <s v="Long Maturity"/>
    <n v="402"/>
    <x v="91"/>
    <n v="0"/>
    <x v="26"/>
    <d v="2019-11-25T00:00:00"/>
    <n v="-1439.8027397260273"/>
    <d v="2044-12-15T00:00:00"/>
    <n v="301"/>
    <n v="288"/>
    <d v="1899-12-30T00:00:00"/>
    <s v="Redbud Ridge LLC"/>
    <s v="McArthur, OH 45651"/>
    <n v="45651"/>
    <x v="9"/>
    <x v="43"/>
    <s v="Q"/>
    <s v=""/>
    <s v=""/>
    <x v="3"/>
    <n v="0.05"/>
  </r>
  <r>
    <n v="302807.11"/>
    <n v="9628155008"/>
    <s v="Actual"/>
    <s v="Long Maturity"/>
    <n v="402"/>
    <x v="92"/>
    <n v="2087575.39"/>
    <x v="33"/>
    <d v="2017-09-20T00:00:00"/>
    <n v="38.366666666666667"/>
    <d v="2033-01-15T00:00:00"/>
    <n v="184"/>
    <n v="145"/>
    <d v="2020-12-01T00:00:00"/>
    <s v="Sam &amp; Danilyn Holdings LLC Deval Life Cycle Support LLC"/>
    <s v="Philadelphia, PA 19136"/>
    <n v="19136"/>
    <x v="11"/>
    <x v="44"/>
    <s v="Q"/>
    <s v=""/>
    <s v=""/>
    <x v="0"/>
    <n v="0"/>
  </r>
  <r>
    <n v="312739.11"/>
    <n v="3699837003"/>
    <s v="Actual"/>
    <s v="Long Maturity"/>
    <n v="402"/>
    <x v="93"/>
    <n v="972009.35"/>
    <x v="15"/>
    <d v="2019-05-10T00:00:00"/>
    <n v="18.7"/>
    <d v="2037-06-15T00:00:00"/>
    <n v="217"/>
    <n v="198"/>
    <d v="2020-12-01T00:00:00"/>
    <s v="Sand Beach Volleyball LLC"/>
    <s v="Aberdeen Township, NJ 07747"/>
    <n v="7747"/>
    <x v="13"/>
    <x v="45"/>
    <s v="Q"/>
    <s v=""/>
    <s v=""/>
    <x v="1"/>
    <n v="0.03"/>
  </r>
  <r>
    <n v="306862.11"/>
    <n v="3024207004"/>
    <s v="Actual"/>
    <s v="Long Maturity"/>
    <n v="402"/>
    <x v="94"/>
    <n v="25816.12"/>
    <x v="34"/>
    <d v="2018-10-19T00:00:00"/>
    <n v="25.775342465753425"/>
    <d v="2038-11-15T00:00:00"/>
    <n v="241"/>
    <n v="215"/>
    <d v="2020-12-11T00:00:00"/>
    <s v="Amanda's Hair Studio LLC"/>
    <s v="Melrose, WI 54642"/>
    <n v="54642"/>
    <x v="15"/>
    <x v="46"/>
    <s v="Q"/>
    <s v=""/>
    <s v=""/>
    <x v="2"/>
    <n v="0.01"/>
  </r>
  <r>
    <n v="309304.11"/>
    <n v="3806977006"/>
    <s v="Actual"/>
    <s v="Long Maturity"/>
    <n v="402"/>
    <x v="95"/>
    <n v="257324.08"/>
    <x v="23"/>
    <d v="2019-08-06T00:00:00"/>
    <n v="16.767123287671232"/>
    <d v="2044-09-15T00:00:00"/>
    <n v="301"/>
    <n v="285"/>
    <d v="2020-12-28T00:00:00"/>
    <s v="Tiffany's School of Dance &amp; Performing Arts Center LLC"/>
    <s v="Syracuse, NY 13219"/>
    <n v="13219"/>
    <x v="16"/>
    <x v="47"/>
    <s v="Q"/>
    <s v=""/>
    <s v=""/>
    <x v="0"/>
    <n v="0.03"/>
  </r>
  <r>
    <n v="312047.11"/>
    <n v="3694328109"/>
    <s v="Actual"/>
    <s v="Long Maturity"/>
    <n v="402"/>
    <x v="96"/>
    <n v="354180.23"/>
    <x v="4"/>
    <d v="2020-07-15T00:00:00"/>
    <n v="5.3917808219178083"/>
    <d v="2045-08-15T00:00:00"/>
    <n v="301"/>
    <n v="296"/>
    <d v="2020-12-26T00:00:00"/>
    <s v="D.C.J.S. Enterprises, LLC"/>
    <s v="New Brighton, MN 55112"/>
    <n v="55112"/>
    <x v="24"/>
    <x v="27"/>
    <s v="Q"/>
    <s v=""/>
    <s v=""/>
    <x v="2"/>
    <n v="0.05"/>
  </r>
  <r>
    <n v="310784.11"/>
    <n v="3733787006"/>
    <s v="Actual"/>
    <s v="Long Maturity"/>
    <n v="402"/>
    <x v="97"/>
    <n v="202547.25"/>
    <x v="3"/>
    <d v="2019-05-29T00:00:00"/>
    <n v="19"/>
    <d v="2044-06-15T00:00:00"/>
    <n v="301"/>
    <n v="282"/>
    <d v="2020-12-29T00:00:00"/>
    <s v="Alexora Inv."/>
    <s v="Nixa, MO 65714"/>
    <n v="65714"/>
    <x v="28"/>
    <x v="23"/>
    <s v="Q"/>
    <s v=""/>
    <s v=""/>
    <x v="1"/>
    <n v="0.03"/>
  </r>
  <r>
    <n v="310887.11"/>
    <n v="4223847005"/>
    <s v="Actual"/>
    <s v="Long Maturity"/>
    <n v="402"/>
    <x v="98"/>
    <n v="1226450.69"/>
    <x v="4"/>
    <d v="2020-02-18T00:00:00"/>
    <n v="8.2333333333333343"/>
    <d v="2034-03-15T00:00:00"/>
    <n v="169"/>
    <n v="159"/>
    <d v="2020-10-25T00:00:00"/>
    <s v="MBML Holdings LLC Nurse One Home Health LLC"/>
    <s v="Boynton Beach, FL 33435"/>
    <n v="33435"/>
    <x v="1"/>
    <x v="48"/>
    <s v="Q"/>
    <s v=""/>
    <s v=""/>
    <x v="2"/>
    <n v="0"/>
  </r>
  <r>
    <n v="311170.11"/>
    <n v="2865367006"/>
    <s v="Actual"/>
    <s v="Long Maturity"/>
    <n v="402"/>
    <x v="99"/>
    <n v="666284.39"/>
    <x v="23"/>
    <d v="2019-03-25T00:00:00"/>
    <n v="20.054794520547944"/>
    <d v="2044-10-15T00:00:00"/>
    <n v="307"/>
    <n v="286"/>
    <d v="2020-11-24T00:00:00"/>
    <s v="SSMJ Solon LLC &amp; RNR Solon Inc"/>
    <s v="Solon, OH 44139"/>
    <n v="44139"/>
    <x v="9"/>
    <x v="49"/>
    <s v="Q"/>
    <s v=""/>
    <s v=""/>
    <x v="2"/>
    <n v="0.03"/>
  </r>
  <r>
    <n v="311249.11"/>
    <n v="4287557000"/>
    <s v="Actual"/>
    <s v="Long Maturity"/>
    <n v="402"/>
    <x v="100"/>
    <n v="950453.22"/>
    <x v="23"/>
    <d v="2020-04-09T00:00:00"/>
    <n v="6.5424657534246577"/>
    <d v="2045-05-15T00:00:00"/>
    <n v="301"/>
    <n v="293"/>
    <d v="2020-10-25T00:00:00"/>
    <s v="Highline Vault Inc."/>
    <s v="Oconomowoc, WI 53066"/>
    <n v="53066"/>
    <x v="15"/>
    <x v="3"/>
    <s v="Q"/>
    <s v=""/>
    <s v=""/>
    <x v="1"/>
    <n v="0.05"/>
  </r>
  <r>
    <n v="311638.11"/>
    <n v="4298857002"/>
    <s v="Actual"/>
    <s v="Long Maturity"/>
    <n v="402"/>
    <x v="101"/>
    <n v="969330.45"/>
    <x v="19"/>
    <d v="2020-04-22T00:00:00"/>
    <n v="8.1863013698630134"/>
    <d v="2045-05-15T00:00:00"/>
    <n v="301"/>
    <n v="293"/>
    <d v="2020-12-27T00:00:00"/>
    <s v="Asisla Olayao"/>
    <s v="Bellevue, WA 98008"/>
    <n v="98008"/>
    <x v="14"/>
    <x v="50"/>
    <s v="Q"/>
    <s v=""/>
    <s v=""/>
    <x v="4"/>
    <n v="0.05"/>
  </r>
  <r>
    <n v="311642.11"/>
    <n v="4286207009"/>
    <s v="Actual"/>
    <s v="Long Maturity"/>
    <n v="402"/>
    <x v="102"/>
    <n v="1288485.56"/>
    <x v="19"/>
    <d v="2020-04-24T00:00:00"/>
    <n v="8.087671232876712"/>
    <d v="2045-05-15T00:00:00"/>
    <n v="301"/>
    <n v="293"/>
    <d v="2020-12-26T00:00:00"/>
    <s v="Alpha Cottage LLC and Prestige Estate Property Inc"/>
    <s v="Tacoma, WA 98445"/>
    <n v="98445"/>
    <x v="14"/>
    <x v="50"/>
    <s v="Q"/>
    <s v=""/>
    <s v=""/>
    <x v="4"/>
    <n v="0.05"/>
  </r>
  <r>
    <n v="310056.11"/>
    <n v="4001307001"/>
    <s v="Actual"/>
    <s v="Long Maturity"/>
    <n v="402"/>
    <x v="103"/>
    <n v="637907.77"/>
    <x v="23"/>
    <d v="2019-11-22T00:00:00"/>
    <n v="12.131506849315068"/>
    <d v="2044-12-15T00:00:00"/>
    <n v="301"/>
    <n v="288"/>
    <d v="2020-11-25T00:00:00"/>
    <s v="AMNN Holdings 2 LLC"/>
    <s v="Orlando, FL 32805"/>
    <n v="32805"/>
    <x v="1"/>
    <x v="51"/>
    <s v="Q"/>
    <s v=""/>
    <s v=""/>
    <x v="2"/>
    <n v="0.03"/>
  </r>
  <r>
    <n v="305216.11"/>
    <n v="9461835008"/>
    <s v="Actual"/>
    <s v="Long Maturity"/>
    <n v="402"/>
    <x v="104"/>
    <n v="273400.13"/>
    <x v="19"/>
    <d v="2017-06-29T00:00:00"/>
    <n v="41.166666666666664"/>
    <d v="2043-04-15T00:00:00"/>
    <n v="310"/>
    <n v="268"/>
    <d v="2020-12-04T00:00:00"/>
    <s v="SRI Lakshmi Prasanna LLC"/>
    <s v="Bridgewater Township, NJ 08807"/>
    <n v="8807"/>
    <x v="13"/>
    <x v="52"/>
    <s v="Q"/>
    <s v=""/>
    <s v=""/>
    <x v="3"/>
    <n v="0"/>
  </r>
  <r>
    <n v="305871.11"/>
    <n v="9485595002"/>
    <s v="Actual"/>
    <s v="Long Maturity"/>
    <n v="402"/>
    <x v="105"/>
    <n v="1755609.14"/>
    <x v="0"/>
    <d v="2017-06-07T00:00:00"/>
    <n v="41.753424657534246"/>
    <d v="2043-01-15T00:00:00"/>
    <n v="307"/>
    <n v="265"/>
    <d v="2020-11-28T00:00:00"/>
    <s v="Veer Hanuman Hospitality Inc. DBA Crystal Inn"/>
    <s v="Porter, TX 77365"/>
    <n v="77365"/>
    <x v="0"/>
    <x v="20"/>
    <s v="Q"/>
    <s v=""/>
    <s v=""/>
    <x v="2"/>
    <n v="0"/>
  </r>
  <r>
    <n v="308275.11"/>
    <n v="3388447007"/>
    <s v="Actual"/>
    <s v="Long Maturity"/>
    <n v="402"/>
    <x v="106"/>
    <n v="144808.75"/>
    <x v="13"/>
    <d v="2019-03-28T00:00:00"/>
    <n v="21"/>
    <d v="2044-04-15T00:00:00"/>
    <n v="301"/>
    <n v="280"/>
    <d v="2020-12-28T00:00:00"/>
    <s v="Kim &amp; S Building LLC"/>
    <s v="Edison, NJ 08817"/>
    <n v="8817"/>
    <x v="13"/>
    <x v="53"/>
    <s v="Q"/>
    <s v=""/>
    <s v=""/>
    <x v="5"/>
    <n v="0.03"/>
  </r>
  <r>
    <n v="308893.11"/>
    <n v="3052307007"/>
    <s v="Actual"/>
    <s v="Long Maturity"/>
    <n v="402"/>
    <x v="107"/>
    <n v="1077860.3400000001"/>
    <x v="30"/>
    <d v="2018-10-29T00:00:00"/>
    <n v="24.953424657534242"/>
    <d v="2043-11-15T00:00:00"/>
    <n v="301"/>
    <n v="275"/>
    <d v="2020-11-26T00:00:00"/>
    <s v="BGPT Investments Corporation"/>
    <s v="San Antonio, TX 78228"/>
    <n v="78228"/>
    <x v="0"/>
    <x v="4"/>
    <s v="Q"/>
    <s v=""/>
    <s v=""/>
    <x v="5"/>
    <n v="0.01"/>
  </r>
  <r>
    <n v="308894.11"/>
    <n v="2495597007"/>
    <s v="Actual"/>
    <s v="Long Maturity"/>
    <n v="402"/>
    <x v="108"/>
    <n v="931841.46"/>
    <x v="5"/>
    <d v="2018-06-06T00:00:00"/>
    <n v="29.720547945205482"/>
    <d v="2038-07-15T00:00:00"/>
    <n v="241"/>
    <n v="211"/>
    <d v="2020-11-26T00:00:00"/>
    <s v="Ferromar Trading Inc"/>
    <s v="Spring, TX 77379"/>
    <n v="77379"/>
    <x v="0"/>
    <x v="54"/>
    <s v="Q"/>
    <s v=""/>
    <s v=""/>
    <x v="3"/>
    <n v="0.01"/>
  </r>
  <r>
    <n v="309420.11"/>
    <n v="2730797009"/>
    <s v="Actual"/>
    <s v="Long Maturity"/>
    <n v="402"/>
    <x v="109"/>
    <n v="977411.62"/>
    <x v="18"/>
    <d v="2018-08-03T00:00:00"/>
    <n v="26.860273972602737"/>
    <d v="2044-06-15T00:00:00"/>
    <n v="310"/>
    <n v="282"/>
    <d v="2020-10-28T00:00:00"/>
    <s v="Waterford Smoothie, LLC; Building 59, LLC"/>
    <s v="Waterford, MI 48327"/>
    <n v="48327"/>
    <x v="8"/>
    <x v="23"/>
    <s v="Q"/>
    <s v=""/>
    <s v=""/>
    <x v="3"/>
    <n v="0.01"/>
  </r>
  <r>
    <n v="304901.11"/>
    <n v="9568905005"/>
    <s v="Actual"/>
    <s v="Long Maturity"/>
    <n v="402"/>
    <x v="110"/>
    <n v="948925.75"/>
    <x v="28"/>
    <d v="2017-07-13T00:00:00"/>
    <n v="40.533333333333331"/>
    <d v="2042-08-15T00:00:00"/>
    <n v="301"/>
    <n v="260"/>
    <d v="2020-11-29T00:00:00"/>
    <s v="Max Automotive 2, Inc."/>
    <s v="Surprise, AZ 85378"/>
    <n v="85378"/>
    <x v="5"/>
    <x v="8"/>
    <s v="Q"/>
    <s v=""/>
    <s v=""/>
    <x v="1"/>
    <n v="0"/>
  </r>
  <r>
    <n v="305089.11"/>
    <n v="9578795002"/>
    <s v="Actual"/>
    <s v="Long Maturity"/>
    <n v="402"/>
    <x v="111"/>
    <n v="601406.88"/>
    <x v="35"/>
    <d v="2017-07-03T00:00:00"/>
    <n v="41.030136986301372"/>
    <d v="2042-08-15T00:00:00"/>
    <n v="301"/>
    <n v="260"/>
    <d v="2020-12-02T00:00:00"/>
    <s v="Jianping Huang, Cheng Sui Yu  (EPC) Hopeful Enterprise, Inc. (OC)"/>
    <s v="Arcadia, CA 91006"/>
    <n v="91006"/>
    <x v="10"/>
    <x v="55"/>
    <s v="Q"/>
    <s v=""/>
    <s v=""/>
    <x v="6"/>
    <n v="0"/>
  </r>
  <r>
    <n v="306916.11"/>
    <n v="9609985004"/>
    <s v="Actual"/>
    <s v="Long Maturity"/>
    <n v="402"/>
    <x v="112"/>
    <n v="2443891.11"/>
    <x v="36"/>
    <d v="2017-08-10T00:00:00"/>
    <n v="39.633333333333333"/>
    <d v="2042-09-15T00:00:00"/>
    <n v="301"/>
    <n v="261"/>
    <d v="2020-11-29T00:00:00"/>
    <s v="Olde Town Hotels LLC"/>
    <s v="Portsmouth, VA 23704"/>
    <n v="23704"/>
    <x v="29"/>
    <x v="20"/>
    <s v="Q"/>
    <s v=""/>
    <s v=""/>
    <x v="3"/>
    <n v="0"/>
  </r>
  <r>
    <n v="307253.11"/>
    <n v="9787715007"/>
    <s v="Actual"/>
    <s v="Long Maturity"/>
    <n v="402"/>
    <x v="113"/>
    <n v="0"/>
    <x v="37"/>
    <d v="2017-09-29T00:00:00"/>
    <n v="-1413.9287671232876"/>
    <d v="2043-07-15T00:00:00"/>
    <n v="310"/>
    <n v="271"/>
    <d v="1899-12-30T00:00:00"/>
    <s v="D Max Euless, LLC"/>
    <s v="Hurst, TX 76053"/>
    <n v="76053"/>
    <x v="0"/>
    <x v="16"/>
    <s v="Q"/>
    <s v=""/>
    <s v=""/>
    <x v="3"/>
    <n v="0.05"/>
  </r>
  <r>
    <n v="308822.11"/>
    <n v="2487337010"/>
    <s v="Actual"/>
    <s v="Long Maturity"/>
    <n v="402"/>
    <x v="114"/>
    <n v="3668752.52"/>
    <x v="38"/>
    <d v="2018-06-21T00:00:00"/>
    <n v="29.523287671232875"/>
    <d v="2044-09-15T00:00:00"/>
    <n v="315"/>
    <n v="285"/>
    <d v="2020-12-05T00:00:00"/>
    <s v="Emerald Hospitality LLC"/>
    <s v="Miramar Beach, FL 32550"/>
    <n v="32550"/>
    <x v="1"/>
    <x v="20"/>
    <s v="Q"/>
    <s v=""/>
    <s v=""/>
    <x v="6"/>
    <n v="0.01"/>
  </r>
  <r>
    <n v="309839.11"/>
    <n v="3999747002"/>
    <s v="Actual"/>
    <s v="Long Maturity"/>
    <n v="402"/>
    <x v="115"/>
    <n v="1474253.08"/>
    <x v="26"/>
    <d v="2019-11-13T00:00:00"/>
    <n v="12.887671232876713"/>
    <d v="2044-12-15T00:00:00"/>
    <n v="301"/>
    <n v="288"/>
    <d v="2020-12-09T00:00:00"/>
    <s v="Pleasantville Motor Inn Corporation dba Homestead Lodge Apart - Hotel"/>
    <s v="Pleasantville, NJ 08232"/>
    <n v="8232"/>
    <x v="13"/>
    <x v="20"/>
    <s v="Q"/>
    <s v=""/>
    <s v=""/>
    <x v="3"/>
    <n v="0.03"/>
  </r>
  <r>
    <n v="309883.11"/>
    <n v="3981587004"/>
    <s v="Actual"/>
    <s v="Long Maturity"/>
    <n v="402"/>
    <x v="116"/>
    <n v="357431.57"/>
    <x v="4"/>
    <d v="2019-10-25T00:00:00"/>
    <n v="14.235616438356164"/>
    <d v="2044-12-15T00:00:00"/>
    <n v="302"/>
    <n v="288"/>
    <d v="2020-12-31T00:00:00"/>
    <s v="Auto Team Service Center LLC"/>
    <s v="Salem, OR 97302"/>
    <n v="97302"/>
    <x v="21"/>
    <x v="8"/>
    <s v="Q"/>
    <s v=""/>
    <s v=""/>
    <x v="5"/>
    <n v="0.03"/>
  </r>
  <r>
    <n v="309927.11"/>
    <n v="4061497003"/>
    <s v="Actual"/>
    <s v="Long Maturity"/>
    <n v="402"/>
    <x v="117"/>
    <n v="1156560.21"/>
    <x v="11"/>
    <d v="2019-11-06T00:00:00"/>
    <n v="12.933333333333334"/>
    <d v="2037-06-15T00:00:00"/>
    <n v="211"/>
    <n v="198"/>
    <d v="2020-12-04T00:00:00"/>
    <s v="WOAT Fitness Holdings LLC and WOAT Calhoun LLC and WOAT Chatsworth LLC"/>
    <s v="Cookeville, TN 38501"/>
    <n v="38501"/>
    <x v="30"/>
    <x v="1"/>
    <s v="Q"/>
    <s v=""/>
    <s v=""/>
    <x v="2"/>
    <n v="0.03"/>
  </r>
  <r>
    <n v="310195.11"/>
    <n v="4065297010"/>
    <s v="Actual"/>
    <s v="Long Maturity"/>
    <n v="402"/>
    <x v="118"/>
    <n v="399838.75"/>
    <x v="39"/>
    <d v="2019-11-13T00:00:00"/>
    <n v="13.545205479452054"/>
    <d v="2044-12-15T00:00:00"/>
    <n v="301"/>
    <n v="288"/>
    <d v="2020-12-29T00:00:00"/>
    <s v="Sangeeta Liquors LLC &amp; Urvi Real Estate LLC"/>
    <s v="Vineland, NJ 08030"/>
    <n v="8030"/>
    <x v="13"/>
    <x v="51"/>
    <s v="Q"/>
    <s v=""/>
    <s v=""/>
    <x v="4"/>
    <n v="0.03"/>
  </r>
  <r>
    <n v="310217.11"/>
    <n v="4127967006"/>
    <s v="Actual"/>
    <s v="Long Maturity"/>
    <n v="402"/>
    <x v="119"/>
    <n v="2741696.85"/>
    <x v="4"/>
    <d v="2019-12-16T00:00:00"/>
    <n v="11.473972602739725"/>
    <d v="2045-01-15T00:00:00"/>
    <n v="301"/>
    <n v="289"/>
    <d v="2020-11-29T00:00:00"/>
    <s v="Steel City Hotels LLC"/>
    <s v="Pittsburgh, PA 15205"/>
    <n v="15205"/>
    <x v="11"/>
    <x v="20"/>
    <s v="Q"/>
    <s v=""/>
    <s v=""/>
    <x v="3"/>
    <n v="0.05"/>
  </r>
  <r>
    <n v="310374.11"/>
    <n v="4137357004"/>
    <s v="Actual"/>
    <s v="Long Maturity"/>
    <n v="402"/>
    <x v="120"/>
    <n v="3236998.5"/>
    <x v="13"/>
    <d v="2019-12-23T00:00:00"/>
    <n v="12.230136986301371"/>
    <d v="2045-01-15T00:00:00"/>
    <n v="301"/>
    <n v="289"/>
    <d v="2020-12-29T00:00:00"/>
    <s v="Mila Hospitality LLC"/>
    <s v="Brooklawn, NJ  08030"/>
    <n v="8030"/>
    <x v="13"/>
    <x v="20"/>
    <s v="Q"/>
    <s v=""/>
    <s v=""/>
    <x v="3"/>
    <n v="0.03"/>
  </r>
  <r>
    <n v="304917.11"/>
    <n v="9319985006"/>
    <s v="Actual"/>
    <s v="Long Maturity"/>
    <n v="402"/>
    <x v="121"/>
    <n v="1504892.61"/>
    <x v="40"/>
    <d v="2017-05-12T00:00:00"/>
    <n v="42.599999999999994"/>
    <d v="2043-06-15T00:00:00"/>
    <n v="313"/>
    <n v="270"/>
    <d v="2020-11-30T00:00:00"/>
    <s v="Molecular Pharmagroup LLC"/>
    <s v="New Providence, NJ 07974"/>
    <n v="7974"/>
    <x v="13"/>
    <x v="56"/>
    <s v="Q"/>
    <s v=""/>
    <s v=""/>
    <x v="2"/>
    <n v="0"/>
  </r>
  <r>
    <n v="308923.11"/>
    <n v="2719817001"/>
    <s v="Actual"/>
    <s v="Long Maturity"/>
    <n v="402"/>
    <x v="122"/>
    <n v="819722.47"/>
    <x v="3"/>
    <d v="2018-06-29T00:00:00"/>
    <n v="29.326027397260276"/>
    <d v="2044-03-15T00:00:00"/>
    <n v="309"/>
    <n v="279"/>
    <d v="2020-12-07T00:00:00"/>
    <s v="Tony's Breakfast Café LLC"/>
    <s v="Brookfield, IL 60513"/>
    <n v="60513"/>
    <x v="3"/>
    <x v="3"/>
    <s v="Q"/>
    <s v=""/>
    <s v=""/>
    <x v="1"/>
    <n v="0.01"/>
  </r>
  <r>
    <n v="309138.11"/>
    <n v="9704135005"/>
    <s v="Actual"/>
    <s v="Long Maturity"/>
    <n v="402"/>
    <x v="123"/>
    <n v="2047792.21"/>
    <x v="24"/>
    <d v="2017-09-11T00:00:00"/>
    <n v="38.794520547945204"/>
    <d v="2044-04-15T00:00:00"/>
    <n v="319"/>
    <n v="280"/>
    <d v="2020-12-04T00:00:00"/>
    <s v="V.E.M. Star, LLC and Lucky Pearl Restaurant, Inc."/>
    <s v="Anaheim, CA 92801"/>
    <n v="92801"/>
    <x v="10"/>
    <x v="3"/>
    <s v="Q"/>
    <s v=""/>
    <s v=""/>
    <x v="4"/>
    <n v="0"/>
  </r>
  <r>
    <n v="309940.11"/>
    <n v="3762137009"/>
    <s v="Actual"/>
    <s v="Long Maturity"/>
    <n v="402"/>
    <x v="124"/>
    <n v="845763.45"/>
    <x v="23"/>
    <d v="2019-06-14T00:00:00"/>
    <n v="18.566666666666666"/>
    <d v="2044-07-15T00:00:00"/>
    <n v="301"/>
    <n v="283"/>
    <d v="2021-01-01T00:00:00"/>
    <s v="Symposium of Tampa, LLC "/>
    <s v="Indian Shores, FL 33785"/>
    <n v="33785"/>
    <x v="1"/>
    <x v="51"/>
    <s v="Q"/>
    <s v=""/>
    <s v=""/>
    <x v="0"/>
    <n v="0.03"/>
  </r>
  <r>
    <n v="310753.11"/>
    <n v="4016987009"/>
    <s v="Actual"/>
    <s v="Long Maturity"/>
    <n v="402"/>
    <x v="125"/>
    <n v="1330645.24"/>
    <x v="5"/>
    <d v="2019-10-15T00:00:00"/>
    <n v="14.531506849315068"/>
    <d v="2044-11-15T00:00:00"/>
    <n v="301"/>
    <n v="287"/>
    <d v="2020-12-30T00:00:00"/>
    <s v="Bella Vista Wniery, LLC"/>
    <s v="Maryville, IL 62062"/>
    <n v="62062"/>
    <x v="3"/>
    <x v="14"/>
    <s v="Q"/>
    <s v=""/>
    <s v=""/>
    <x v="3"/>
    <n v="0.03"/>
  </r>
  <r>
    <n v="311620.11"/>
    <n v="3799827008"/>
    <s v="Actual"/>
    <s v="Long Maturity"/>
    <n v="402"/>
    <x v="126"/>
    <n v="3254036.56"/>
    <x v="19"/>
    <d v="2019-07-01T00:00:00"/>
    <n v="15.966666666666665"/>
    <d v="2045-07-15T00:00:00"/>
    <n v="312"/>
    <n v="295"/>
    <d v="2020-10-30T00:00:00"/>
    <s v="Taya Properties LLC"/>
    <s v="Carol Stream, IL 60188"/>
    <n v="60188"/>
    <x v="3"/>
    <x v="16"/>
    <s v="Q"/>
    <s v=""/>
    <s v=""/>
    <x v="4"/>
    <n v="0.03"/>
  </r>
  <r>
    <n v="311637.11"/>
    <n v="4284837006"/>
    <s v="Actual"/>
    <s v="Long Maturity"/>
    <n v="402"/>
    <x v="127"/>
    <n v="612744.27"/>
    <x v="19"/>
    <d v="2020-03-26T00:00:00"/>
    <n v="9.205479452054794"/>
    <d v="2045-04-15T00:00:00"/>
    <n v="301"/>
    <n v="292"/>
    <d v="2020-12-31T00:00:00"/>
    <s v="Law Investments LLC (Law Auto)"/>
    <s v="Portland, OR 97266"/>
    <n v="97266"/>
    <x v="21"/>
    <x v="21"/>
    <s v="Q"/>
    <s v=""/>
    <s v=""/>
    <x v="5"/>
    <n v="0.05"/>
  </r>
  <r>
    <n v="311685.11"/>
    <n v="3845367003"/>
    <s v="Actual"/>
    <s v="Long Maturity"/>
    <n v="402"/>
    <x v="128"/>
    <n v="1484770.74"/>
    <x v="19"/>
    <d v="2019-07-11T00:00:00"/>
    <n v="17.720547945205482"/>
    <d v="2044-08-15T00:00:00"/>
    <n v="301"/>
    <n v="284"/>
    <d v="2020-12-31T00:00:00"/>
    <s v="Redpoint Realty"/>
    <s v="Buena Park, CA 90621"/>
    <n v="90621"/>
    <x v="10"/>
    <x v="57"/>
    <s v="Q"/>
    <s v=""/>
    <s v=""/>
    <x v="7"/>
    <n v="0.03"/>
  </r>
  <r>
    <n v="312266.11"/>
    <n v="3945167010"/>
    <s v="Actual"/>
    <s v="Long Maturity"/>
    <n v="402"/>
    <x v="129"/>
    <n v="3693547.23"/>
    <x v="11"/>
    <d v="2019-10-23T00:00:00"/>
    <n v="13.233333333333334"/>
    <d v="2044-11-15T00:00:00"/>
    <n v="301"/>
    <n v="287"/>
    <d v="2020-11-30T00:00:00"/>
    <s v="General Auto Recycling Inc."/>
    <s v="Tiverton, RI 02878"/>
    <n v="2878"/>
    <x v="31"/>
    <x v="58"/>
    <s v="Q"/>
    <s v=""/>
    <s v=""/>
    <x v="1"/>
    <n v="0.03"/>
  </r>
  <r>
    <n v="312431.11"/>
    <n v="3453567201"/>
    <s v="Actual"/>
    <s v="Long Maturity"/>
    <n v="402"/>
    <x v="130"/>
    <n v="345440.84"/>
    <x v="16"/>
    <d v="2020-06-08T00:00:00"/>
    <n v="5.7333333333333334"/>
    <d v="2034-07-15T00:00:00"/>
    <n v="169"/>
    <n v="163"/>
    <d v="2020-11-30T00:00:00"/>
    <s v="THM LLC                                 "/>
    <s v="Phillipsburg, NJ 08865"/>
    <n v="8865"/>
    <x v="13"/>
    <x v="59"/>
    <s v="Q"/>
    <s v=""/>
    <s v=""/>
    <x v="2"/>
    <n v="0"/>
  </r>
  <r>
    <n v="304074.11"/>
    <n v="9909185002"/>
    <s v="Actual"/>
    <s v="Long Maturity"/>
    <n v="402"/>
    <x v="131"/>
    <n v="129251"/>
    <x v="41"/>
    <d v="2017-10-13T00:00:00"/>
    <n v="37.610958904109587"/>
    <d v="2042-11-15T00:00:00"/>
    <n v="301"/>
    <n v="263"/>
    <d v="2020-11-30T00:00:00"/>
    <s v="JJ &amp; Miko, LLC"/>
    <s v="San Mateo, CA 94403"/>
    <n v="94403"/>
    <x v="10"/>
    <x v="60"/>
    <s v="Q"/>
    <s v=""/>
    <s v=""/>
    <x v="7"/>
    <n v="0"/>
  </r>
  <r>
    <n v="304530.11"/>
    <n v="9390355008"/>
    <s v="Actual"/>
    <s v="Long Maturity"/>
    <n v="402"/>
    <x v="132"/>
    <n v="620537.85"/>
    <x v="22"/>
    <d v="2017-08-22T00:00:00"/>
    <n v="40.339726027397262"/>
    <d v="2037-09-15T00:00:00"/>
    <n v="241"/>
    <n v="201"/>
    <d v="2020-12-31T00:00:00"/>
    <s v="Ray and Deborah Pikulski, LLC"/>
    <s v="Cypress, TX 77429"/>
    <n v="77429"/>
    <x v="0"/>
    <x v="3"/>
    <s v="Q"/>
    <s v=""/>
    <s v=""/>
    <x v="3"/>
    <n v="0"/>
  </r>
  <r>
    <n v="308413.11"/>
    <n v="2954237004"/>
    <s v="Actual"/>
    <s v="Long Maturity"/>
    <n v="402"/>
    <x v="133"/>
    <n v="471868.46"/>
    <x v="42"/>
    <d v="2018-10-26T00:00:00"/>
    <n v="25.150684931506849"/>
    <d v="2043-11-15T00:00:00"/>
    <n v="301"/>
    <n v="275"/>
    <d v="2020-11-29T00:00:00"/>
    <s v="Cueva Contract Inc"/>
    <s v="Syracuse, NY 13210"/>
    <n v="13210"/>
    <x v="16"/>
    <x v="61"/>
    <s v="Q"/>
    <s v=""/>
    <s v=""/>
    <x v="8"/>
    <n v="0.01"/>
  </r>
  <r>
    <n v="308926.11"/>
    <n v="2951277010"/>
    <s v="Actual"/>
    <s v="Long Maturity"/>
    <n v="402"/>
    <x v="134"/>
    <n v="975931.1"/>
    <x v="25"/>
    <d v="2018-10-29T00:00:00"/>
    <n v="25.347945205479455"/>
    <d v="2043-11-15T00:00:00"/>
    <n v="301"/>
    <n v="275"/>
    <d v="2020-12-08T00:00:00"/>
    <s v="Haslet Elite Learning Center, LLC."/>
    <s v="Haslet, OK 76052"/>
    <n v="76052"/>
    <x v="32"/>
    <x v="0"/>
    <s v="Q"/>
    <s v=""/>
    <s v=""/>
    <x v="0"/>
    <n v="0.01"/>
  </r>
  <r>
    <n v="309465.11"/>
    <n v="3949607008"/>
    <s v="Actual"/>
    <s v="Long Maturity"/>
    <n v="402"/>
    <x v="135"/>
    <n v="184020.35"/>
    <x v="18"/>
    <d v="2019-09-12T00:00:00"/>
    <n v="15.64931506849315"/>
    <d v="2044-10-15T00:00:00"/>
    <n v="301"/>
    <n v="286"/>
    <d v="2020-12-31T00:00:00"/>
    <s v="Lam Hoang Tran and Hien Thi Ngo dba Drippy Car Wash"/>
    <s v="Houston,TX 77031"/>
    <n v="77031"/>
    <x v="0"/>
    <x v="16"/>
    <s v="Q"/>
    <s v=""/>
    <s v=""/>
    <x v="3"/>
    <n v="0.03"/>
  </r>
  <r>
    <n v="309789.11"/>
    <n v="4029047008"/>
    <s v="Actual"/>
    <s v="Long Maturity"/>
    <n v="402"/>
    <x v="136"/>
    <n v="181203.43"/>
    <x v="23"/>
    <d v="2019-11-01T00:00:00"/>
    <n v="12.953424657534246"/>
    <d v="2044-12-15T00:00:00"/>
    <n v="301"/>
    <n v="288"/>
    <d v="2020-11-29T00:00:00"/>
    <s v="E&amp;J Transportation Inc"/>
    <s v="Pasadena, TX 77505"/>
    <n v="77505"/>
    <x v="0"/>
    <x v="62"/>
    <s v="Q"/>
    <s v=""/>
    <s v=""/>
    <x v="2"/>
    <n v="0.03"/>
  </r>
  <r>
    <n v="309870.11"/>
    <n v="3979757008"/>
    <s v="Actual"/>
    <s v="Long Maturity"/>
    <n v="402"/>
    <x v="137"/>
    <n v="171586.03"/>
    <x v="23"/>
    <d v="2019-11-12T00:00:00"/>
    <n v="12.624657534246573"/>
    <d v="2044-12-15T00:00:00"/>
    <n v="301"/>
    <n v="288"/>
    <d v="2020-11-30T00:00:00"/>
    <s v="HSDB, LLC DBA Heebner Meats and HSDL, LLC"/>
    <s v="Harleysville, PA 19438"/>
    <n v="19438"/>
    <x v="11"/>
    <x v="63"/>
    <s v="Q"/>
    <s v=""/>
    <s v=""/>
    <x v="2"/>
    <n v="0.03"/>
  </r>
  <r>
    <n v="309962.11"/>
    <n v="4099587001"/>
    <s v="Actual"/>
    <s v="Long Maturity"/>
    <n v="402"/>
    <x v="138"/>
    <n v="1020593.13"/>
    <x v="4"/>
    <d v="2019-11-25T00:00:00"/>
    <n v="13.216438356164382"/>
    <d v="2044-12-15T00:00:00"/>
    <n v="301"/>
    <n v="288"/>
    <d v="2020-12-31T00:00:00"/>
    <s v="Dhani Group LLC dba Regency Inn"/>
    <s v="Houston, TX 77083"/>
    <n v="77083"/>
    <x v="0"/>
    <x v="20"/>
    <s v="Q"/>
    <s v=""/>
    <s v=""/>
    <x v="5"/>
    <n v="0.03"/>
  </r>
  <r>
    <n v="310648.11"/>
    <n v="4174967009"/>
    <s v="Actual"/>
    <s v="Long Maturity"/>
    <n v="402"/>
    <x v="139"/>
    <n v="1455633.04"/>
    <x v="18"/>
    <d v="2020-01-30T00:00:00"/>
    <n v="10.06027397260274"/>
    <d v="2045-02-15T00:00:00"/>
    <n v="301"/>
    <n v="290"/>
    <d v="2020-12-01T00:00:00"/>
    <s v="Brighton Golf Partners LLC"/>
    <s v="Riverview, FL 33579"/>
    <n v="33579"/>
    <x v="1"/>
    <x v="45"/>
    <s v="Q"/>
    <s v=""/>
    <s v=""/>
    <x v="2"/>
    <n v="0.05"/>
  </r>
  <r>
    <n v="310872.11"/>
    <n v="4196567008"/>
    <s v="Actual"/>
    <s v="Long Maturity"/>
    <n v="402"/>
    <x v="140"/>
    <n v="1344504.98"/>
    <x v="13"/>
    <d v="2020-01-23T00:00:00"/>
    <n v="10.224657534246576"/>
    <d v="2045-02-15T00:00:00"/>
    <n v="301"/>
    <n v="290"/>
    <d v="2020-11-29T00:00:00"/>
    <s v="Co Weekly LLC dba Weekly Inn"/>
    <s v="Lakewood, CO 80214"/>
    <n v="80214"/>
    <x v="33"/>
    <x v="20"/>
    <s v="Q"/>
    <s v=""/>
    <s v=""/>
    <x v="6"/>
    <n v="0.05"/>
  </r>
  <r>
    <n v="303871.11"/>
    <n v="9414625001"/>
    <s v="Actual"/>
    <s v="Long Maturity"/>
    <n v="402"/>
    <x v="141"/>
    <n v="980364.6"/>
    <x v="43"/>
    <d v="2017-04-14T00:00:00"/>
    <n v="43.566666666666663"/>
    <d v="2037-05-15T00:00:00"/>
    <n v="241"/>
    <n v="197"/>
    <d v="2020-12-01T00:00:00"/>
    <s v="Orlando Preowned LLC &amp; AMB Property Management LLC"/>
    <s v="Orlando, FL 32808"/>
    <n v="32808"/>
    <x v="1"/>
    <x v="21"/>
    <s v="Q"/>
    <s v=""/>
    <s v=""/>
    <x v="2"/>
    <n v="0"/>
  </r>
  <r>
    <n v="304331.11"/>
    <n v="9514815007"/>
    <s v="Actual"/>
    <s v="Long Maturity"/>
    <n v="402"/>
    <x v="142"/>
    <n v="1968551.46"/>
    <x v="8"/>
    <d v="2017-06-09T00:00:00"/>
    <n v="41.786301369863011"/>
    <d v="2039-07-15T00:00:00"/>
    <n v="265"/>
    <n v="223"/>
    <d v="2020-12-01T00:00:00"/>
    <s v="KK USA Properties LLC and KK USA Chevron Inc dba Holcomb Chevron Food "/>
    <s v="Alpharetta, GA  30022"/>
    <n v="30022"/>
    <x v="2"/>
    <x v="4"/>
    <s v="Q"/>
    <s v=""/>
    <s v=""/>
    <x v="5"/>
    <n v="0"/>
  </r>
  <r>
    <n v="305279.11"/>
    <n v="9378855002"/>
    <s v="Actual"/>
    <s v="Long Maturity"/>
    <n v="402"/>
    <x v="143"/>
    <n v="243576.95999999999"/>
    <x v="37"/>
    <d v="2017-04-20T00:00:00"/>
    <n v="43.43013698630137"/>
    <d v="2037-05-15T00:00:00"/>
    <n v="241"/>
    <n v="197"/>
    <d v="2020-12-01T00:00:00"/>
    <s v="Airus Inc."/>
    <s v="Tampla, FL 33610"/>
    <n v="33610"/>
    <x v="1"/>
    <x v="64"/>
    <s v="Q"/>
    <s v=""/>
    <s v=""/>
    <x v="5"/>
    <n v="0"/>
  </r>
  <r>
    <n v="305282.11"/>
    <n v="9702945008"/>
    <s v="Actual"/>
    <s v="Long Maturity"/>
    <n v="402"/>
    <x v="144"/>
    <n v="1253156.24"/>
    <x v="37"/>
    <d v="2017-09-28T00:00:00"/>
    <n v="38.136986301369859"/>
    <d v="2037-10-15T00:00:00"/>
    <n v="241"/>
    <n v="202"/>
    <d v="2020-12-01T00:00:00"/>
    <s v="Ashar Properties LLC and Ashar Enterprises USA Inc"/>
    <s v="Decatur, GA 30035"/>
    <n v="30035"/>
    <x v="2"/>
    <x v="4"/>
    <s v="Q"/>
    <s v=""/>
    <s v=""/>
    <x v="5"/>
    <n v="0"/>
  </r>
  <r>
    <n v="306883.11"/>
    <n v="9566785002"/>
    <s v="Actual"/>
    <s v="Long Maturity"/>
    <n v="402"/>
    <x v="145"/>
    <n v="1588545.88"/>
    <x v="36"/>
    <d v="2017-08-24T00:00:00"/>
    <n v="39.254794520547946"/>
    <d v="2042-09-15T00:00:00"/>
    <n v="301"/>
    <n v="261"/>
    <d v="2020-11-30T00:00:00"/>
    <s v="MHM Hotels, Inc."/>
    <s v="Houston, TX 77040"/>
    <n v="77040"/>
    <x v="0"/>
    <x v="20"/>
    <s v="Q"/>
    <s v=""/>
    <s v=""/>
    <x v="3"/>
    <n v="0"/>
  </r>
  <r>
    <n v="306944.11"/>
    <n v="3145427007"/>
    <s v="Actual"/>
    <s v="Long Maturity"/>
    <n v="402"/>
    <x v="146"/>
    <n v="35347.1"/>
    <x v="18"/>
    <d v="2018-11-07T00:00:00"/>
    <n v="24.821917808219176"/>
    <d v="2043-12-15T00:00:00"/>
    <n v="301"/>
    <n v="276"/>
    <d v="2020-12-01T00:00:00"/>
    <s v="2023 West LLC"/>
    <s v="Duluth, MN 55806"/>
    <n v="55806"/>
    <x v="24"/>
    <x v="65"/>
    <s v="Q"/>
    <s v=""/>
    <s v=""/>
    <x v="1"/>
    <n v="0.01"/>
  </r>
  <r>
    <n v="307408.11"/>
    <n v="2907707000"/>
    <s v="Actual"/>
    <s v="Long Maturity"/>
    <n v="402"/>
    <x v="147"/>
    <n v="161951.64000000001"/>
    <x v="18"/>
    <d v="2018-12-13T00:00:00"/>
    <n v="23.599999999999998"/>
    <d v="2044-02-15T00:00:00"/>
    <n v="302"/>
    <n v="278"/>
    <d v="2020-12-01T00:00:00"/>
    <s v="Mustard Seed Development, Inc. dba Grace Academy"/>
    <s v="Ludowici, GA 31316"/>
    <n v="31316"/>
    <x v="2"/>
    <x v="0"/>
    <s v="Q"/>
    <s v=""/>
    <s v=""/>
    <x v="1"/>
    <n v="0.03"/>
  </r>
  <r>
    <n v="308164.11"/>
    <n v="9543095004"/>
    <s v="Actual"/>
    <s v="Long Maturity"/>
    <n v="402"/>
    <x v="148"/>
    <n v="1339981.1299999999"/>
    <x v="44"/>
    <d v="2017-08-25T00:00:00"/>
    <n v="39.254794520547946"/>
    <d v="2042-09-15T00:00:00"/>
    <n v="301"/>
    <n v="261"/>
    <d v="2020-12-01T00:00:00"/>
    <s v="Vuong Management Corporation and Vuong Dim Sum Corporation"/>
    <s v="Doraville, GA  30340"/>
    <n v="30340"/>
    <x v="2"/>
    <x v="55"/>
    <s v="Q"/>
    <s v=""/>
    <s v=""/>
    <x v="7"/>
    <n v="0"/>
  </r>
  <r>
    <n v="308551.11"/>
    <n v="9634305001"/>
    <s v="Actual"/>
    <s v="Long Maturity"/>
    <n v="402"/>
    <x v="149"/>
    <n v="1459933.36"/>
    <x v="37"/>
    <d v="2017-07-28T00:00:00"/>
    <n v="40.1"/>
    <d v="2043-06-15T00:00:00"/>
    <n v="311"/>
    <n v="270"/>
    <d v="2020-12-01T00:00:00"/>
    <s v="Nottoway, LLC"/>
    <s v="Acworth, GA 30102"/>
    <n v="30102"/>
    <x v="2"/>
    <x v="66"/>
    <s v="Q"/>
    <s v=""/>
    <s v=""/>
    <x v="3"/>
    <n v="0"/>
  </r>
  <r>
    <n v="308684.11"/>
    <n v="3688707004"/>
    <s v="Actual"/>
    <s v="Long Maturity"/>
    <n v="402"/>
    <x v="150"/>
    <n v="205006.86"/>
    <x v="11"/>
    <d v="2019-05-07T00:00:00"/>
    <n v="19.06849315068493"/>
    <d v="2044-06-15T00:00:00"/>
    <n v="301"/>
    <n v="282"/>
    <d v="2020-12-07T00:00:00"/>
    <s v="One Round At A Time LLC dba Dominics NY Pizza"/>
    <s v="Ball Ground, GA 30107"/>
    <n v="30107"/>
    <x v="2"/>
    <x v="67"/>
    <s v="Q"/>
    <s v=""/>
    <s v=""/>
    <x v="2"/>
    <n v="0.03"/>
  </r>
  <r>
    <n v="308851.11"/>
    <n v="2303847006"/>
    <s v="Actual"/>
    <s v="Long Maturity"/>
    <n v="402"/>
    <x v="151"/>
    <n v="3675199.22"/>
    <x v="11"/>
    <d v="2018-05-11T00:00:00"/>
    <n v="30.706849315068492"/>
    <d v="2044-06-15T00:00:00"/>
    <n v="313"/>
    <n v="282"/>
    <d v="2020-11-30T00:00:00"/>
    <s v="Jay Mahadev, LLC"/>
    <s v="Denver, PA  17517"/>
    <n v="17517"/>
    <x v="11"/>
    <x v="20"/>
    <s v="Q"/>
    <s v=""/>
    <s v=""/>
    <x v="3"/>
    <n v="0.01"/>
  </r>
  <r>
    <n v="308857.11"/>
    <n v="3073567003"/>
    <s v="Actual"/>
    <s v="Long Maturity"/>
    <n v="402"/>
    <x v="152"/>
    <n v="3592930.87"/>
    <x v="13"/>
    <d v="2018-10-24T00:00:00"/>
    <n v="25.282191780821918"/>
    <d v="2043-11-15T00:00:00"/>
    <n v="301"/>
    <n v="275"/>
    <d v="2020-12-01T00:00:00"/>
    <s v="MVNS Hospitality Group, Inc."/>
    <s v="Ontario, CA  91761"/>
    <n v="91761"/>
    <x v="10"/>
    <x v="20"/>
    <s v="Q"/>
    <s v=""/>
    <s v=""/>
    <x v="5"/>
    <n v="0.01"/>
  </r>
  <r>
    <n v="308902.11"/>
    <n v="3706237010"/>
    <s v="Actual"/>
    <s v="Long Maturity"/>
    <n v="402"/>
    <x v="153"/>
    <n v="234308.81"/>
    <x v="15"/>
    <d v="2019-06-25T00:00:00"/>
    <n v="17.260273972602739"/>
    <d v="2044-07-15T00:00:00"/>
    <n v="301"/>
    <n v="283"/>
    <d v="2020-12-01T00:00:00"/>
    <s v="Bene Holding, LLC"/>
    <s v="Jacksonville, FL 32254"/>
    <n v="32254"/>
    <x v="1"/>
    <x v="68"/>
    <s v="Q"/>
    <s v=""/>
    <s v=""/>
    <x v="1"/>
    <n v="0.03"/>
  </r>
  <r>
    <n v="308921.11"/>
    <n v="3756897007"/>
    <s v="Actual"/>
    <s v="Long Maturity"/>
    <n v="402"/>
    <x v="154"/>
    <n v="114331.6"/>
    <x v="45"/>
    <d v="2019-07-08T00:00:00"/>
    <n v="16.766666666666666"/>
    <d v="2044-08-15T00:00:00"/>
    <n v="301"/>
    <n v="284"/>
    <d v="2020-12-01T00:00:00"/>
    <s v="A Tree 4 Me LLC "/>
    <s v="Sebastian, FL 32958"/>
    <n v="32958"/>
    <x v="1"/>
    <x v="69"/>
    <s v="Q"/>
    <s v=""/>
    <s v=""/>
    <x v="2"/>
    <n v="0.03"/>
  </r>
  <r>
    <n v="308954.11"/>
    <n v="3545707007"/>
    <s v="Actual"/>
    <s v="Long Maturity"/>
    <n v="402"/>
    <x v="155"/>
    <n v="513984.14"/>
    <x v="10"/>
    <d v="2019-04-15T00:00:00"/>
    <n v="19.56164383561644"/>
    <d v="2044-05-15T00:00:00"/>
    <n v="301"/>
    <n v="281"/>
    <d v="2020-11-30T00:00:00"/>
    <s v="Jbauer Holdings LLC"/>
    <s v="New Berlin, WI 53151"/>
    <n v="53151"/>
    <x v="15"/>
    <x v="70"/>
    <s v="Q"/>
    <s v=""/>
    <s v=""/>
    <x v="1"/>
    <n v="0.03"/>
  </r>
  <r>
    <n v="309110.11"/>
    <n v="3824527004"/>
    <s v="Actual"/>
    <s v="Long Maturity"/>
    <n v="402"/>
    <x v="156"/>
    <n v="775460.86"/>
    <x v="13"/>
    <d v="2019-08-06T00:00:00"/>
    <n v="15.846575342465751"/>
    <d v="2044-09-15T00:00:00"/>
    <n v="301"/>
    <n v="285"/>
    <d v="2020-11-30T00:00:00"/>
    <s v="OM2588 Inc."/>
    <s v="Atlanta, GA 30316"/>
    <n v="30316"/>
    <x v="2"/>
    <x v="4"/>
    <s v="Q"/>
    <s v=""/>
    <s v=""/>
    <x v="5"/>
    <n v="0.03"/>
  </r>
  <r>
    <n v="309130.11"/>
    <n v="3889807006"/>
    <s v="Actual"/>
    <s v="Long Maturity"/>
    <n v="402"/>
    <x v="157"/>
    <n v="1632668.85"/>
    <x v="11"/>
    <d v="2019-08-05T00:00:00"/>
    <n v="15.87945205479452"/>
    <d v="2044-09-15T00:00:00"/>
    <n v="301"/>
    <n v="285"/>
    <d v="2020-11-30T00:00:00"/>
    <s v="The Reign Company LLC and Liberty Electric Inc"/>
    <s v="West Jordan, UT 84088"/>
    <n v="84088"/>
    <x v="34"/>
    <x v="71"/>
    <s v="Q"/>
    <s v=""/>
    <s v=""/>
    <x v="2"/>
    <n v="0.03"/>
  </r>
  <r>
    <n v="309187.11"/>
    <n v="3902427005"/>
    <s v="Actual"/>
    <s v="Long Maturity"/>
    <n v="402"/>
    <x v="158"/>
    <n v="281801.78000000003"/>
    <x v="13"/>
    <d v="2019-08-13T00:00:00"/>
    <n v="15.616438356164384"/>
    <d v="2044-09-15T00:00:00"/>
    <n v="301"/>
    <n v="285"/>
    <d v="2020-11-30T00:00:00"/>
    <s v="The Right Choice Mortgage, LLC"/>
    <s v="Hammond, LA 70401"/>
    <n v="70401"/>
    <x v="20"/>
    <x v="57"/>
    <s v="Q"/>
    <s v=""/>
    <s v=""/>
    <x v="5"/>
    <n v="0.03"/>
  </r>
  <r>
    <n v="309253.11"/>
    <n v="3877337010"/>
    <s v="Actual"/>
    <s v="Long Maturity"/>
    <n v="402"/>
    <x v="159"/>
    <n v="2179192.8199999998"/>
    <x v="18"/>
    <d v="2019-08-07T00:00:00"/>
    <n v="15.846575342465751"/>
    <d v="2044-09-15T00:00:00"/>
    <n v="301"/>
    <n v="285"/>
    <d v="2020-12-01T00:00:00"/>
    <s v="California Inn"/>
    <s v="Salinas, CA 93901"/>
    <n v="93901"/>
    <x v="10"/>
    <x v="20"/>
    <s v="Q"/>
    <s v=""/>
    <s v=""/>
    <x v="3"/>
    <n v="0.03"/>
  </r>
  <r>
    <n v="309302.11"/>
    <n v="3233447002"/>
    <s v="Actual"/>
    <s v="Long Maturity"/>
    <n v="402"/>
    <x v="160"/>
    <n v="509553.04"/>
    <x v="15"/>
    <d v="2018-11-26T00:00:00"/>
    <n v="24.197260273972603"/>
    <d v="2043-12-15T00:00:00"/>
    <n v="301"/>
    <n v="276"/>
    <d v="2020-12-01T00:00:00"/>
    <s v="West Chester Campbell Real Estate Holdings LLC (EPC)"/>
    <s v="West Chester Township, OH 45069"/>
    <n v="45069"/>
    <x v="9"/>
    <x v="6"/>
    <s v="Q"/>
    <s v=""/>
    <s v=""/>
    <x v="1"/>
    <n v="0.01"/>
  </r>
  <r>
    <n v="309363.11"/>
    <n v="2694027003"/>
    <s v="Actual"/>
    <s v="Long Maturity"/>
    <n v="402"/>
    <x v="161"/>
    <n v="1074454.93"/>
    <x v="3"/>
    <d v="2018-06-29T00:00:00"/>
    <n v="29.066666666666663"/>
    <d v="2044-06-15T00:00:00"/>
    <n v="312"/>
    <n v="282"/>
    <d v="2020-12-01T00:00:00"/>
    <s v="Bio-Haz Solutions, Inc. "/>
    <s v="Nesquehoning, PA 18240"/>
    <n v="18240"/>
    <x v="11"/>
    <x v="72"/>
    <s v="Q"/>
    <s v=""/>
    <s v=""/>
    <x v="1"/>
    <n v="0.01"/>
  </r>
  <r>
    <n v="309364.11"/>
    <n v="3857057001"/>
    <s v="Actual"/>
    <s v="Long Maturity"/>
    <n v="402"/>
    <x v="162"/>
    <n v="135430.18"/>
    <x v="15"/>
    <d v="2019-08-27T00:00:00"/>
    <n v="15.133333333333333"/>
    <d v="2044-09-15T00:00:00"/>
    <n v="301"/>
    <n v="285"/>
    <d v="2020-12-01T00:00:00"/>
    <s v="Maryland Urgent Care Inc."/>
    <s v="Lanham, MD 20706"/>
    <n v="20706"/>
    <x v="19"/>
    <x v="73"/>
    <s v="Q"/>
    <s v=""/>
    <s v=""/>
    <x v="1"/>
    <n v="0.03"/>
  </r>
  <r>
    <n v="309467.11"/>
    <n v="3175747010"/>
    <s v="Actual"/>
    <s v="Long Maturity"/>
    <n v="402"/>
    <x v="163"/>
    <n v="2187090.59"/>
    <x v="46"/>
    <d v="2018-12-07T00:00:00"/>
    <n v="23.835616438356162"/>
    <d v="2044-01-15T00:00:00"/>
    <n v="301"/>
    <n v="277"/>
    <d v="2020-12-01T00:00:00"/>
    <s v="Milli Investment, LLC and Lake City International Farmers Market, LLC"/>
    <s v="Lake City, GA  30260"/>
    <n v="30260"/>
    <x v="2"/>
    <x v="74"/>
    <s v="Q"/>
    <s v=""/>
    <s v=""/>
    <x v="7"/>
    <n v="0.03"/>
  </r>
  <r>
    <n v="309490.11"/>
    <n v="3733687000"/>
    <s v="Actual"/>
    <s v="Long Maturity"/>
    <n v="402"/>
    <x v="164"/>
    <n v="125168.08"/>
    <x v="47"/>
    <d v="2019-06-03T00:00:00"/>
    <n v="17.983561643835614"/>
    <d v="2045-01-15T00:00:00"/>
    <n v="307"/>
    <n v="289"/>
    <d v="2020-12-01T00:00:00"/>
    <s v="The Munchy Machine LLC"/>
    <s v="Trainor, PA 19026"/>
    <n v="19026"/>
    <x v="11"/>
    <x v="23"/>
    <s v="Q"/>
    <s v=""/>
    <s v=""/>
    <x v="1"/>
    <n v="0.03"/>
  </r>
  <r>
    <n v="309550.11"/>
    <n v="2672657003"/>
    <s v="Actual"/>
    <s v="Long Maturity"/>
    <n v="402"/>
    <x v="165"/>
    <n v="755151.58"/>
    <x v="3"/>
    <d v="2018-08-02T00:00:00"/>
    <n v="27.933333333333337"/>
    <d v="2044-12-15T00:00:00"/>
    <n v="316"/>
    <n v="288"/>
    <d v="2020-11-30T00:00:00"/>
    <s v="Quaker Acres Suites LLC"/>
    <s v="Arvada, CO 80007"/>
    <n v="80007"/>
    <x v="33"/>
    <x v="15"/>
    <s v="Q"/>
    <s v=""/>
    <s v=""/>
    <x v="1"/>
    <n v="0.01"/>
  </r>
  <r>
    <n v="309754.11"/>
    <n v="3881147004"/>
    <s v="Actual"/>
    <s v="Long Maturity"/>
    <n v="402"/>
    <x v="166"/>
    <n v="1737977.26"/>
    <x v="19"/>
    <d v="2019-08-23T00:00:00"/>
    <n v="15.287671232876711"/>
    <d v="2044-09-15T00:00:00"/>
    <n v="301"/>
    <n v="285"/>
    <d v="2020-11-30T00:00:00"/>
    <s v="Yogiraj Mahantraj LLC"/>
    <s v="Victoria, TX 77904"/>
    <n v="77904"/>
    <x v="0"/>
    <x v="20"/>
    <s v="Q"/>
    <s v=""/>
    <s v=""/>
    <x v="6"/>
    <n v="0.03"/>
  </r>
  <r>
    <n v="309848.11"/>
    <n v="3987167008"/>
    <s v="Actual"/>
    <s v="Long Maturity"/>
    <n v="402"/>
    <x v="167"/>
    <n v="344441.94"/>
    <x v="2"/>
    <d v="2019-10-31T00:00:00"/>
    <n v="13.033333333333331"/>
    <d v="2044-11-15T00:00:00"/>
    <n v="301"/>
    <n v="287"/>
    <d v="2020-12-01T00:00:00"/>
    <s v="Fave Realty Inc."/>
    <s v="Jamaica, NY 11429"/>
    <n v="11429"/>
    <x v="16"/>
    <x v="22"/>
    <s v="Q"/>
    <s v=""/>
    <s v=""/>
    <x v="1"/>
    <n v="0.03"/>
  </r>
  <r>
    <n v="309849.11"/>
    <n v="4007377001"/>
    <s v="Actual"/>
    <s v="Long Maturity"/>
    <n v="402"/>
    <x v="168"/>
    <n v="147388.96"/>
    <x v="47"/>
    <d v="2019-11-08T00:00:00"/>
    <n v="12.766666666666666"/>
    <d v="2044-12-15T00:00:00"/>
    <n v="301"/>
    <n v="288"/>
    <d v="2020-12-01T00:00:00"/>
    <s v="East River Plumbing LLC"/>
    <s v="Priest River, ID 83856"/>
    <n v="83856"/>
    <x v="17"/>
    <x v="64"/>
    <s v="Q"/>
    <s v=""/>
    <s v=""/>
    <x v="1"/>
    <n v="0.03"/>
  </r>
  <r>
    <n v="309878.11"/>
    <n v="4081687009"/>
    <s v="Actual"/>
    <s v="Long Maturity"/>
    <n v="402"/>
    <x v="169"/>
    <n v="184191.45"/>
    <x v="47"/>
    <d v="2019-11-12T00:00:00"/>
    <n v="12.633333333333333"/>
    <d v="2044-12-15T00:00:00"/>
    <n v="301"/>
    <n v="288"/>
    <d v="2020-12-01T00:00:00"/>
    <s v="Steven French dba French Woodworking"/>
    <s v="Fairfield, CA 94533"/>
    <n v="94533"/>
    <x v="10"/>
    <x v="75"/>
    <s v="Q"/>
    <s v=""/>
    <s v=""/>
    <x v="1"/>
    <n v="0.03"/>
  </r>
  <r>
    <n v="309903.11"/>
    <n v="3994547002"/>
    <s v="Actual"/>
    <s v="Long Maturity"/>
    <n v="402"/>
    <x v="170"/>
    <n v="883887.21"/>
    <x v="4"/>
    <d v="2019-11-05T00:00:00"/>
    <n v="12.833333333333332"/>
    <d v="2044-12-15T00:00:00"/>
    <n v="301"/>
    <n v="288"/>
    <d v="2020-11-30T00:00:00"/>
    <s v="Eston Auto Center LLC and Eston Auto Limited Liability Company"/>
    <s v="Union, NJ 07083"/>
    <n v="7083"/>
    <x v="13"/>
    <x v="21"/>
    <s v="Q"/>
    <s v=""/>
    <s v=""/>
    <x v="2"/>
    <n v="0.03"/>
  </r>
  <r>
    <n v="309984.11"/>
    <n v="2979937009"/>
    <s v="Actual"/>
    <s v="Long Maturity"/>
    <n v="402"/>
    <x v="171"/>
    <n v="567299.30000000005"/>
    <x v="19"/>
    <d v="2018-11-02T00:00:00"/>
    <n v="24.986301369863014"/>
    <d v="2043-12-15T00:00:00"/>
    <n v="301"/>
    <n v="276"/>
    <d v="2020-12-01T00:00:00"/>
    <s v="Ko &amp; Yun LLP"/>
    <s v="Auburn, AL 36830"/>
    <n v="36830"/>
    <x v="35"/>
    <x v="60"/>
    <s v="Q"/>
    <s v=""/>
    <s v=""/>
    <x v="7"/>
    <n v="0.01"/>
  </r>
  <r>
    <n v="309985.11"/>
    <n v="4083377003"/>
    <s v="Actual"/>
    <s v="Long Maturity"/>
    <n v="402"/>
    <x v="172"/>
    <n v="1671055.53"/>
    <x v="19"/>
    <d v="2019-11-14T00:00:00"/>
    <n v="12.591780821917808"/>
    <d v="2044-12-15T00:00:00"/>
    <n v="301"/>
    <n v="288"/>
    <d v="2020-12-01T00:00:00"/>
    <s v="Hawthorn Suites By Wyndham, Augusta"/>
    <s v="Augusta, GA 30909"/>
    <n v="30909"/>
    <x v="2"/>
    <x v="20"/>
    <s v="Q"/>
    <s v=""/>
    <s v=""/>
    <x v="7"/>
    <n v="0.03"/>
  </r>
  <r>
    <n v="310005.11"/>
    <n v="3491077001"/>
    <s v="Actual"/>
    <s v="Long Maturity"/>
    <n v="402"/>
    <x v="173"/>
    <n v="369353.07"/>
    <x v="2"/>
    <d v="2019-06-27T00:00:00"/>
    <n v="17.161643835616438"/>
    <d v="2044-10-15T00:00:00"/>
    <n v="304"/>
    <n v="286"/>
    <d v="2020-11-30T00:00:00"/>
    <s v="Vetorious LLC"/>
    <s v="Atlanta, GA 30311"/>
    <n v="30311"/>
    <x v="2"/>
    <x v="30"/>
    <s v="Q"/>
    <s v=""/>
    <s v=""/>
    <x v="1"/>
    <n v="0.03"/>
  </r>
  <r>
    <n v="310133.11"/>
    <n v="4125247009"/>
    <s v="Actual"/>
    <s v="Long Maturity"/>
    <n v="402"/>
    <x v="174"/>
    <n v="115077"/>
    <x v="2"/>
    <d v="2019-12-10T00:00:00"/>
    <n v="11.7"/>
    <d v="2045-01-15T00:00:00"/>
    <n v="301"/>
    <n v="289"/>
    <d v="2020-12-01T00:00:00"/>
    <s v="Helping Hands Group Daycare dba Dawn to Dusk Learning &amp; Child Care LLC"/>
    <s v="Tremont, PA 17981"/>
    <n v="17981"/>
    <x v="11"/>
    <x v="0"/>
    <s v="Q"/>
    <s v=""/>
    <s v=""/>
    <x v="1"/>
    <n v="0.05"/>
  </r>
  <r>
    <n v="310143.11"/>
    <n v="3998117010"/>
    <s v="Actual"/>
    <s v="Long Maturity"/>
    <n v="402"/>
    <x v="175"/>
    <n v="383569.39"/>
    <x v="23"/>
    <d v="2019-11-21T00:00:00"/>
    <n v="12.328767123287673"/>
    <d v="2044-12-15T00:00:00"/>
    <n v="301"/>
    <n v="288"/>
    <d v="2020-11-30T00:00:00"/>
    <s v="West Seven Liquor, Inc."/>
    <s v="Detroit, MI 48219"/>
    <n v="48219"/>
    <x v="8"/>
    <x v="28"/>
    <s v="Q"/>
    <s v=""/>
    <s v=""/>
    <x v="2"/>
    <n v="0.03"/>
  </r>
  <r>
    <n v="310185.11"/>
    <n v="4081107010"/>
    <s v="Actual"/>
    <s v="Long Maturity"/>
    <n v="402"/>
    <x v="176"/>
    <n v="387290.13"/>
    <x v="2"/>
    <d v="2019-12-12T00:00:00"/>
    <n v="11.633333333333333"/>
    <d v="2045-01-15T00:00:00"/>
    <n v="301"/>
    <n v="289"/>
    <d v="2020-12-01T00:00:00"/>
    <s v="Belle Properties Northwest, Inc and Wondrous Weddings LLC"/>
    <s v="Snohomish, WA 98290"/>
    <n v="98290"/>
    <x v="14"/>
    <x v="76"/>
    <s v="Q"/>
    <s v=""/>
    <s v=""/>
    <x v="1"/>
    <n v="0.05"/>
  </r>
  <r>
    <n v="310198.11"/>
    <n v="4129947004"/>
    <s v="Actual"/>
    <s v="Long Maturity"/>
    <n v="402"/>
    <x v="177"/>
    <n v="3688820.85"/>
    <x v="11"/>
    <d v="2019-12-16T00:00:00"/>
    <n v="11.5"/>
    <d v="2045-01-15T00:00:00"/>
    <n v="301"/>
    <n v="289"/>
    <d v="2020-12-01T00:00:00"/>
    <s v="Signco America LP"/>
    <s v="Houston, TX 77041"/>
    <n v="77041"/>
    <x v="0"/>
    <x v="77"/>
    <s v="Q"/>
    <s v=""/>
    <s v=""/>
    <x v="1"/>
    <n v="0.05"/>
  </r>
  <r>
    <n v="310261.11"/>
    <n v="4151687005"/>
    <s v="Actual"/>
    <s v="Long Maturity"/>
    <n v="402"/>
    <x v="178"/>
    <n v="1172953.9099999999"/>
    <x v="23"/>
    <d v="2019-12-19T00:00:00"/>
    <n v="11.399999999999999"/>
    <d v="2045-01-15T00:00:00"/>
    <n v="301"/>
    <n v="289"/>
    <d v="2020-12-01T00:00:00"/>
    <s v="Kuros LLC dba Alexander Lake Lodge"/>
    <s v="Cedaredge, CO 81413"/>
    <n v="81413"/>
    <x v="33"/>
    <x v="20"/>
    <s v="Q"/>
    <s v=""/>
    <s v=""/>
    <x v="1"/>
    <n v="0.05"/>
  </r>
  <r>
    <n v="310262.11"/>
    <n v="4091847002"/>
    <s v="Actual"/>
    <s v="Long Maturity"/>
    <n v="402"/>
    <x v="179"/>
    <n v="677892.14"/>
    <x v="4"/>
    <d v="2019-12-20T00:00:00"/>
    <n v="11.408219178082192"/>
    <d v="2045-01-15T00:00:00"/>
    <n v="301"/>
    <n v="289"/>
    <d v="2020-12-01T00:00:00"/>
    <s v="Ganesh Hospitality LLC"/>
    <s v="Franklin, NC  28734"/>
    <n v="28734"/>
    <x v="6"/>
    <x v="20"/>
    <s v="Q"/>
    <s v=""/>
    <s v=""/>
    <x v="5"/>
    <n v="0.05"/>
  </r>
  <r>
    <n v="310263.11"/>
    <n v="3895277009"/>
    <s v="Actual"/>
    <s v="Long Maturity"/>
    <n v="402"/>
    <x v="180"/>
    <n v="1300926.7"/>
    <x v="19"/>
    <d v="2019-08-21T00:00:00"/>
    <n v="15.386301369863014"/>
    <d v="2044-09-15T00:00:00"/>
    <n v="301"/>
    <n v="285"/>
    <d v="2020-12-01T00:00:00"/>
    <s v="Seville Hospitality Services LLC "/>
    <s v="Seville, OH 44273"/>
    <n v="44273"/>
    <x v="9"/>
    <x v="20"/>
    <s v="Q"/>
    <s v=""/>
    <s v=""/>
    <x v="4"/>
    <n v="0.03"/>
  </r>
  <r>
    <n v="310264.11"/>
    <n v="3891517001"/>
    <s v="Actual"/>
    <s v="Long Maturity"/>
    <n v="402"/>
    <x v="181"/>
    <n v="330828.64"/>
    <x v="2"/>
    <d v="2019-08-21T00:00:00"/>
    <n v="15.386301369863014"/>
    <d v="2044-09-15T00:00:00"/>
    <n v="301"/>
    <n v="285"/>
    <d v="2020-12-01T00:00:00"/>
    <s v="Jacobs Memorial Services LLC "/>
    <s v="Baird, TX 79504"/>
    <n v="79504"/>
    <x v="0"/>
    <x v="78"/>
    <s v="Q"/>
    <s v=""/>
    <s v=""/>
    <x v="1"/>
    <n v="0.03"/>
  </r>
  <r>
    <n v="310265.11"/>
    <n v="3886087009"/>
    <s v="Actual"/>
    <s v="Long Maturity"/>
    <n v="402"/>
    <x v="182"/>
    <n v="379654.96"/>
    <x v="2"/>
    <d v="2019-08-16T00:00:00"/>
    <n v="15.550684931506847"/>
    <d v="2044-12-15T00:00:00"/>
    <n v="304"/>
    <n v="288"/>
    <d v="2020-12-01T00:00:00"/>
    <s v="Meeker Rentals LLC dba Meekers Venue "/>
    <s v="Delaware, OH 43015"/>
    <n v="43015"/>
    <x v="9"/>
    <x v="79"/>
    <s v="Q"/>
    <s v=""/>
    <s v=""/>
    <x v="1"/>
    <n v="0.03"/>
  </r>
  <r>
    <n v="310266.11"/>
    <n v="3860877001"/>
    <s v="Actual"/>
    <s v="Long Maturity"/>
    <n v="402"/>
    <x v="183"/>
    <n v="1049524.94"/>
    <x v="4"/>
    <d v="2019-07-29T00:00:00"/>
    <n v="16.142465753424656"/>
    <d v="2044-08-15T00:00:00"/>
    <n v="301"/>
    <n v="284"/>
    <d v="2020-12-01T00:00:00"/>
    <s v="Jay Ambe Lodging LLC dba Nephi 9 Inn "/>
    <s v="Nephi, UT 84648"/>
    <n v="84648"/>
    <x v="34"/>
    <x v="20"/>
    <s v="Q"/>
    <s v=""/>
    <s v=""/>
    <x v="5"/>
    <n v="0.03"/>
  </r>
  <r>
    <n v="310267.11"/>
    <n v="3856567010"/>
    <s v="Actual"/>
    <s v="Long Maturity"/>
    <n v="402"/>
    <x v="184"/>
    <n v="1140067.1399999999"/>
    <x v="18"/>
    <d v="2019-07-24T00:00:00"/>
    <n v="16.306849315068494"/>
    <d v="2044-08-15T00:00:00"/>
    <n v="301"/>
    <n v="284"/>
    <d v="2020-12-01T00:00:00"/>
    <s v="Sahajanand Hospitality Inc. dba Quality Inn"/>
    <s v="Forsyth, IL 62535"/>
    <n v="62535"/>
    <x v="3"/>
    <x v="20"/>
    <s v="Q"/>
    <s v=""/>
    <s v=""/>
    <x v="4"/>
    <n v="0.03"/>
  </r>
  <r>
    <n v="310289.11"/>
    <n v="4131457009"/>
    <s v="Actual"/>
    <s v="Long Maturity"/>
    <n v="402"/>
    <x v="185"/>
    <n v="295079.93"/>
    <x v="47"/>
    <d v="2019-12-27T00:00:00"/>
    <n v="11.133333333333333"/>
    <d v="2045-01-15T00:00:00"/>
    <n v="301"/>
    <n v="289"/>
    <d v="2020-12-01T00:00:00"/>
    <s v="Tatoo Tony's Under My Skin LLC"/>
    <s v="Atlantic Highlands, NJ 07716"/>
    <n v="7716"/>
    <x v="13"/>
    <x v="80"/>
    <s v="Q"/>
    <s v=""/>
    <s v=""/>
    <x v="1"/>
    <n v="0.05"/>
  </r>
  <r>
    <n v="310298.11"/>
    <n v="4156847004"/>
    <s v="Actual"/>
    <s v="Long Maturity"/>
    <n v="402"/>
    <x v="186"/>
    <n v="126881.85"/>
    <x v="47"/>
    <d v="2019-12-30T00:00:00"/>
    <n v="11.033333333333333"/>
    <d v="2045-01-15T00:00:00"/>
    <n v="301"/>
    <n v="289"/>
    <d v="2020-12-01T00:00:00"/>
    <s v="Kiddie Garden Child Development Center LLC"/>
    <s v="Milwaukee, WI 53209"/>
    <n v="53209"/>
    <x v="15"/>
    <x v="0"/>
    <s v="Q"/>
    <s v=""/>
    <s v=""/>
    <x v="1"/>
    <n v="0.05"/>
  </r>
  <r>
    <n v="310400.11"/>
    <n v="4113277010"/>
    <s v="Actual"/>
    <s v="Long Maturity"/>
    <n v="402"/>
    <x v="187"/>
    <n v="58124.95"/>
    <x v="47"/>
    <d v="2019-12-05T00:00:00"/>
    <n v="11.901369863013699"/>
    <d v="2045-01-15T00:00:00"/>
    <n v="301"/>
    <n v="289"/>
    <d v="2020-12-01T00:00:00"/>
    <s v="Serena's Carpet Incorporated"/>
    <s v="Ely, MN 55731"/>
    <n v="55731"/>
    <x v="24"/>
    <x v="81"/>
    <s v="Q"/>
    <s v=""/>
    <s v=""/>
    <x v="1"/>
    <n v="0.05"/>
  </r>
  <r>
    <n v="310415.11"/>
    <n v="4130757003"/>
    <s v="Actual"/>
    <s v="Long Maturity"/>
    <n v="402"/>
    <x v="188"/>
    <n v="3014537.79"/>
    <x v="21"/>
    <d v="2020-01-07T00:00:00"/>
    <n v="10.783561643835617"/>
    <d v="2045-02-15T00:00:00"/>
    <n v="301"/>
    <n v="290"/>
    <d v="2020-11-30T00:00:00"/>
    <s v="Xama Hotels LLC"/>
    <s v="Victoria, TX 77901"/>
    <n v="77901"/>
    <x v="0"/>
    <x v="20"/>
    <s v="Q"/>
    <s v=""/>
    <s v=""/>
    <x v="6"/>
    <n v="0.05"/>
  </r>
  <r>
    <n v="310560.11"/>
    <n v="4172977008"/>
    <s v="Actual"/>
    <s v="Long Maturity"/>
    <n v="402"/>
    <x v="189"/>
    <n v="2264356.54"/>
    <x v="12"/>
    <d v="2020-01-06T00:00:00"/>
    <n v="10.816438356164383"/>
    <d v="2045-02-15T00:00:00"/>
    <n v="301"/>
    <n v="290"/>
    <d v="2020-11-30T00:00:00"/>
    <s v="Three Twenty Peach Hospitality LLC"/>
    <s v="Augusta, GA 30907"/>
    <n v="30907"/>
    <x v="2"/>
    <x v="20"/>
    <s v="Q"/>
    <s v=""/>
    <s v=""/>
    <x v="5"/>
    <n v="0.05"/>
  </r>
  <r>
    <n v="310722.11"/>
    <n v="4080847007"/>
    <s v="Actual"/>
    <s v="Long Maturity"/>
    <n v="402"/>
    <x v="190"/>
    <n v="1263410.8600000001"/>
    <x v="10"/>
    <d v="2019-11-14T00:00:00"/>
    <n v="12.591780821917808"/>
    <d v="2044-12-15T00:00:00"/>
    <n v="301"/>
    <n v="288"/>
    <d v="2020-12-01T00:00:00"/>
    <s v="2622 W Walnut St Unit #202 &amp; #210 dba Super Laundry City"/>
    <s v="Garland, TX 75042"/>
    <n v="75042"/>
    <x v="0"/>
    <x v="82"/>
    <s v="Q"/>
    <s v=""/>
    <s v=""/>
    <x v="4"/>
    <n v="0.03"/>
  </r>
  <r>
    <n v="310724.11"/>
    <n v="4073157003"/>
    <s v="Actual"/>
    <s v="Long Maturity"/>
    <n v="402"/>
    <x v="191"/>
    <n v="336332.33"/>
    <x v="5"/>
    <d v="2019-11-15T00:00:00"/>
    <n v="12.526027397260275"/>
    <d v="2044-12-15T00:00:00"/>
    <n v="301"/>
    <n v="288"/>
    <d v="2020-11-30T00:00:00"/>
    <s v="R Sayaan Inc dba Sunoco Crystal River"/>
    <s v="Crystal River, FL 33429"/>
    <n v="33429"/>
    <x v="1"/>
    <x v="4"/>
    <s v="Q"/>
    <s v=""/>
    <s v=""/>
    <x v="3"/>
    <n v="0.03"/>
  </r>
  <r>
    <n v="310732.11"/>
    <n v="4056897000"/>
    <s v="Actual"/>
    <s v="Long Maturity"/>
    <n v="402"/>
    <x v="192"/>
    <n v="1001951.6"/>
    <x v="45"/>
    <d v="2019-11-01T00:00:00"/>
    <n v="12.986301369863014"/>
    <d v="2044-12-15T00:00:00"/>
    <n v="301"/>
    <n v="288"/>
    <d v="2020-11-30T00:00:00"/>
    <s v="27 SP LLC (EPC) &amp; SS26, LLC (OC)"/>
    <s v="Plano, TX 75025"/>
    <n v="75025"/>
    <x v="0"/>
    <x v="83"/>
    <s v="Q"/>
    <s v=""/>
    <s v=""/>
    <x v="6"/>
    <n v="0.03"/>
  </r>
  <r>
    <n v="310740.11"/>
    <n v="3993117000"/>
    <s v="Actual"/>
    <s v="Long Maturity"/>
    <n v="402"/>
    <x v="193"/>
    <n v="563661.05000000005"/>
    <x v="3"/>
    <d v="2019-10-30T00:00:00"/>
    <n v="13.052054794520549"/>
    <d v="2044-11-15T00:00:00"/>
    <n v="301"/>
    <n v="287"/>
    <d v="2020-11-30T00:00:00"/>
    <s v="Rite Time Market LLC dba Pearcy Mall"/>
    <s v="Pearcy, AR 71964"/>
    <n v="71964"/>
    <x v="25"/>
    <x v="4"/>
    <s v="Q"/>
    <s v=""/>
    <s v=""/>
    <x v="1"/>
    <n v="0.03"/>
  </r>
  <r>
    <n v="310741.11"/>
    <n v="3992007000"/>
    <s v="Actual"/>
    <s v="Long Maturity"/>
    <n v="402"/>
    <x v="194"/>
    <n v="264957.31"/>
    <x v="3"/>
    <d v="2019-10-30T00:00:00"/>
    <n v="13.033333333333331"/>
    <d v="2044-11-15T00:00:00"/>
    <n v="301"/>
    <n v="287"/>
    <d v="2020-12-01T00:00:00"/>
    <s v="BGB Leasing Co."/>
    <s v="Princeton, KY 42445"/>
    <n v="42445"/>
    <x v="7"/>
    <x v="84"/>
    <s v="Q"/>
    <s v=""/>
    <s v=""/>
    <x v="1"/>
    <n v="0.03"/>
  </r>
  <r>
    <n v="310783.11"/>
    <n v="3904907000"/>
    <s v="Actual"/>
    <s v="Long Maturity"/>
    <n v="402"/>
    <x v="195"/>
    <n v="2009211.51"/>
    <x v="45"/>
    <d v="2019-09-12T00:00:00"/>
    <n v="14.663013698630138"/>
    <d v="2044-10-15T00:00:00"/>
    <n v="301"/>
    <n v="286"/>
    <d v="2020-12-01T00:00:00"/>
    <s v="La Chiquita Investment LLC &amp; Bazar La Chiquita, LLC &amp; Chi'bal Corp."/>
    <s v="Silver Springs, MD 20902"/>
    <n v="20902"/>
    <x v="19"/>
    <x v="85"/>
    <s v="Q"/>
    <s v=""/>
    <s v=""/>
    <x v="6"/>
    <n v="0.03"/>
  </r>
  <r>
    <n v="310853.11"/>
    <n v="4234597008"/>
    <s v="Actual"/>
    <s v="Long Maturity"/>
    <n v="402"/>
    <x v="196"/>
    <n v="2692746.22"/>
    <x v="19"/>
    <d v="2020-02-21T00:00:00"/>
    <n v="9.3369863013698637"/>
    <d v="2045-03-15T00:00:00"/>
    <n v="301"/>
    <n v="291"/>
    <d v="2020-12-01T00:00:00"/>
    <s v="IAI Hospitality LLC"/>
    <s v="Mentor, OH  44060"/>
    <n v="44060"/>
    <x v="9"/>
    <x v="20"/>
    <s v="Q"/>
    <s v=""/>
    <s v=""/>
    <x v="7"/>
    <n v="0.05"/>
  </r>
  <r>
    <n v="310855.11"/>
    <n v="3904487005"/>
    <s v="Actual"/>
    <s v="Long Maturity"/>
    <n v="402"/>
    <x v="197"/>
    <n v="2812564.28"/>
    <x v="19"/>
    <d v="2019-08-23T00:00:00"/>
    <n v="15.32054794520548"/>
    <d v="2045-03-15T00:00:00"/>
    <n v="307"/>
    <n v="291"/>
    <d v="2020-12-01T00:00:00"/>
    <s v="Vital Hospitality LLC"/>
    <s v="Crescent City, CA  95531"/>
    <n v="95531"/>
    <x v="10"/>
    <x v="20"/>
    <s v="Q"/>
    <s v=""/>
    <s v=""/>
    <x v="7"/>
    <n v="0.03"/>
  </r>
  <r>
    <n v="310890.11"/>
    <n v="4051507000"/>
    <s v="Actual"/>
    <s v="Long Maturity"/>
    <n v="402"/>
    <x v="198"/>
    <n v="183875.18"/>
    <x v="11"/>
    <d v="2020-02-18T00:00:00"/>
    <n v="9.4333333333333336"/>
    <d v="2045-04-15T00:00:00"/>
    <n v="302"/>
    <n v="292"/>
    <d v="2020-12-01T00:00:00"/>
    <s v="Second Son Holding Company LLC"/>
    <s v="Statesboro, GA 30458"/>
    <n v="30458"/>
    <x v="2"/>
    <x v="33"/>
    <s v="Q"/>
    <s v=""/>
    <s v=""/>
    <x v="1"/>
    <n v="0.05"/>
  </r>
  <r>
    <n v="311348.11"/>
    <n v="8954527103"/>
    <s v="Actual"/>
    <s v="Long Maturity"/>
    <n v="402"/>
    <x v="199"/>
    <n v="252160.37"/>
    <x v="23"/>
    <d v="2020-04-30T00:00:00"/>
    <n v="7.0333333333333332"/>
    <d v="2045-05-15T00:00:00"/>
    <n v="301"/>
    <n v="293"/>
    <d v="2020-12-01T00:00:00"/>
    <s v="Lucky Leaf LLC"/>
    <s v="Nottingham, MD 21236"/>
    <n v="21236"/>
    <x v="19"/>
    <x v="86"/>
    <s v="Q"/>
    <s v=""/>
    <s v=""/>
    <x v="2"/>
    <n v="0.05"/>
  </r>
  <r>
    <n v="311504.11"/>
    <n v="4370727004"/>
    <s v="Actual"/>
    <s v="Long Maturity"/>
    <n v="402"/>
    <x v="200"/>
    <n v="735333.39"/>
    <x v="13"/>
    <d v="2020-04-24T00:00:00"/>
    <n v="7.7917808219178077"/>
    <d v="2045-05-15T00:00:00"/>
    <n v="301"/>
    <n v="293"/>
    <d v="2020-12-17T00:00:00"/>
    <s v="Rocky's Corner Grocery"/>
    <s v="Kenmore, WA 98028"/>
    <n v="98028"/>
    <x v="14"/>
    <x v="28"/>
    <s v="Q"/>
    <s v=""/>
    <s v=""/>
    <x v="6"/>
    <n v="0.05"/>
  </r>
  <r>
    <n v="311626.11"/>
    <n v="3450087204"/>
    <s v="Actual"/>
    <s v="Long Maturity"/>
    <n v="402"/>
    <x v="201"/>
    <n v="3156278.17"/>
    <x v="13"/>
    <d v="2020-06-01T00:00:00"/>
    <n v="7.0027397260273982"/>
    <d v="2045-07-15T00:00:00"/>
    <n v="301"/>
    <n v="295"/>
    <d v="2020-12-31T00:00:00"/>
    <s v="4 Halls Enterprises Inc. H4 Property Holding LLC"/>
    <s v="Vernal, UT 84078"/>
    <n v="84078"/>
    <x v="34"/>
    <x v="87"/>
    <s v="Q"/>
    <s v=""/>
    <s v=""/>
    <x v="3"/>
    <n v="0.05"/>
  </r>
  <r>
    <n v="311663.11"/>
    <n v="8597747209"/>
    <s v="Actual"/>
    <s v="Long Maturity"/>
    <n v="402"/>
    <x v="202"/>
    <n v="2410504.1"/>
    <x v="13"/>
    <d v="2020-06-02T00:00:00"/>
    <n v="5.9835616438356167"/>
    <d v="2045-07-15T00:00:00"/>
    <n v="301"/>
    <n v="295"/>
    <d v="2020-12-01T00:00:00"/>
    <s v="TRM &amp; Bapa Investment, LLC"/>
    <s v="Albuquerque, NM 87106"/>
    <n v="87106"/>
    <x v="12"/>
    <x v="20"/>
    <s v="Q"/>
    <s v=""/>
    <s v=""/>
    <x v="3"/>
    <n v="0.05"/>
  </r>
  <r>
    <n v="311672.11"/>
    <n v="4194047001"/>
    <s v="Actual"/>
    <s v="Long Maturity"/>
    <n v="402"/>
    <x v="203"/>
    <n v="1430944.56"/>
    <x v="13"/>
    <d v="2020-01-31T00:00:00"/>
    <n v="10.027397260273972"/>
    <d v="2045-02-15T00:00:00"/>
    <n v="301"/>
    <n v="290"/>
    <d v="2020-12-01T00:00:00"/>
    <s v="WASH N GO 2, LLC dba Old National Hwy 5250 Car Wash"/>
    <s v="Atlanta, GA 30349"/>
    <n v="30349"/>
    <x v="2"/>
    <x v="16"/>
    <s v="Q"/>
    <s v=""/>
    <s v=""/>
    <x v="6"/>
    <n v="0.05"/>
  </r>
  <r>
    <n v="311793.11"/>
    <n v="4242467004"/>
    <s v="Actual"/>
    <s v="Long Maturity"/>
    <n v="402"/>
    <x v="204"/>
    <n v="1467770.56"/>
    <x v="19"/>
    <d v="2020-06-23T00:00:00"/>
    <n v="5.2931506849315069"/>
    <d v="2045-07-15T00:00:00"/>
    <n v="301"/>
    <n v="295"/>
    <d v="2020-12-01T00:00:00"/>
    <s v="G &amp; K Covenant Properties II LLC"/>
    <s v="Lithonia, GA 30038"/>
    <n v="30038"/>
    <x v="2"/>
    <x v="0"/>
    <s v="Q"/>
    <s v=""/>
    <s v=""/>
    <x v="4"/>
    <n v="0.05"/>
  </r>
  <r>
    <n v="311814.11"/>
    <n v="5430677402"/>
    <s v="Actual"/>
    <s v="Long Maturity"/>
    <n v="402"/>
    <x v="205"/>
    <n v="372114.69"/>
    <x v="15"/>
    <d v="2020-06-25T00:00:00"/>
    <n v="5.2273972602739729"/>
    <d v="2037-07-15T00:00:00"/>
    <n v="205"/>
    <n v="199"/>
    <d v="2020-12-01T00:00:00"/>
    <s v="Laurito Commercial Real Estate Holdings LLC and Laurito Automotive Inc"/>
    <s v="Mohnton, PA 19540   "/>
    <n v="19540"/>
    <x v="11"/>
    <x v="8"/>
    <s v="Q"/>
    <s v=""/>
    <s v=""/>
    <x v="1"/>
    <n v="0.05"/>
  </r>
  <r>
    <n v="312115.11"/>
    <n v="3454077209"/>
    <s v="Actual"/>
    <s v="Long Maturity"/>
    <n v="402"/>
    <x v="206"/>
    <n v="0"/>
    <x v="4"/>
    <d v="2020-08-06T00:00:00"/>
    <n v="0"/>
    <d v="2045-09-15T00:00:00"/>
    <n v="301"/>
    <n v="297"/>
    <d v="1899-12-30T00:00:00"/>
    <s v="Kelly Anne's Salon Inc. dba Bombshell Uptown Studio"/>
    <s v="Delmar, NY 12054"/>
    <n v="12054"/>
    <x v="16"/>
    <x v="46"/>
    <s v="Q"/>
    <s v=""/>
    <s v=""/>
    <x v="2"/>
    <n v="0.05"/>
  </r>
  <r>
    <n v="304116.11"/>
    <n v="1940427007"/>
    <s v="Actual"/>
    <s v="Long Maturity"/>
    <n v="402"/>
    <x v="207"/>
    <n v="214373.18"/>
    <x v="11"/>
    <d v="2018-02-02T00:00:00"/>
    <n v="34.533333333333331"/>
    <d v="2038-03-15T00:00:00"/>
    <n v="241"/>
    <n v="207"/>
    <d v="2020-12-18T00:00:00"/>
    <s v="R &amp; R Navigator LLC &amp; Ramos &amp; Ramos Enterprises LLC dba Oky Doky"/>
    <s v="Leon Valley, TX 78238"/>
    <n v="78238"/>
    <x v="0"/>
    <x v="3"/>
    <s v="Q"/>
    <s v=""/>
    <s v=""/>
    <x v="1"/>
    <n v="0.01"/>
  </r>
  <r>
    <n v="305142.11"/>
    <n v="9344775004"/>
    <s v="Actual"/>
    <s v="Long Maturity"/>
    <n v="402"/>
    <x v="208"/>
    <n v="1934627.75"/>
    <x v="44"/>
    <d v="2017-03-30T00:00:00"/>
    <n v="44.153424657534245"/>
    <d v="2042-10-15T00:00:00"/>
    <n v="307"/>
    <n v="262"/>
    <d v="2020-12-02T00:00:00"/>
    <s v="Night &amp; Day Dental"/>
    <s v="Raleigh, NC 27610"/>
    <n v="27610"/>
    <x v="6"/>
    <x v="6"/>
    <s v="Q"/>
    <s v=""/>
    <s v=""/>
    <x v="7"/>
    <n v="0"/>
  </r>
  <r>
    <n v="305235.11"/>
    <n v="9269365009"/>
    <s v="Actual"/>
    <s v="Long Maturity"/>
    <n v="402"/>
    <x v="209"/>
    <n v="347034.83"/>
    <x v="35"/>
    <d v="2017-02-21T00:00:00"/>
    <n v="45.336986301369862"/>
    <d v="2042-03-15T00:00:00"/>
    <n v="301"/>
    <n v="255"/>
    <d v="2020-12-01T00:00:00"/>
    <s v="Simi Valley Medical Office, LLC (EPC) The Heart Center of Southern CA."/>
    <s v="Simi Valley, CA 93065"/>
    <n v="93065"/>
    <x v="10"/>
    <x v="73"/>
    <s v="Q"/>
    <s v=""/>
    <s v=""/>
    <x v="6"/>
    <n v="0"/>
  </r>
  <r>
    <n v="305270.11"/>
    <n v="9448785001"/>
    <s v="Actual"/>
    <s v="Long Maturity"/>
    <n v="402"/>
    <x v="210"/>
    <n v="1042830.73"/>
    <x v="48"/>
    <d v="2017-05-22T00:00:00"/>
    <n v="42.37808219178082"/>
    <d v="2042-06-15T00:00:00"/>
    <n v="301"/>
    <n v="258"/>
    <d v="2020-12-01T00:00:00"/>
    <s v="Moorpark Service Inc."/>
    <s v="Moorpark, CA 93021"/>
    <n v="93021"/>
    <x v="10"/>
    <x v="4"/>
    <s v="Q"/>
    <s v=""/>
    <s v=""/>
    <x v="6"/>
    <n v="0"/>
  </r>
  <r>
    <n v="305363.11"/>
    <n v="1214627003"/>
    <s v="Actual"/>
    <s v="Long Maturity"/>
    <n v="402"/>
    <x v="211"/>
    <n v="169616.9"/>
    <x v="49"/>
    <d v="2017-11-13T00:00:00"/>
    <n v="36.62465753424658"/>
    <d v="2042-12-15T00:00:00"/>
    <n v="301"/>
    <n v="264"/>
    <d v="2020-12-01T00:00:00"/>
    <s v="Joebec LLC"/>
    <s v="New Berlin, WI 53146"/>
    <n v="53146"/>
    <x v="15"/>
    <x v="88"/>
    <s v="Q"/>
    <s v=""/>
    <s v=""/>
    <x v="2"/>
    <n v="0"/>
  </r>
  <r>
    <n v="305681.11"/>
    <n v="9614875000"/>
    <s v="Actual"/>
    <s v="Long Maturity"/>
    <n v="402"/>
    <x v="212"/>
    <n v="210968.12"/>
    <x v="37"/>
    <d v="2017-07-31T00:00:00"/>
    <n v="40.033333333333331"/>
    <d v="2042-08-15T00:00:00"/>
    <n v="301"/>
    <n v="260"/>
    <d v="2020-12-01T00:00:00"/>
    <s v="Milledgeville Hospitality, LLC"/>
    <s v="Milledgeville, GA 31061"/>
    <n v="31061"/>
    <x v="2"/>
    <x v="20"/>
    <s v="Q"/>
    <s v=""/>
    <s v=""/>
    <x v="5"/>
    <n v="0"/>
  </r>
  <r>
    <n v="305934.11"/>
    <n v="9380075003"/>
    <s v="Actual"/>
    <s v="Long Maturity"/>
    <n v="402"/>
    <x v="213"/>
    <n v="1990971.1"/>
    <x v="36"/>
    <d v="2017-05-02T00:00:00"/>
    <n v="43.035616438356165"/>
    <d v="2042-06-15T00:00:00"/>
    <n v="301"/>
    <n v="258"/>
    <d v="2020-12-01T00:00:00"/>
    <s v="Shubh Laxmi LLC"/>
    <s v="Raleigh, NC 27603"/>
    <n v="27603"/>
    <x v="6"/>
    <x v="20"/>
    <s v="Q"/>
    <s v=""/>
    <s v=""/>
    <x v="3"/>
    <n v="0"/>
  </r>
  <r>
    <n v="306051.11"/>
    <n v="9734295008"/>
    <s v="Actual"/>
    <s v="Long Maturity"/>
    <n v="402"/>
    <x v="214"/>
    <n v="947656.29"/>
    <x v="24"/>
    <d v="2017-10-04T00:00:00"/>
    <n v="37.939726027397263"/>
    <d v="2042-11-15T00:00:00"/>
    <n v="301"/>
    <n v="263"/>
    <d v="2020-12-01T00:00:00"/>
    <s v="Fox Lake OPS LLC"/>
    <s v="Antioch, IL 60002"/>
    <n v="60002"/>
    <x v="3"/>
    <x v="89"/>
    <s v="Q"/>
    <s v=""/>
    <s v=""/>
    <x v="1"/>
    <n v="0"/>
  </r>
  <r>
    <n v="306374.11"/>
    <n v="9420275010"/>
    <s v="Actual"/>
    <s v="Long Maturity"/>
    <n v="402"/>
    <x v="215"/>
    <n v="2625757.4"/>
    <x v="48"/>
    <d v="2017-04-17T00:00:00"/>
    <n v="43.528767123287672"/>
    <d v="2042-05-15T00:00:00"/>
    <n v="301"/>
    <n v="257"/>
    <d v="2020-12-01T00:00:00"/>
    <s v="Joajoa, Inc. dba Summer Truck Stop"/>
    <s v="Sumner, WA 98390"/>
    <n v="98390"/>
    <x v="14"/>
    <x v="4"/>
    <s v="Q"/>
    <s v=""/>
    <s v=""/>
    <x v="6"/>
    <n v="0"/>
  </r>
  <r>
    <n v="307421.11"/>
    <n v="2892197009"/>
    <s v="Actual"/>
    <s v="Long Maturity"/>
    <n v="402"/>
    <x v="216"/>
    <n v="161963.47"/>
    <x v="13"/>
    <d v="2018-10-01T00:00:00"/>
    <n v="26.038356164383561"/>
    <d v="2043-11-15T00:00:00"/>
    <n v="301"/>
    <n v="275"/>
    <d v="2020-12-01T00:00:00"/>
    <s v="F&amp;V Investments/Epics Counseling Services LLC"/>
    <s v="Bridgeton, MO 63044"/>
    <n v="63044"/>
    <x v="28"/>
    <x v="90"/>
    <s v="Q"/>
    <s v=""/>
    <s v=""/>
    <x v="2"/>
    <n v="0.01"/>
  </r>
  <r>
    <n v="307814.11"/>
    <n v="1544897006"/>
    <s v="Actual"/>
    <s v="Long Maturity"/>
    <n v="402"/>
    <x v="217"/>
    <n v="457577.61"/>
    <x v="30"/>
    <d v="2017-11-30T00:00:00"/>
    <n v="36.065753424657537"/>
    <d v="2043-01-15T00:00:00"/>
    <n v="302"/>
    <n v="265"/>
    <d v="2020-12-01T00:00:00"/>
    <s v="Ram Tires Brothers Inc."/>
    <s v="Los Angeles, CA 90006"/>
    <n v="90006"/>
    <x v="10"/>
    <x v="91"/>
    <s v="Q"/>
    <s v=""/>
    <s v=""/>
    <x v="5"/>
    <n v="0"/>
  </r>
  <r>
    <n v="307817.11"/>
    <n v="9531365005"/>
    <s v="Actual"/>
    <s v="Long Maturity"/>
    <n v="402"/>
    <x v="218"/>
    <n v="1035340.62"/>
    <x v="44"/>
    <d v="2017-06-07T00:00:00"/>
    <n v="41.852054794520548"/>
    <d v="2042-07-15T00:00:00"/>
    <n v="301"/>
    <n v="259"/>
    <d v="2020-12-01T00:00:00"/>
    <s v="NI Properties LLC"/>
    <s v="Farmers Branch, TX 75234"/>
    <n v="75234"/>
    <x v="0"/>
    <x v="55"/>
    <s v="Q"/>
    <s v=""/>
    <s v=""/>
    <x v="7"/>
    <n v="0"/>
  </r>
  <r>
    <n v="308254.11"/>
    <n v="3497047004"/>
    <s v="Actual"/>
    <s v="Long Maturity"/>
    <n v="402"/>
    <x v="219"/>
    <n v="443492.55"/>
    <x v="15"/>
    <d v="2019-02-08T00:00:00"/>
    <n v="21.764383561643836"/>
    <d v="2044-03-15T00:00:00"/>
    <n v="301"/>
    <n v="279"/>
    <d v="2020-12-01T00:00:00"/>
    <s v="2 Peas DMD LLC dba The Oven Pizzeria"/>
    <s v="Marina, CA 93933"/>
    <n v="93933"/>
    <x v="10"/>
    <x v="23"/>
    <s v="Q"/>
    <s v=""/>
    <s v=""/>
    <x v="1"/>
    <n v="0.03"/>
  </r>
  <r>
    <n v="308498.11"/>
    <n v="3713697006"/>
    <s v="Actual"/>
    <s v="Long Maturity"/>
    <n v="402"/>
    <x v="220"/>
    <n v="264874.39"/>
    <x v="11"/>
    <d v="2019-05-15T00:00:00"/>
    <n v="18.608219178082194"/>
    <d v="2044-06-15T00:00:00"/>
    <n v="301"/>
    <n v="282"/>
    <d v="2020-12-01T00:00:00"/>
    <s v="FJC Properties LLC (EPC) &amp; Air Care of Central FLorida LLC (OC)"/>
    <s v="Orange City, FL 32763"/>
    <n v="32763"/>
    <x v="1"/>
    <x v="64"/>
    <s v="Q"/>
    <s v=""/>
    <s v=""/>
    <x v="2"/>
    <n v="0.03"/>
  </r>
  <r>
    <n v="309190.11"/>
    <n v="3886117005"/>
    <s v="Actual"/>
    <s v="Long Maturity"/>
    <n v="402"/>
    <x v="221"/>
    <n v="2492906.4300000002"/>
    <x v="4"/>
    <d v="2019-08-15T00:00:00"/>
    <n v="15.583561643835615"/>
    <d v="2044-09-15T00:00:00"/>
    <n v="301"/>
    <n v="285"/>
    <d v="2020-12-01T00:00:00"/>
    <s v="Hylan Development Group LLC"/>
    <s v="Jericho, NY 11753"/>
    <n v="11753"/>
    <x v="16"/>
    <x v="3"/>
    <s v="Q"/>
    <s v=""/>
    <s v=""/>
    <x v="3"/>
    <n v="0.03"/>
  </r>
  <r>
    <n v="309236.11"/>
    <n v="1837987002"/>
    <s v="Actual"/>
    <s v="Long Maturity"/>
    <n v="402"/>
    <x v="222"/>
    <n v="843753.81"/>
    <x v="15"/>
    <d v="2018-02-27T00:00:00"/>
    <n v="33.172602739726024"/>
    <d v="2043-03-15T00:00:00"/>
    <n v="301"/>
    <n v="267"/>
    <d v="2020-12-02T00:00:00"/>
    <s v="Hairy Cow Brewing LLC"/>
    <s v="Byron, IL 61010"/>
    <n v="61010"/>
    <x v="3"/>
    <x v="12"/>
    <s v="Q"/>
    <s v=""/>
    <s v=""/>
    <x v="1"/>
    <n v="0.01"/>
  </r>
  <r>
    <n v="309320.11"/>
    <n v="3858857007"/>
    <s v="Actual"/>
    <s v="Long Maturity"/>
    <n v="402"/>
    <x v="223"/>
    <n v="516331.56"/>
    <x v="11"/>
    <d v="2019-08-28T00:00:00"/>
    <n v="15.156164383561645"/>
    <d v="2034-09-15T00:00:00"/>
    <n v="181"/>
    <n v="165"/>
    <d v="2020-12-01T00:00:00"/>
    <s v="Crown Dental Lab of Central Florida Inc."/>
    <s v="Lakeland, FL 33801"/>
    <n v="33801"/>
    <x v="1"/>
    <x v="92"/>
    <s v="Q"/>
    <s v=""/>
    <s v=""/>
    <x v="1"/>
    <n v="0.03"/>
  </r>
  <r>
    <n v="309534.11"/>
    <n v="3035837000"/>
    <s v="Actual"/>
    <s v="Long Maturity"/>
    <n v="402"/>
    <x v="224"/>
    <n v="577484.81999999995"/>
    <x v="15"/>
    <d v="2018-10-12T00:00:00"/>
    <n v="25.676712328767124"/>
    <d v="2044-02-15T00:00:00"/>
    <n v="304"/>
    <n v="278"/>
    <d v="2020-12-01T00:00:00"/>
    <s v="Dyana LLC"/>
    <s v="Niles, IL 60714"/>
    <n v="60714"/>
    <x v="3"/>
    <x v="4"/>
    <s v="Q"/>
    <s v=""/>
    <s v=""/>
    <x v="1"/>
    <n v="0.01"/>
  </r>
  <r>
    <n v="309598.11"/>
    <n v="3949397006"/>
    <s v="Actual"/>
    <s v="Long Maturity"/>
    <n v="402"/>
    <x v="225"/>
    <n v="3504966.24"/>
    <x v="46"/>
    <d v="2019-09-30T00:00:00"/>
    <n v="15"/>
    <d v="2044-10-15T00:00:00"/>
    <n v="301"/>
    <n v="286"/>
    <d v="2020-12-30T00:00:00"/>
    <s v="210-16 NB Property LLC"/>
    <s v="Bayside, NY 11361"/>
    <n v="11361"/>
    <x v="16"/>
    <x v="2"/>
    <s v="Q"/>
    <s v=""/>
    <s v=""/>
    <x v="7"/>
    <n v="0.03"/>
  </r>
  <r>
    <n v="309682.11"/>
    <n v="3627517002"/>
    <s v="Actual"/>
    <s v="Long Maturity"/>
    <n v="402"/>
    <x v="226"/>
    <n v="1957717.18"/>
    <x v="19"/>
    <d v="2019-03-28T00:00:00"/>
    <n v="20.186301369863013"/>
    <d v="2044-04-15T00:00:00"/>
    <n v="301"/>
    <n v="280"/>
    <d v="2020-12-01T00:00:00"/>
    <s v="Sai Add Inc"/>
    <s v="Phenix City, AL 36869"/>
    <n v="36869"/>
    <x v="35"/>
    <x v="20"/>
    <s v="Q"/>
    <s v=""/>
    <s v=""/>
    <x v="6"/>
    <n v="0.03"/>
  </r>
  <r>
    <n v="309779.11"/>
    <n v="3029697010"/>
    <s v="Actual"/>
    <s v="Long Maturity"/>
    <n v="402"/>
    <x v="227"/>
    <n v="731454.01"/>
    <x v="6"/>
    <d v="2018-10-31T00:00:00"/>
    <n v="25.052054794520551"/>
    <d v="2043-11-15T00:00:00"/>
    <n v="301"/>
    <n v="275"/>
    <d v="2020-12-01T00:00:00"/>
    <s v="HariHar 4th LLC dba Holiday Inn Express"/>
    <s v="McComb, MS 39648"/>
    <n v="39648"/>
    <x v="23"/>
    <x v="20"/>
    <s v="Q"/>
    <s v=""/>
    <s v=""/>
    <x v="7"/>
    <n v="0.01"/>
  </r>
  <r>
    <n v="309812.11"/>
    <n v="4015927000"/>
    <s v="Actual"/>
    <s v="Long Maturity"/>
    <n v="402"/>
    <x v="228"/>
    <n v="277468.03000000003"/>
    <x v="4"/>
    <d v="2019-10-09T00:00:00"/>
    <n v="13.775342465753425"/>
    <d v="2044-11-15T00:00:00"/>
    <n v="301"/>
    <n v="287"/>
    <d v="2020-12-01T00:00:00"/>
    <s v="Liang Ji Zhou &amp; Zhuo Nai Lai"/>
    <s v="Monterey Park, CA  91755"/>
    <n v="91755"/>
    <x v="10"/>
    <x v="46"/>
    <s v="Q"/>
    <s v=""/>
    <s v=""/>
    <x v="5"/>
    <n v="0.03"/>
  </r>
  <r>
    <n v="309826.11"/>
    <n v="4009827009"/>
    <s v="Actual"/>
    <s v="Long Maturity"/>
    <n v="402"/>
    <x v="229"/>
    <n v="2319986.5"/>
    <x v="21"/>
    <d v="2019-11-01T00:00:00"/>
    <n v="13.019178082191781"/>
    <d v="2044-12-15T00:00:00"/>
    <n v="301"/>
    <n v="288"/>
    <d v="2020-12-01T00:00:00"/>
    <s v="Jalabapa Hospitality LLC"/>
    <s v="Katy, TX 77450"/>
    <n v="77450"/>
    <x v="0"/>
    <x v="20"/>
    <s v="Q"/>
    <s v=""/>
    <s v=""/>
    <x v="6"/>
    <n v="0.03"/>
  </r>
  <r>
    <n v="309866.11"/>
    <n v="4063467009"/>
    <s v="Actual"/>
    <s v="Long Maturity"/>
    <n v="402"/>
    <x v="230"/>
    <n v="545401.25"/>
    <x v="46"/>
    <d v="2019-11-07T00:00:00"/>
    <n v="12.8"/>
    <d v="2044-12-15T00:00:00"/>
    <n v="301"/>
    <n v="288"/>
    <d v="2020-12-01T00:00:00"/>
    <s v="BRP Associates LLC"/>
    <s v="New London, CT 06320"/>
    <n v="6320"/>
    <x v="36"/>
    <x v="20"/>
    <s v="Q"/>
    <s v=""/>
    <s v=""/>
    <x v="7"/>
    <n v="0.03"/>
  </r>
  <r>
    <n v="309911.11"/>
    <n v="4027257008"/>
    <s v="Actual"/>
    <s v="Long Maturity"/>
    <n v="402"/>
    <x v="231"/>
    <n v="1873328.72"/>
    <x v="12"/>
    <d v="2019-10-21T00:00:00"/>
    <n v="13.38082191780822"/>
    <d v="2044-11-15T00:00:00"/>
    <n v="301"/>
    <n v="287"/>
    <d v="2020-12-01T00:00:00"/>
    <s v="Fox's Hazel Dell Car Wash"/>
    <s v="Vancouver, WA 98665"/>
    <n v="98665"/>
    <x v="14"/>
    <x v="16"/>
    <s v="Q"/>
    <s v=""/>
    <s v=""/>
    <x v="5"/>
    <n v="0.03"/>
  </r>
  <r>
    <n v="309913.11"/>
    <n v="4105607002"/>
    <s v="Actual"/>
    <s v="Long Maturity"/>
    <n v="402"/>
    <x v="232"/>
    <n v="140412.79"/>
    <x v="12"/>
    <d v="2019-11-22T00:00:00"/>
    <n v="12.328767123287673"/>
    <d v="2044-12-15T00:00:00"/>
    <n v="301"/>
    <n v="288"/>
    <d v="2020-12-01T00:00:00"/>
    <s v="J Hair Cafe"/>
    <s v="Fairfax, VA 22030"/>
    <n v="22030"/>
    <x v="29"/>
    <x v="46"/>
    <s v="Q"/>
    <s v=""/>
    <s v=""/>
    <x v="5"/>
    <n v="0.03"/>
  </r>
  <r>
    <n v="309938.11"/>
    <n v="4083967003"/>
    <s v="Actual"/>
    <s v="Long Maturity"/>
    <n v="402"/>
    <x v="233"/>
    <n v="467166.69"/>
    <x v="18"/>
    <d v="2019-11-18T00:00:00"/>
    <n v="12.46027397260274"/>
    <d v="2044-12-15T00:00:00"/>
    <n v="301"/>
    <n v="288"/>
    <d v="2020-12-01T00:00:00"/>
    <s v="My EZ Investments Inc"/>
    <s v="Melbourne, FL 32935"/>
    <n v="32935"/>
    <x v="1"/>
    <x v="4"/>
    <s v="Q"/>
    <s v=""/>
    <s v=""/>
    <x v="4"/>
    <n v="0.03"/>
  </r>
  <r>
    <n v="310004.11"/>
    <n v="3723167004"/>
    <s v="Actual"/>
    <s v="Long Maturity"/>
    <n v="402"/>
    <x v="234"/>
    <n v="405908.36"/>
    <x v="15"/>
    <d v="2019-05-13T00:00:00"/>
    <n v="18.673972602739727"/>
    <d v="2044-12-15T00:00:00"/>
    <n v="307"/>
    <n v="288"/>
    <d v="2020-12-01T00:00:00"/>
    <s v="Bayou Urgent Care Inc."/>
    <s v="Dayton, TX 77535"/>
    <n v="77535"/>
    <x v="0"/>
    <x v="93"/>
    <s v="Q"/>
    <s v=""/>
    <s v=""/>
    <x v="0"/>
    <n v="0.03"/>
  </r>
  <r>
    <n v="310106.11"/>
    <n v="3757497007"/>
    <s v="Actual"/>
    <s v="Long Maturity"/>
    <n v="402"/>
    <x v="235"/>
    <n v="63354.35"/>
    <x v="50"/>
    <d v="2019-06-05T00:00:00"/>
    <n v="18.016438356164386"/>
    <d v="2034-07-15T00:00:00"/>
    <n v="181"/>
    <n v="163"/>
    <d v="2020-12-04T00:00:00"/>
    <s v="Danielle Gaus"/>
    <s v="Wheeling, WV 26003"/>
    <n v="26003"/>
    <x v="37"/>
    <x v="94"/>
    <s v="Q"/>
    <s v=""/>
    <s v=""/>
    <x v="0"/>
    <n v="0.03"/>
  </r>
  <r>
    <n v="310156.11"/>
    <n v="4045897005"/>
    <s v="Actual"/>
    <s v="Long Maturity"/>
    <n v="402"/>
    <x v="236"/>
    <n v="3663796.85"/>
    <x v="19"/>
    <d v="2019-11-18T00:00:00"/>
    <n v="12.46027397260274"/>
    <d v="2045-01-15T00:00:00"/>
    <n v="302"/>
    <n v="289"/>
    <d v="2020-12-01T00:00:00"/>
    <s v="Discovery Hospitality LLC"/>
    <s v="Santa Rosa, NM 88435"/>
    <n v="88435"/>
    <x v="12"/>
    <x v="20"/>
    <s v="Q"/>
    <s v=""/>
    <s v=""/>
    <x v="5"/>
    <n v="0.03"/>
  </r>
  <r>
    <n v="310157.11"/>
    <n v="4045777004"/>
    <s v="Actual"/>
    <s v="Long Maturity"/>
    <n v="402"/>
    <x v="237"/>
    <n v="3663796.84"/>
    <x v="4"/>
    <d v="2019-11-18T00:00:00"/>
    <n v="12.46027397260274"/>
    <d v="2045-01-15T00:00:00"/>
    <n v="302"/>
    <n v="289"/>
    <d v="2020-12-01T00:00:00"/>
    <s v="Encore Hospitality LLC"/>
    <s v="Santa Rosa, NM 88435"/>
    <n v="88435"/>
    <x v="12"/>
    <x v="20"/>
    <s v="Q"/>
    <s v=""/>
    <s v=""/>
    <x v="5"/>
    <n v="0.03"/>
  </r>
  <r>
    <n v="310180.11"/>
    <n v="4134317008"/>
    <s v="Actual"/>
    <s v="Long Maturity"/>
    <n v="402"/>
    <x v="238"/>
    <n v="1570027.18"/>
    <x v="4"/>
    <d v="2019-12-12T00:00:00"/>
    <n v="11.638356164383563"/>
    <d v="2045-01-15T00:00:00"/>
    <n v="301"/>
    <n v="289"/>
    <d v="2020-11-30T00:00:00"/>
    <s v="Sahajanand Hospitality Group LLC"/>
    <s v="Davenport, IA 52807"/>
    <n v="52807"/>
    <x v="38"/>
    <x v="20"/>
    <s v="Q"/>
    <s v=""/>
    <s v=""/>
    <x v="5"/>
    <n v="0.05"/>
  </r>
  <r>
    <n v="310241.11"/>
    <n v="4086697000"/>
    <s v="Actual"/>
    <s v="Long Maturity"/>
    <n v="402"/>
    <x v="239"/>
    <n v="700224.41"/>
    <x v="39"/>
    <d v="2019-11-19T00:00:00"/>
    <n v="12.427397260273972"/>
    <d v="2045-01-15T00:00:00"/>
    <n v="302"/>
    <n v="289"/>
    <d v="2020-12-01T00:00:00"/>
    <s v="Minal LLC dba Super 8"/>
    <s v="Las Cruces, NM 88005"/>
    <n v="88005"/>
    <x v="12"/>
    <x v="20"/>
    <s v="Q"/>
    <s v=""/>
    <s v=""/>
    <x v="4"/>
    <n v="0.03"/>
  </r>
  <r>
    <n v="310248.11"/>
    <n v="4100737007"/>
    <s v="Actual"/>
    <s v="Long Maturity"/>
    <n v="402"/>
    <x v="240"/>
    <n v="357704.37"/>
    <x v="2"/>
    <d v="2019-12-20T00:00:00"/>
    <n v="10.454794520547946"/>
    <d v="2045-01-15T00:00:00"/>
    <n v="301"/>
    <n v="289"/>
    <d v="2020-11-02T00:00:00"/>
    <s v="Z Hospitality Services, LLC"/>
    <s v="Marrero, LA 70072"/>
    <n v="70072"/>
    <x v="20"/>
    <x v="3"/>
    <s v="Q"/>
    <s v=""/>
    <s v=""/>
    <x v="1"/>
    <n v="0.05"/>
  </r>
  <r>
    <n v="310290.11"/>
    <n v="4141897005"/>
    <s v="Actual"/>
    <s v="Long Maturity"/>
    <n v="402"/>
    <x v="241"/>
    <n v="880590.89"/>
    <x v="23"/>
    <d v="2019-12-20T00:00:00"/>
    <n v="11.366666666666667"/>
    <d v="2045-01-15T00:00:00"/>
    <n v="301"/>
    <n v="289"/>
    <d v="2020-12-01T00:00:00"/>
    <s v="Pet Friendly Ventures, LLC and The Pet Salon, Inc."/>
    <s v="Margate City, NJ 08402"/>
    <n v="8402"/>
    <x v="13"/>
    <x v="95"/>
    <s v="Q"/>
    <s v=""/>
    <s v=""/>
    <x v="2"/>
    <n v="0.05"/>
  </r>
  <r>
    <n v="310310.11"/>
    <n v="4118967004"/>
    <s v="Actual"/>
    <s v="Long Maturity"/>
    <n v="402"/>
    <x v="242"/>
    <n v="2346338.9"/>
    <x v="4"/>
    <d v="2019-12-20T00:00:00"/>
    <n v="11.375342465753425"/>
    <d v="2045-01-15T00:00:00"/>
    <n v="301"/>
    <n v="289"/>
    <d v="2020-11-30T00:00:00"/>
    <s v="Under the Starry Night Inc."/>
    <s v="Bloomington, IN 47401"/>
    <n v="47401"/>
    <x v="39"/>
    <x v="96"/>
    <s v="Q"/>
    <s v=""/>
    <s v=""/>
    <x v="2"/>
    <n v="0.05"/>
  </r>
  <r>
    <n v="310338.11"/>
    <n v="4161237003"/>
    <s v="Actual"/>
    <s v="Long Maturity"/>
    <n v="402"/>
    <x v="243"/>
    <n v="93344.36"/>
    <x v="51"/>
    <d v="2019-12-31T00:00:00"/>
    <n v="11.901369863013699"/>
    <d v="2045-01-15T00:00:00"/>
    <n v="301"/>
    <n v="289"/>
    <d v="2020-12-27T00:00:00"/>
    <s v="Justin S. Klein"/>
    <s v="St. Cloud, MN 56303"/>
    <n v="56303"/>
    <x v="24"/>
    <x v="80"/>
    <s v="Q"/>
    <s v=""/>
    <s v=""/>
    <x v="2"/>
    <n v="0.05"/>
  </r>
  <r>
    <n v="310368.11"/>
    <n v="4142007009"/>
    <s v="Actual"/>
    <s v="Long Maturity"/>
    <n v="402"/>
    <x v="244"/>
    <n v="201260.21"/>
    <x v="47"/>
    <d v="2019-12-31T00:00:00"/>
    <n v="11.046575342465754"/>
    <d v="2045-01-15T00:00:00"/>
    <n v="301"/>
    <n v="289"/>
    <d v="2020-12-01T00:00:00"/>
    <s v="Granite &amp; Marble Gallery, Inc."/>
    <s v="Mundelein, IL 60060"/>
    <n v="60060"/>
    <x v="3"/>
    <x v="97"/>
    <s v="Q"/>
    <s v=""/>
    <s v=""/>
    <x v="1"/>
    <n v="0.05"/>
  </r>
  <r>
    <n v="310545.11"/>
    <n v="4135787000"/>
    <s v="Actual"/>
    <s v="Long Maturity"/>
    <n v="402"/>
    <x v="245"/>
    <n v="2648170.23"/>
    <x v="13"/>
    <d v="2019-12-11T00:00:00"/>
    <n v="11.704109589041096"/>
    <d v="2045-01-15T00:00:00"/>
    <n v="301"/>
    <n v="289"/>
    <d v="2020-12-01T00:00:00"/>
    <s v="Dream One LLC SJEY Enterprise Inc. dba Monkee's"/>
    <s v="Venice, CA 90291"/>
    <n v="90291"/>
    <x v="10"/>
    <x v="27"/>
    <s v="Q"/>
    <s v=""/>
    <s v=""/>
    <x v="6"/>
    <n v="0.05"/>
  </r>
  <r>
    <n v="310548.11"/>
    <n v="4003837000"/>
    <s v="Actual"/>
    <s v="Long Maturity"/>
    <n v="402"/>
    <x v="246"/>
    <n v="756301.24"/>
    <x v="19"/>
    <d v="2019-10-01T00:00:00"/>
    <n v="14.038356164383561"/>
    <d v="2044-11-15T00:00:00"/>
    <n v="301"/>
    <n v="287"/>
    <d v="2020-12-01T00:00:00"/>
    <s v="Kishorkumar Harkishan Panchal"/>
    <s v="Hanford, CA 93230"/>
    <n v="93230"/>
    <x v="10"/>
    <x v="20"/>
    <s v="Q"/>
    <s v=""/>
    <s v=""/>
    <x v="4"/>
    <n v="0.03"/>
  </r>
  <r>
    <n v="310549.11"/>
    <n v="3952167008"/>
    <s v="Actual"/>
    <s v="Long Maturity"/>
    <n v="402"/>
    <x v="247"/>
    <n v="363901.8"/>
    <x v="19"/>
    <d v="2019-09-05T00:00:00"/>
    <n v="14.893150684931506"/>
    <d v="2044-11-15T00:00:00"/>
    <n v="302"/>
    <n v="287"/>
    <d v="2020-12-01T00:00:00"/>
    <s v="Hangxing Ling &amp; Huali Chi"/>
    <s v="Walnut, CA 91789"/>
    <n v="91789"/>
    <x v="10"/>
    <x v="8"/>
    <s v="Q"/>
    <s v=""/>
    <s v=""/>
    <x v="7"/>
    <n v="0.03"/>
  </r>
  <r>
    <n v="310552.11"/>
    <n v="4168987008"/>
    <s v="Actual"/>
    <s v="Long Maturity"/>
    <n v="402"/>
    <x v="248"/>
    <n v="520373.37"/>
    <x v="23"/>
    <d v="2020-01-21T00:00:00"/>
    <n v="10.356164383561644"/>
    <d v="2045-02-15T00:00:00"/>
    <n v="301"/>
    <n v="290"/>
    <d v="2020-12-01T00:00:00"/>
    <s v="Principal Manufacturing Corp."/>
    <s v="Broadview, IL 60155"/>
    <n v="60155"/>
    <x v="3"/>
    <x v="98"/>
    <s v="Q"/>
    <s v=""/>
    <s v=""/>
    <x v="1"/>
    <n v="0.05"/>
  </r>
  <r>
    <n v="310570.11"/>
    <n v="2869707009"/>
    <s v="Actual"/>
    <s v="Long Maturity"/>
    <n v="402"/>
    <x v="249"/>
    <n v="542199.79"/>
    <x v="23"/>
    <d v="2020-01-24T00:00:00"/>
    <n v="10.257534246575343"/>
    <d v="2045-02-15T00:00:00"/>
    <n v="301"/>
    <n v="290"/>
    <d v="2020-12-01T00:00:00"/>
    <s v="Mimi's House, LLC"/>
    <s v="Loveland, OH 45140"/>
    <n v="45140"/>
    <x v="9"/>
    <x v="15"/>
    <s v="Q"/>
    <s v=""/>
    <s v=""/>
    <x v="1"/>
    <n v="0.05"/>
  </r>
  <r>
    <n v="310620.11"/>
    <n v="4174327005"/>
    <s v="Actual"/>
    <s v="Long Maturity"/>
    <n v="402"/>
    <x v="250"/>
    <n v="0"/>
    <x v="23"/>
    <d v="2020-01-17T00:00:00"/>
    <n v="10.487671232876712"/>
    <d v="2045-02-15T00:00:00"/>
    <n v="301"/>
    <n v="290"/>
    <d v="2020-12-01T00:00:00"/>
    <s v="M&amp;C Mgmt. Solutions LLC &amp; Central Florida Health &amp; Safety Training"/>
    <s v="Lakeland, FL 33813"/>
    <n v="33813"/>
    <x v="1"/>
    <x v="99"/>
    <s v="Q"/>
    <s v=""/>
    <s v=""/>
    <x v="2"/>
    <n v="0.05"/>
  </r>
  <r>
    <n v="310621.11"/>
    <n v="4184137000"/>
    <s v="Actual"/>
    <s v="Long Maturity"/>
    <n v="402"/>
    <x v="251"/>
    <n v="2524155.92"/>
    <x v="13"/>
    <d v="2020-01-24T00:00:00"/>
    <n v="10.257534246575343"/>
    <d v="2045-02-15T00:00:00"/>
    <n v="301"/>
    <n v="290"/>
    <d v="2020-12-01T00:00:00"/>
    <s v="EPIC Hotels LLC &amp; Epic Hospitality Inc."/>
    <s v="Pleasant Prairie, WI 53158"/>
    <n v="53158"/>
    <x v="15"/>
    <x v="20"/>
    <s v="Q"/>
    <s v=""/>
    <s v=""/>
    <x v="4"/>
    <n v="0.05"/>
  </r>
  <r>
    <n v="310734.11"/>
    <n v="3977547000"/>
    <s v="Actual"/>
    <s v="Long Maturity"/>
    <n v="402"/>
    <x v="252"/>
    <n v="2602279.13"/>
    <x v="6"/>
    <d v="2019-09-19T00:00:00"/>
    <n v="15.419178082191781"/>
    <d v="2044-11-15T00:00:00"/>
    <n v="302"/>
    <n v="287"/>
    <d v="2020-12-31T00:00:00"/>
    <s v="6614 South Broadway Laundry"/>
    <s v="Los Angeles, CA 90003"/>
    <n v="90003"/>
    <x v="10"/>
    <x v="100"/>
    <s v="Q"/>
    <s v=""/>
    <s v=""/>
    <x v="7"/>
    <n v="0.03"/>
  </r>
  <r>
    <n v="310781.11"/>
    <n v="3970227006"/>
    <s v="Actual"/>
    <s v="Long Maturity"/>
    <n v="402"/>
    <x v="253"/>
    <n v="246889.05"/>
    <x v="3"/>
    <d v="2019-09-18T00:00:00"/>
    <n v="14.465753424657533"/>
    <d v="2044-10-15T00:00:00"/>
    <n v="301"/>
    <n v="286"/>
    <d v="2020-12-01T00:00:00"/>
    <s v="Robert G. Linde"/>
    <s v="Saint Petersburg, FL 33707"/>
    <n v="33707"/>
    <x v="1"/>
    <x v="101"/>
    <s v="Q"/>
    <s v=""/>
    <s v=""/>
    <x v="1"/>
    <n v="0.03"/>
  </r>
  <r>
    <n v="310895.11"/>
    <n v="4244467008"/>
    <s v="Actual"/>
    <s v="Long Maturity"/>
    <n v="402"/>
    <x v="254"/>
    <n v="2664483.2799999998"/>
    <x v="4"/>
    <d v="2020-03-02T00:00:00"/>
    <n v="8.9753424657534246"/>
    <d v="2045-04-15T00:00:00"/>
    <n v="301"/>
    <n v="292"/>
    <d v="2020-11-30T00:00:00"/>
    <s v="Once Eleven LLC"/>
    <s v="Syracuse, NY 13206"/>
    <n v="13206"/>
    <x v="16"/>
    <x v="20"/>
    <s v="Q"/>
    <s v=""/>
    <s v=""/>
    <x v="3"/>
    <n v="0.05"/>
  </r>
  <r>
    <n v="310903.11"/>
    <n v="4226397007"/>
    <s v="Actual"/>
    <s v="Long Maturity"/>
    <n v="402"/>
    <x v="255"/>
    <n v="548488.24"/>
    <x v="4"/>
    <d v="2020-02-27T00:00:00"/>
    <n v="10.126027397260273"/>
    <d v="2045-03-15T00:00:00"/>
    <n v="301"/>
    <n v="291"/>
    <d v="2020-12-31T00:00:00"/>
    <s v="Akshay LLC"/>
    <s v="Childress, TX  79201"/>
    <n v="79201"/>
    <x v="0"/>
    <x v="20"/>
    <s v="Q"/>
    <s v=""/>
    <s v=""/>
    <x v="5"/>
    <n v="0.05"/>
  </r>
  <r>
    <n v="310916.11"/>
    <n v="4248737003"/>
    <s v="Actual"/>
    <s v="Long Maturity"/>
    <n v="402"/>
    <x v="256"/>
    <n v="180435.69"/>
    <x v="11"/>
    <d v="2020-02-27T00:00:00"/>
    <n v="9.1397260273972591"/>
    <d v="2045-03-15T00:00:00"/>
    <n v="301"/>
    <n v="291"/>
    <d v="2020-12-01T00:00:00"/>
    <s v="DG Garage, LLC"/>
    <s v="Salina, UT 84654"/>
    <n v="84654"/>
    <x v="34"/>
    <x v="8"/>
    <s v="Q"/>
    <s v=""/>
    <s v=""/>
    <x v="1"/>
    <n v="0.05"/>
  </r>
  <r>
    <n v="310961.11"/>
    <n v="3393127010"/>
    <s v="Actual"/>
    <s v="Long Maturity"/>
    <n v="402"/>
    <x v="257"/>
    <n v="2342761.65"/>
    <x v="4"/>
    <d v="2019-01-28T00:00:00"/>
    <n v="22.126027397260273"/>
    <d v="2044-02-15T00:00:00"/>
    <n v="301"/>
    <n v="278"/>
    <d v="2020-12-01T00:00:00"/>
    <s v="CRCW LLC dba Cool River Car Wash"/>
    <s v="Sugar Land, TX 77478"/>
    <n v="77478"/>
    <x v="0"/>
    <x v="16"/>
    <s v="Q"/>
    <s v=""/>
    <s v=""/>
    <x v="3"/>
    <n v="0.03"/>
  </r>
  <r>
    <n v="310999.11"/>
    <n v="3484327006"/>
    <s v="Actual"/>
    <s v="Long Maturity"/>
    <n v="402"/>
    <x v="258"/>
    <n v="602925.75"/>
    <x v="19"/>
    <d v="2019-02-01T00:00:00"/>
    <n v="21.994520547945204"/>
    <d v="2044-03-15T00:00:00"/>
    <n v="301"/>
    <n v="279"/>
    <d v="2020-12-01T00:00:00"/>
    <s v="David Menghsiung Wu"/>
    <s v="South El Monte, CA 91733"/>
    <n v="91733"/>
    <x v="10"/>
    <x v="102"/>
    <s v="Q"/>
    <s v=""/>
    <s v=""/>
    <x v="6"/>
    <n v="0.03"/>
  </r>
  <r>
    <n v="311033.11"/>
    <n v="4247857002"/>
    <s v="Actual"/>
    <s v="Long Maturity"/>
    <n v="402"/>
    <x v="259"/>
    <n v="1595801.28"/>
    <x v="13"/>
    <d v="2020-02-28T00:00:00"/>
    <n v="8.3666666666666671"/>
    <d v="2038-03-15T00:00:00"/>
    <n v="217"/>
    <n v="207"/>
    <d v="2020-11-09T00:00:00"/>
    <s v="American Ice Company, Inc."/>
    <s v="Elk Mound, WI 54739"/>
    <n v="54739"/>
    <x v="15"/>
    <x v="103"/>
    <s v="Q"/>
    <s v=""/>
    <s v=""/>
    <x v="3"/>
    <n v="0.05"/>
  </r>
  <r>
    <n v="311229.11"/>
    <n v="3752997005"/>
    <s v="Actual"/>
    <s v="Long Maturity"/>
    <n v="402"/>
    <x v="260"/>
    <n v="1720816.03"/>
    <x v="13"/>
    <d v="2019-05-31T00:00:00"/>
    <n v="18.082191780821919"/>
    <d v="2044-07-15T00:00:00"/>
    <n v="302"/>
    <n v="283"/>
    <d v="2020-12-01T00:00:00"/>
    <s v="Bajrang, Inc."/>
    <s v="Metairie, LA 70003"/>
    <n v="70003"/>
    <x v="20"/>
    <x v="20"/>
    <s v="Q"/>
    <s v=""/>
    <s v=""/>
    <x v="6"/>
    <n v="0.03"/>
  </r>
  <r>
    <n v="311244.11"/>
    <n v="4275617008"/>
    <s v="Actual"/>
    <s v="Long Maturity"/>
    <n v="402"/>
    <x v="261"/>
    <n v="865441.95"/>
    <x v="11"/>
    <d v="2020-03-13T00:00:00"/>
    <n v="8.6465753424657539"/>
    <d v="2045-04-15T00:00:00"/>
    <n v="301"/>
    <n v="292"/>
    <d v="2020-12-01T00:00:00"/>
    <s v="Hgmg Inc."/>
    <s v="Wolcott, IN 47995"/>
    <n v="47995"/>
    <x v="39"/>
    <x v="4"/>
    <s v="Q"/>
    <s v=""/>
    <s v=""/>
    <x v="1"/>
    <n v="0.05"/>
  </r>
  <r>
    <n v="311254.11"/>
    <n v="4279607002"/>
    <s v="Actual"/>
    <s v="Long Maturity"/>
    <n v="402"/>
    <x v="262"/>
    <n v="490658.16"/>
    <x v="11"/>
    <d v="2020-04-09T00:00:00"/>
    <n v="7.956164383561644"/>
    <d v="2045-05-15T00:00:00"/>
    <n v="301"/>
    <n v="293"/>
    <d v="2020-12-07T00:00:00"/>
    <s v="U S Shipping Trans Inc"/>
    <s v="Stockton, CA 95206"/>
    <n v="95206"/>
    <x v="10"/>
    <x v="104"/>
    <s v="Q"/>
    <s v=""/>
    <s v=""/>
    <x v="1"/>
    <n v="0.05"/>
  </r>
  <r>
    <n v="311256.11"/>
    <n v="4256517007"/>
    <s v="Actual"/>
    <s v="Long Maturity"/>
    <n v="402"/>
    <x v="263"/>
    <n v="2744322.88"/>
    <x v="19"/>
    <d v="2020-04-06T00:00:00"/>
    <n v="6.9041095890410951"/>
    <d v="2045-05-15T00:00:00"/>
    <n v="301"/>
    <n v="293"/>
    <d v="2020-11-02T00:00:00"/>
    <s v="JDE BRAND, Inc."/>
    <s v="Austin, TX 78744"/>
    <n v="78744"/>
    <x v="0"/>
    <x v="20"/>
    <s v="Q"/>
    <s v=""/>
    <s v=""/>
    <x v="5"/>
    <n v="0.05"/>
  </r>
  <r>
    <n v="311257.11"/>
    <n v="6419497008"/>
    <s v="Actual"/>
    <s v="Long Maturity"/>
    <n v="402"/>
    <x v="264"/>
    <n v="2432063.16"/>
    <x v="11"/>
    <d v="2020-04-06T00:00:00"/>
    <n v="8.0547945205479454"/>
    <d v="2045-05-15T00:00:00"/>
    <n v="301"/>
    <n v="293"/>
    <d v="2020-12-07T00:00:00"/>
    <s v="Kanne Real Estate Holdings LLC"/>
    <s v="Orange, CA 92865"/>
    <n v="92865"/>
    <x v="10"/>
    <x v="70"/>
    <s v="Q"/>
    <s v=""/>
    <s v=""/>
    <x v="1"/>
    <n v="0.05"/>
  </r>
  <r>
    <n v="311258.11"/>
    <n v="4540847009"/>
    <s v="Actual"/>
    <s v="Long Maturity"/>
    <n v="402"/>
    <x v="265"/>
    <n v="556137.72"/>
    <x v="13"/>
    <d v="2020-04-03T00:00:00"/>
    <n v="7.956164383561644"/>
    <d v="2045-05-15T00:00:00"/>
    <n v="301"/>
    <n v="293"/>
    <d v="2020-12-01T00:00:00"/>
    <s v="Marvin J. Kerby Family Trust dated June 6, 1986 &amp; Kerby Furniture Inc"/>
    <s v="Mesa, AZ 85207"/>
    <n v="85207"/>
    <x v="5"/>
    <x v="105"/>
    <s v="Q"/>
    <s v=""/>
    <s v=""/>
    <x v="3"/>
    <n v="0.05"/>
  </r>
  <r>
    <n v="311259.11"/>
    <n v="4303657007"/>
    <s v="Actual"/>
    <s v="Long Maturity"/>
    <n v="402"/>
    <x v="266"/>
    <n v="625426.81999999995"/>
    <x v="18"/>
    <d v="2020-03-24T00:00:00"/>
    <n v="8.5150684931506841"/>
    <d v="2045-05-15T00:00:00"/>
    <n v="302"/>
    <n v="293"/>
    <d v="2020-12-08T00:00:00"/>
    <s v="549 W Sunset LLC"/>
    <s v="Henderson, NV 89011"/>
    <n v="89011"/>
    <x v="40"/>
    <x v="88"/>
    <s v="Q"/>
    <s v=""/>
    <s v=""/>
    <x v="0"/>
    <n v="0.05"/>
  </r>
  <r>
    <n v="311260.11"/>
    <n v="4285637007"/>
    <s v="Actual"/>
    <s v="Long Maturity"/>
    <n v="402"/>
    <x v="267"/>
    <n v="198843.58"/>
    <x v="11"/>
    <d v="2020-03-24T00:00:00"/>
    <n v="8.580821917808219"/>
    <d v="2045-05-15T00:00:00"/>
    <n v="302"/>
    <n v="293"/>
    <d v="2020-12-10T00:00:00"/>
    <s v="R &amp; K Properties, LLC"/>
    <s v="Sparks, NV 89432"/>
    <n v="89432"/>
    <x v="40"/>
    <x v="106"/>
    <s v="Q"/>
    <s v=""/>
    <s v=""/>
    <x v="3"/>
    <n v="0.05"/>
  </r>
  <r>
    <n v="311261.11"/>
    <n v="4301397008"/>
    <s v="Actual"/>
    <s v="Long Maturity"/>
    <n v="402"/>
    <x v="268"/>
    <n v="1717370.47"/>
    <x v="18"/>
    <d v="2020-03-24T00:00:00"/>
    <n v="8.580821917808219"/>
    <d v="2045-05-15T00:00:00"/>
    <n v="302"/>
    <n v="293"/>
    <d v="2020-12-10T00:00:00"/>
    <s v="S &amp; A Commercial Properties LLC"/>
    <s v="Fresno, CA 93725"/>
    <n v="93725"/>
    <x v="10"/>
    <x v="58"/>
    <s v="Q"/>
    <s v=""/>
    <s v=""/>
    <x v="2"/>
    <n v="0.05"/>
  </r>
  <r>
    <n v="311306.11"/>
    <n v="9699917109"/>
    <s v="Actual"/>
    <s v="Long Maturity"/>
    <n v="402"/>
    <x v="269"/>
    <n v="3716005.47"/>
    <x v="18"/>
    <d v="2020-04-24T00:00:00"/>
    <n v="7.5616438356164384"/>
    <d v="2045-05-15T00:00:00"/>
    <n v="301"/>
    <n v="293"/>
    <d v="2020-12-10T00:00:00"/>
    <s v="2627 Colchester, LLC and Softline Home Fashions Inc."/>
    <s v="Gardena, CA 90247"/>
    <n v="90247"/>
    <x v="10"/>
    <x v="107"/>
    <s v="Q"/>
    <s v=""/>
    <s v=""/>
    <x v="0"/>
    <n v="0.05"/>
  </r>
  <r>
    <n v="311393.11"/>
    <n v="3816247003"/>
    <s v="Actual"/>
    <s v="Long Maturity"/>
    <n v="402"/>
    <x v="270"/>
    <n v="2137449.92"/>
    <x v="11"/>
    <d v="2019-07-31T00:00:00"/>
    <n v="16.076712328767123"/>
    <d v="2044-12-15T00:00:00"/>
    <n v="305"/>
    <n v="288"/>
    <d v="2020-12-01T00:00:00"/>
    <s v="Gala 1 LLC dba Country Inn &amp; Suites"/>
    <s v="Saraland, AL 36571"/>
    <n v="36571"/>
    <x v="35"/>
    <x v="20"/>
    <s v="Q"/>
    <s v=""/>
    <s v=""/>
    <x v="1"/>
    <n v="0.03"/>
  </r>
  <r>
    <n v="311396.11"/>
    <n v="3456957206"/>
    <s v="Actual"/>
    <s v="Long Maturity"/>
    <n v="402"/>
    <x v="271"/>
    <n v="306297.86"/>
    <x v="2"/>
    <d v="2020-05-15T00:00:00"/>
    <n v="6.5753424657534243"/>
    <d v="2045-06-15T00:00:00"/>
    <n v="301"/>
    <n v="294"/>
    <d v="2020-12-01T00:00:00"/>
    <s v="Thermoclear, Inc."/>
    <s v="N. Hollywood, CA 91601"/>
    <n v="91601"/>
    <x v="10"/>
    <x v="88"/>
    <s v="Q"/>
    <s v=""/>
    <s v=""/>
    <x v="1"/>
    <n v="0.05"/>
  </r>
  <r>
    <n v="311415.11"/>
    <n v="3960307002"/>
    <s v="Actual"/>
    <s v="Long Maturity"/>
    <n v="402"/>
    <x v="272"/>
    <n v="345081.36"/>
    <x v="11"/>
    <d v="2019-10-02T00:00:00"/>
    <n v="14.038356164383561"/>
    <d v="2044-11-15T00:00:00"/>
    <n v="301"/>
    <n v="287"/>
    <d v="2020-12-02T00:00:00"/>
    <s v="D &amp; S Life LLC"/>
    <s v="Columbus, OH 43232"/>
    <n v="43232"/>
    <x v="9"/>
    <x v="2"/>
    <s v="Q"/>
    <s v=""/>
    <s v=""/>
    <x v="3"/>
    <n v="0.03"/>
  </r>
  <r>
    <n v="311454.11"/>
    <n v="3362107208"/>
    <s v="Actual"/>
    <s v="Long Maturity"/>
    <n v="402"/>
    <x v="273"/>
    <n v="2202754.2000000002"/>
    <x v="19"/>
    <d v="2020-04-28T00:00:00"/>
    <n v="7.1342465753424662"/>
    <d v="2045-06-15T00:00:00"/>
    <n v="302"/>
    <n v="294"/>
    <d v="2020-12-01T00:00:00"/>
    <s v="16052 Chase Street, LLC"/>
    <s v="North Hills, CA 91343"/>
    <n v="91343"/>
    <x v="10"/>
    <x v="48"/>
    <s v="Q"/>
    <s v=""/>
    <s v=""/>
    <x v="4"/>
    <n v="0.05"/>
  </r>
  <r>
    <n v="311494.11"/>
    <n v="4247777002"/>
    <s v="Actual"/>
    <s v="Long Maturity"/>
    <n v="402"/>
    <x v="274"/>
    <n v="162358.1"/>
    <x v="23"/>
    <d v="2020-03-27T00:00:00"/>
    <n v="9.2000000000000011"/>
    <d v="2045-04-15T00:00:00"/>
    <n v="301"/>
    <n v="292"/>
    <d v="2021-01-03T00:00:00"/>
    <s v="Da Vinci Studio LLC"/>
    <s v="Augusta, GA 30906"/>
    <n v="30906"/>
    <x v="2"/>
    <x v="108"/>
    <s v="Q"/>
    <s v=""/>
    <s v=""/>
    <x v="2"/>
    <n v="0.05"/>
  </r>
  <r>
    <n v="311502.11"/>
    <n v="9287547109"/>
    <s v="Actual"/>
    <s v="Long Maturity"/>
    <n v="402"/>
    <x v="275"/>
    <n v="502500"/>
    <x v="4"/>
    <d v="2020-04-21T00:00:00"/>
    <n v="7.4301369863013704"/>
    <d v="2045-05-15T00:00:00"/>
    <n v="301"/>
    <n v="293"/>
    <d v="2020-12-03T00:00:00"/>
    <s v="Royal Hotel"/>
    <s v="San Pedro, CA 90731"/>
    <n v="90731"/>
    <x v="10"/>
    <x v="20"/>
    <s v="Q"/>
    <s v=""/>
    <s v=""/>
    <x v="5"/>
    <n v="0.05"/>
  </r>
  <r>
    <n v="311503.11"/>
    <n v="7531787006"/>
    <s v="Actual"/>
    <s v="Long Maturity"/>
    <n v="402"/>
    <x v="276"/>
    <n v="126579.77"/>
    <x v="4"/>
    <d v="2020-04-09T00:00:00"/>
    <n v="7.9890410958904114"/>
    <d v="2045-05-15T00:00:00"/>
    <n v="301"/>
    <n v="293"/>
    <d v="2020-12-08T00:00:00"/>
    <s v="FAB KS Enterprises LLC dba U Beauty"/>
    <s v="Fitzgerald, GA 31750"/>
    <n v="31750"/>
    <x v="2"/>
    <x v="94"/>
    <s v="Q"/>
    <s v=""/>
    <s v=""/>
    <x v="3"/>
    <n v="0.05"/>
  </r>
  <r>
    <n v="311511.11"/>
    <n v="4266287003"/>
    <s v="Actual"/>
    <s v="Long Maturity"/>
    <n v="402"/>
    <x v="277"/>
    <n v="514945.86"/>
    <x v="4"/>
    <d v="2020-03-13T00:00:00"/>
    <n v="8.6"/>
    <d v="2045-04-15T00:00:00"/>
    <n v="301"/>
    <n v="292"/>
    <d v="2020-12-01T00:00:00"/>
    <s v="Pine Lake Laporte Property LLC"/>
    <s v="La Porte, IN 46350"/>
    <n v="46350"/>
    <x v="39"/>
    <x v="4"/>
    <s v="Q"/>
    <s v=""/>
    <s v=""/>
    <x v="3"/>
    <n v="0.05"/>
  </r>
  <r>
    <n v="311619.11"/>
    <n v="3474007000"/>
    <s v="Actual"/>
    <s v="Long Maturity"/>
    <n v="402"/>
    <x v="278"/>
    <n v="545392.63"/>
    <x v="11"/>
    <d v="2019-03-07T00:00:00"/>
    <n v="20.876712328767123"/>
    <d v="2044-04-15T00:00:00"/>
    <n v="301"/>
    <n v="280"/>
    <d v="2020-12-01T00:00:00"/>
    <s v="Complete Automotive"/>
    <s v="Conyers, GA 30094"/>
    <n v="30094"/>
    <x v="2"/>
    <x v="8"/>
    <s v="Q"/>
    <s v=""/>
    <s v=""/>
    <x v="2"/>
    <n v="0.03"/>
  </r>
  <r>
    <n v="311708.11"/>
    <n v="3399987000"/>
    <s v="Actual"/>
    <s v="Long Maturity"/>
    <n v="402"/>
    <x v="279"/>
    <n v="1718250"/>
    <x v="4"/>
    <d v="2019-05-28T00:00:00"/>
    <n v="18.213698630136985"/>
    <d v="2045-10-15T00:00:00"/>
    <n v="317"/>
    <n v="298"/>
    <d v="2020-12-02T00:00:00"/>
    <s v="State Drug Testing &amp; Occupational Health Inc &amp; The Fiducia Group LLC"/>
    <s v="Savannah, GA 31408"/>
    <n v="31408"/>
    <x v="2"/>
    <x v="65"/>
    <s v="Q"/>
    <s v=""/>
    <s v=""/>
    <x v="5"/>
    <n v="0.03"/>
  </r>
  <r>
    <n v="311769.11"/>
    <n v="9927857804"/>
    <s v="Actual"/>
    <s v="Long Maturity"/>
    <n v="402"/>
    <x v="280"/>
    <n v="569493.37"/>
    <x v="18"/>
    <d v="2020-06-11T00:00:00"/>
    <n v="5.6876712328767125"/>
    <d v="2045-07-15T00:00:00"/>
    <n v="301"/>
    <n v="295"/>
    <d v="2020-12-01T00:00:00"/>
    <s v="Rogelio Velarde and Maria R. Velarde"/>
    <s v="San Fernando, CA 91340"/>
    <n v="91340"/>
    <x v="10"/>
    <x v="3"/>
    <s v="Q"/>
    <s v=""/>
    <s v=""/>
    <x v="0"/>
    <n v="0.05"/>
  </r>
  <r>
    <n v="311770.11"/>
    <n v="3703617305"/>
    <s v="Actual"/>
    <s v="Long Maturity"/>
    <n v="402"/>
    <x v="281"/>
    <n v="781657.55"/>
    <x v="11"/>
    <d v="2020-06-10T00:00:00"/>
    <n v="5.720547945205479"/>
    <d v="2045-07-15T00:00:00"/>
    <n v="301"/>
    <n v="295"/>
    <d v="2020-12-01T00:00:00"/>
    <s v="15942 Arminta LLC"/>
    <s v="Los Angeles, CA 91406"/>
    <n v="91406"/>
    <x v="10"/>
    <x v="109"/>
    <s v="Q"/>
    <s v=""/>
    <s v=""/>
    <x v="0"/>
    <n v="0.05"/>
  </r>
  <r>
    <n v="311771.11"/>
    <n v="9742177402"/>
    <s v="Actual"/>
    <s v="Long Maturity"/>
    <n v="402"/>
    <x v="282"/>
    <n v="455445.81"/>
    <x v="18"/>
    <d v="2020-06-10T00:00:00"/>
    <n v="5.720547945205479"/>
    <d v="2045-07-15T00:00:00"/>
    <n v="301"/>
    <n v="295"/>
    <d v="2020-12-01T00:00:00"/>
    <s v="Farzin Noohi; Southern California Private Investigators, Inc. and Docu"/>
    <s v="Tustin, CA 92780"/>
    <n v="92780"/>
    <x v="10"/>
    <x v="110"/>
    <s v="Q"/>
    <s v=""/>
    <s v=""/>
    <x v="0"/>
    <n v="0.05"/>
  </r>
  <r>
    <n v="311795.11"/>
    <n v="4262447006"/>
    <s v="Actual"/>
    <s v="Long Maturity"/>
    <n v="402"/>
    <x v="283"/>
    <n v="502004.57"/>
    <x v="19"/>
    <d v="2020-06-12T00:00:00"/>
    <n v="5.6547945205479451"/>
    <d v="2045-07-15T00:00:00"/>
    <n v="301"/>
    <n v="295"/>
    <d v="2020-12-01T00:00:00"/>
    <s v="Pamela K. Thomsen and Arthur R. Thomsen"/>
    <s v="Ramona, CA 92605"/>
    <n v="92605"/>
    <x v="10"/>
    <x v="0"/>
    <s v="Q"/>
    <s v=""/>
    <s v=""/>
    <x v="4"/>
    <n v="0.05"/>
  </r>
  <r>
    <n v="312179.11"/>
    <n v="3651297008"/>
    <s v="Actual"/>
    <s v="Long Maturity"/>
    <n v="402"/>
    <x v="284"/>
    <n v="85629.36"/>
    <x v="13"/>
    <d v="2019-05-03T00:00:00"/>
    <n v="19.232876712328768"/>
    <d v="2044-09-15T00:00:00"/>
    <n v="304"/>
    <n v="285"/>
    <d v="2020-12-08T00:00:00"/>
    <s v="Financiamiento Facil LLC"/>
    <s v="Bacliff, TX 77518"/>
    <n v="77518"/>
    <x v="0"/>
    <x v="21"/>
    <s v="Q"/>
    <s v=""/>
    <s v=""/>
    <x v="3"/>
    <n v="0.03"/>
  </r>
  <r>
    <n v="312224.11"/>
    <n v="6355718107"/>
    <s v="Actual"/>
    <s v="Long Maturity"/>
    <n v="402"/>
    <x v="285"/>
    <n v="1748135.38"/>
    <x v="15"/>
    <d v="2020-08-06T00:00:00"/>
    <n v="3.8465753424657536"/>
    <d v="2037-09-15T00:00:00"/>
    <n v="205"/>
    <n v="201"/>
    <d v="2020-12-01T00:00:00"/>
    <s v="Berg Imports, LLC"/>
    <s v="Ann Arbor, MI 48103"/>
    <n v="48103"/>
    <x v="8"/>
    <x v="111"/>
    <s v="Q"/>
    <s v=""/>
    <s v=""/>
    <x v="1"/>
    <n v="0.05"/>
  </r>
  <r>
    <n v="312228.11"/>
    <n v="3889127003"/>
    <s v="Actual"/>
    <s v="Long Maturity"/>
    <n v="402"/>
    <x v="286"/>
    <n v="63528.39"/>
    <x v="11"/>
    <d v="2019-08-29T00:00:00"/>
    <n v="15.221917808219178"/>
    <d v="2034-10-15T00:00:00"/>
    <n v="182"/>
    <n v="166"/>
    <d v="2020-12-04T00:00:00"/>
    <s v="Danielle Gaus"/>
    <s v="Wheeling, WV 26003"/>
    <n v="26003"/>
    <x v="37"/>
    <x v="94"/>
    <s v="Q"/>
    <s v=""/>
    <s v=""/>
    <x v="1"/>
    <n v="0.03"/>
  </r>
  <r>
    <n v="312432.11"/>
    <n v="4156157009"/>
    <s v="Actual"/>
    <s v="Long Maturity"/>
    <n v="402"/>
    <x v="287"/>
    <n v="1229248.0900000001"/>
    <x v="4"/>
    <d v="2019-12-23T00:00:00"/>
    <n v="11.266666666666666"/>
    <d v="2035-01-15T00:00:00"/>
    <n v="181"/>
    <n v="169"/>
    <d v="2020-12-01T00:00:00"/>
    <s v="36-42 MN Street LLC                     "/>
    <s v="Sussex, NJ 07461"/>
    <n v="7461"/>
    <x v="13"/>
    <x v="112"/>
    <s v="Q"/>
    <s v=""/>
    <s v=""/>
    <x v="2"/>
    <n v="0.05"/>
  </r>
  <r>
    <n v="302068.11"/>
    <n v="8026115005"/>
    <s v="Actual"/>
    <s v="Long Maturity"/>
    <n v="402"/>
    <x v="288"/>
    <n v="302643.90000000002"/>
    <x v="52"/>
    <d v="2016-01-06T00:00:00"/>
    <n v="59.112328767123287"/>
    <d v="2036-02-15T00:00:00"/>
    <n v="241"/>
    <n v="182"/>
    <d v="2020-12-08T00:00:00"/>
    <s v="Texas Moja Foods, LLC dba Mooya"/>
    <s v="Frisco, TX 75035"/>
    <n v="75035"/>
    <x v="0"/>
    <x v="23"/>
    <s v="Q"/>
    <s v=""/>
    <s v=""/>
    <x v="1"/>
    <n v="0"/>
  </r>
  <r>
    <n v="305918.11"/>
    <n v="1227197004"/>
    <s v="Actual"/>
    <s v="Long Maturity"/>
    <n v="402"/>
    <x v="289"/>
    <n v="1560739.25"/>
    <x v="13"/>
    <d v="2017-11-14T00:00:00"/>
    <n v="36.766666666666666"/>
    <d v="2043-10-15T00:00:00"/>
    <n v="311"/>
    <n v="274"/>
    <d v="2020-12-07T00:00:00"/>
    <s v="County Line Acquisitions, LLC"/>
    <s v="Spring Hill, FL 34610"/>
    <n v="34610"/>
    <x v="1"/>
    <x v="27"/>
    <s v="Q"/>
    <s v=""/>
    <s v=""/>
    <x v="2"/>
    <n v="0"/>
  </r>
  <r>
    <n v="309728.11"/>
    <n v="3993137006"/>
    <s v="Actual"/>
    <s v="Long Maturity"/>
    <n v="402"/>
    <x v="290"/>
    <n v="147679.21"/>
    <x v="23"/>
    <d v="2019-10-21T00:00:00"/>
    <n v="13.512328767123286"/>
    <d v="2044-11-15T00:00:00"/>
    <n v="301"/>
    <n v="287"/>
    <d v="2020-12-05T00:00:00"/>
    <s v="South Hills Home Service, LLC &amp; Aveyac, Inc._x0009__x0009__x0009_"/>
    <s v="Preston, PA 15142_x0009__x0009__x0009__x0009_"/>
    <n v="15142"/>
    <x v="11"/>
    <x v="51"/>
    <s v="Q"/>
    <s v=""/>
    <s v=""/>
    <x v="0"/>
    <n v="0.03"/>
  </r>
  <r>
    <n v="309953.11"/>
    <n v="4103767000"/>
    <s v="Actual"/>
    <s v="Long Maturity"/>
    <n v="402"/>
    <x v="291"/>
    <n v="1063849.42"/>
    <x v="11"/>
    <d v="2019-11-25T00:00:00"/>
    <n v="12.263013698630136"/>
    <d v="2044-12-15T00:00:00"/>
    <n v="301"/>
    <n v="288"/>
    <d v="2020-12-02T00:00:00"/>
    <s v="Capital SA LLC dba Econo Lodge of Goldsboro"/>
    <s v="Goldsboro, NC 27534"/>
    <n v="27534"/>
    <x v="6"/>
    <x v="20"/>
    <s v="Q"/>
    <s v=""/>
    <s v=""/>
    <x v="3"/>
    <n v="0.03"/>
  </r>
  <r>
    <n v="310014.11"/>
    <n v="4073457010"/>
    <s v="Actual"/>
    <s v="Long Maturity"/>
    <n v="402"/>
    <x v="292"/>
    <n v="551916.6"/>
    <x v="13"/>
    <d v="2019-11-27T00:00:00"/>
    <n v="12.361643835616437"/>
    <d v="2036-12-15T00:00:00"/>
    <n v="205"/>
    <n v="192"/>
    <d v="2020-12-07T00:00:00"/>
    <s v="Premier Printing, Inc"/>
    <s v="Brunswick, GA 31520"/>
    <n v="31520"/>
    <x v="2"/>
    <x v="113"/>
    <s v="Q"/>
    <s v=""/>
    <s v=""/>
    <x v="5"/>
    <n v="0.03"/>
  </r>
  <r>
    <n v="310227.11"/>
    <n v="2931307009"/>
    <s v="Actual"/>
    <s v="Long Maturity"/>
    <n v="402"/>
    <x v="293"/>
    <n v="2426409.0699999998"/>
    <x v="19"/>
    <d v="2018-10-02T00:00:00"/>
    <n v="26.07123287671233"/>
    <d v="2043-11-15T00:00:00"/>
    <n v="301"/>
    <n v="275"/>
    <d v="2020-12-03T00:00:00"/>
    <s v="PPGE Alamo, LLC"/>
    <s v="San Antonio, TX 78207"/>
    <n v="78207"/>
    <x v="0"/>
    <x v="20"/>
    <s v="Q"/>
    <s v=""/>
    <s v=""/>
    <x v="6"/>
    <n v="0.01"/>
  </r>
  <r>
    <n v="310512.11"/>
    <n v="4182427000"/>
    <s v="Actual"/>
    <s v="Long Maturity"/>
    <n v="402"/>
    <x v="294"/>
    <n v="2313555.67"/>
    <x v="19"/>
    <d v="2020-01-11T00:00:00"/>
    <n v="10.717808219178082"/>
    <d v="2045-02-15T00:00:00"/>
    <n v="301"/>
    <n v="290"/>
    <d v="2020-12-02T00:00:00"/>
    <s v="Akron Hotel Suites, LLC dba Red Roof Inn of Akron OH"/>
    <s v="Akron, OH 44312"/>
    <n v="44312"/>
    <x v="9"/>
    <x v="20"/>
    <s v="Q"/>
    <s v=""/>
    <s v=""/>
    <x v="5"/>
    <n v="0.05"/>
  </r>
  <r>
    <n v="310557.11"/>
    <n v="4001717006"/>
    <s v="Actual"/>
    <s v="Long Maturity"/>
    <n v="402"/>
    <x v="295"/>
    <n v="663035.98"/>
    <x v="18"/>
    <d v="2020-01-17T00:00:00"/>
    <n v="10.520547945205479"/>
    <d v="2045-02-15T00:00:00"/>
    <n v="301"/>
    <n v="290"/>
    <d v="2020-12-02T00:00:00"/>
    <s v="Performers Theatre Workshop, Inc."/>
    <s v="Millburn, NJ 07041"/>
    <n v="7041"/>
    <x v="13"/>
    <x v="47"/>
    <s v="Q"/>
    <s v=""/>
    <s v=""/>
    <x v="2"/>
    <n v="0.05"/>
  </r>
  <r>
    <n v="310559.11"/>
    <n v="4182227010"/>
    <s v="Actual"/>
    <s v="Long Maturity"/>
    <n v="402"/>
    <x v="296"/>
    <n v="3673344.73"/>
    <x v="13"/>
    <d v="2020-01-14T00:00:00"/>
    <n v="10.61917808219178"/>
    <d v="2045-02-15T00:00:00"/>
    <n v="301"/>
    <n v="290"/>
    <d v="2020-12-02T00:00:00"/>
    <s v="ANZ Scranton LLC"/>
    <s v="Scranton, PA 18505"/>
    <n v="18505"/>
    <x v="11"/>
    <x v="20"/>
    <s v="Q"/>
    <s v=""/>
    <s v=""/>
    <x v="4"/>
    <n v="0.05"/>
  </r>
  <r>
    <n v="310745.11"/>
    <n v="4036207006"/>
    <s v="Actual"/>
    <s v="Long Maturity"/>
    <n v="402"/>
    <x v="297"/>
    <n v="3023057.91"/>
    <x v="18"/>
    <d v="2019-10-24T00:00:00"/>
    <n v="13.315068493150685"/>
    <d v="2044-11-15T00:00:00"/>
    <n v="301"/>
    <n v="287"/>
    <d v="2020-12-02T00:00:00"/>
    <s v="Sleep Inn &amp; Suites Austin"/>
    <s v="Austin, TX 78728"/>
    <n v="78728"/>
    <x v="0"/>
    <x v="20"/>
    <s v="Q"/>
    <s v=""/>
    <s v=""/>
    <x v="4"/>
    <n v="0.03"/>
  </r>
  <r>
    <n v="310758.11"/>
    <n v="4004277000"/>
    <s v="Actual"/>
    <s v="Long Maturity"/>
    <n v="402"/>
    <x v="298"/>
    <n v="583466.35"/>
    <x v="3"/>
    <d v="2019-10-07T00:00:00"/>
    <n v="13.972602739726028"/>
    <d v="2044-11-15T00:00:00"/>
    <n v="301"/>
    <n v="287"/>
    <d v="2020-12-05T00:00:00"/>
    <s v="B&amp;H Mart Inc."/>
    <s v="West Bend, WI 53095"/>
    <n v="53095"/>
    <x v="15"/>
    <x v="4"/>
    <s v="Q"/>
    <s v=""/>
    <s v=""/>
    <x v="1"/>
    <n v="0.03"/>
  </r>
  <r>
    <n v="311392.11"/>
    <n v="4241227000"/>
    <s v="Actual"/>
    <s v="Long Maturity"/>
    <n v="402"/>
    <x v="299"/>
    <n v="1845875.59"/>
    <x v="19"/>
    <d v="2020-02-20T00:00:00"/>
    <n v="9.4027397260273968"/>
    <d v="2045-06-15T00:00:00"/>
    <n v="304"/>
    <n v="294"/>
    <d v="2020-12-02T00:00:00"/>
    <s v="Pawley's Island Group LLC dba Quality Inn &amp; Suites"/>
    <s v="Pawleys Island, SC 29585"/>
    <n v="29585"/>
    <x v="22"/>
    <x v="20"/>
    <s v="Q"/>
    <s v=""/>
    <s v=""/>
    <x v="4"/>
    <n v="0.05"/>
  </r>
  <r>
    <n v="311444.11"/>
    <n v="3450617208"/>
    <s v="Actual"/>
    <s v="Long Maturity"/>
    <n v="402"/>
    <x v="300"/>
    <n v="487094.59"/>
    <x v="15"/>
    <d v="2020-05-08T00:00:00"/>
    <n v="7.6273972602739732"/>
    <d v="2045-06-15T00:00:00"/>
    <n v="301"/>
    <n v="294"/>
    <d v="2020-12-26T00:00:00"/>
    <s v="Choice Foods, LLC and Bakers Drive-In LLC"/>
    <s v="Mckinney, TX 75069"/>
    <n v="75069"/>
    <x v="0"/>
    <x v="23"/>
    <s v="Q"/>
    <s v=""/>
    <s v=""/>
    <x v="0"/>
    <n v="0.05"/>
  </r>
  <r>
    <n v="311505.11"/>
    <n v="4293377001"/>
    <s v="Actual"/>
    <s v="Long Maturity"/>
    <n v="402"/>
    <x v="301"/>
    <n v="2145943.67"/>
    <x v="13"/>
    <d v="2020-03-18T00:00:00"/>
    <n v="8.5479452054794507"/>
    <d v="2045-04-15T00:00:00"/>
    <n v="301"/>
    <n v="292"/>
    <d v="2020-12-03T00:00:00"/>
    <s v="Village Inn Restaurant &amp; Motel 6"/>
    <s v="St Helens, OR  97051"/>
    <n v="97051"/>
    <x v="21"/>
    <x v="20"/>
    <s v="Q"/>
    <s v=""/>
    <s v=""/>
    <x v="4"/>
    <n v="0.05"/>
  </r>
  <r>
    <n v="311606.11"/>
    <n v="3494217001"/>
    <s v="Actual"/>
    <s v="Long Maturity"/>
    <n v="402"/>
    <x v="302"/>
    <n v="233225.86"/>
    <x v="11"/>
    <d v="2020-05-04T00:00:00"/>
    <n v="7.397260273972603"/>
    <d v="2045-06-15T00:00:00"/>
    <n v="301"/>
    <n v="294"/>
    <d v="2020-12-15T00:00:00"/>
    <s v="Helping Hands Maintenance Service"/>
    <s v="Eddington, ME 04428"/>
    <n v="4428"/>
    <x v="41"/>
    <x v="114"/>
    <s v="Q"/>
    <s v=""/>
    <s v=""/>
    <x v="3"/>
    <n v="0.05"/>
  </r>
  <r>
    <n v="312201.11"/>
    <n v="4238937000"/>
    <s v="Actual"/>
    <s v="Long Maturity"/>
    <n v="402"/>
    <x v="303"/>
    <n v="185961.93"/>
    <x v="15"/>
    <d v="2020-06-17T00:00:00"/>
    <n v="5.5232876712328771"/>
    <d v="2045-07-15T00:00:00"/>
    <n v="301"/>
    <n v="295"/>
    <d v="2020-12-02T00:00:00"/>
    <s v="Amendment &amp; Restatement of the Green Family Trust dated 8/25/16"/>
    <s v="Pacheco, CA 94553"/>
    <n v="94553"/>
    <x v="10"/>
    <x v="115"/>
    <s v="Q"/>
    <s v=""/>
    <s v=""/>
    <x v="9"/>
    <n v="0.05"/>
  </r>
  <r>
    <n v="304883.11"/>
    <n v="9256965002"/>
    <s v="Actual"/>
    <s v="Long Maturity"/>
    <n v="402"/>
    <x v="304"/>
    <n v="1771393.05"/>
    <x v="53"/>
    <d v="2017-02-15T00:00:00"/>
    <n v="46.684931506849317"/>
    <d v="2042-03-15T00:00:00"/>
    <n v="301"/>
    <n v="255"/>
    <d v="2021-01-05T00:00:00"/>
    <s v="Super Nine, LLC  Super Telge Enterprises, LLC"/>
    <s v="Cypress, TX 77429"/>
    <n v="77429"/>
    <x v="0"/>
    <x v="4"/>
    <s v="Q"/>
    <s v=""/>
    <s v=""/>
    <x v="5"/>
    <n v="0"/>
  </r>
  <r>
    <n v="304998.11"/>
    <n v="9634335010"/>
    <s v="Actual"/>
    <s v="Long Maturity"/>
    <n v="402"/>
    <x v="305"/>
    <n v="144310.68"/>
    <x v="28"/>
    <d v="2017-11-21T00:00:00"/>
    <n v="36.800000000000004"/>
    <d v="2043-03-15T00:00:00"/>
    <n v="304"/>
    <n v="267"/>
    <d v="2020-12-15T00:00:00"/>
    <s v="Wickser Properties LLC and The Center for Natural Health, LLC"/>
    <s v="St. Charles, MO 63303"/>
    <n v="63303"/>
    <x v="28"/>
    <x v="101"/>
    <s v="Q"/>
    <s v=""/>
    <s v=""/>
    <x v="1"/>
    <n v="0"/>
  </r>
  <r>
    <n v="305549.11"/>
    <n v="9601555010"/>
    <s v="Actual"/>
    <s v="Long Maturity"/>
    <n v="402"/>
    <x v="306"/>
    <n v="851754.37"/>
    <x v="13"/>
    <d v="2017-07-31T00:00:00"/>
    <n v="40.142465753424659"/>
    <d v="2043-02-15T00:00:00"/>
    <n v="307"/>
    <n v="266"/>
    <d v="2020-12-03T00:00:00"/>
    <s v="McAlister Leftwich House LLC EPC"/>
    <s v="Greensboro, NC 27401"/>
    <n v="27401"/>
    <x v="6"/>
    <x v="27"/>
    <s v="Q"/>
    <s v=""/>
    <s v=""/>
    <x v="2"/>
    <n v="0"/>
  </r>
  <r>
    <n v="308250.11"/>
    <n v="9811605010"/>
    <s v="Actual"/>
    <s v="Long Maturity"/>
    <n v="402"/>
    <x v="307"/>
    <n v="673482.85"/>
    <x v="54"/>
    <d v="2017-10-16T00:00:00"/>
    <n v="37.566666666666663"/>
    <d v="2042-11-15T00:00:00"/>
    <n v="301"/>
    <n v="263"/>
    <d v="2020-12-03T00:00:00"/>
    <s v="225 Broad Street LLC &amp; Always Faithful Pet Memorial Services LLC"/>
    <s v="Carlstadt, NJ 07072"/>
    <n v="7072"/>
    <x v="13"/>
    <x v="116"/>
    <s v="Q"/>
    <s v=""/>
    <s v=""/>
    <x v="2"/>
    <n v="0"/>
  </r>
  <r>
    <n v="308260.11"/>
    <n v="3612247001"/>
    <s v="Actual"/>
    <s v="Long Maturity"/>
    <n v="402"/>
    <x v="308"/>
    <n v="1814723.54"/>
    <x v="41"/>
    <d v="2019-03-28T00:00:00"/>
    <n v="20.233333333333334"/>
    <d v="2044-04-15T00:00:00"/>
    <n v="301"/>
    <n v="280"/>
    <d v="2020-12-05T00:00:00"/>
    <s v="B &amp; J Properties LLC"/>
    <s v="Los Angeles, CA 90003"/>
    <n v="90003"/>
    <x v="10"/>
    <x v="100"/>
    <s v="Q"/>
    <s v=""/>
    <s v=""/>
    <x v="7"/>
    <n v="0.03"/>
  </r>
  <r>
    <n v="309203.11"/>
    <n v="3848967001"/>
    <s v="Actual"/>
    <s v="Long Maturity"/>
    <n v="402"/>
    <x v="309"/>
    <n v="180801.44"/>
    <x v="15"/>
    <d v="2019-08-02T00:00:00"/>
    <n v="16.109589041095891"/>
    <d v="2044-09-15T00:00:00"/>
    <n v="301"/>
    <n v="285"/>
    <d v="2020-12-04T00:00:00"/>
    <s v="AMSV LLC"/>
    <s v="Sheffield Village, OH 44035"/>
    <n v="44035"/>
    <x v="9"/>
    <x v="117"/>
    <s v="Q"/>
    <s v=""/>
    <s v=""/>
    <x v="1"/>
    <n v="0.03"/>
  </r>
  <r>
    <n v="310053.11"/>
    <n v="4117787007"/>
    <s v="Actual"/>
    <s v="Long Maturity"/>
    <n v="402"/>
    <x v="310"/>
    <n v="3673572.13"/>
    <x v="4"/>
    <d v="2019-12-04T00:00:00"/>
    <n v="12"/>
    <d v="2045-01-15T00:00:00"/>
    <n v="301"/>
    <n v="289"/>
    <d v="2020-12-04T00:00:00"/>
    <s v="Mahil Enterprises II Inc."/>
    <s v="Mount Vernon, WA 98273"/>
    <n v="98273"/>
    <x v="14"/>
    <x v="4"/>
    <s v="Q"/>
    <s v=""/>
    <s v=""/>
    <x v="5"/>
    <n v="0.05"/>
  </r>
  <r>
    <n v="310366.11"/>
    <n v="4166397004"/>
    <s v="Actual"/>
    <s v="Long Maturity"/>
    <n v="402"/>
    <x v="311"/>
    <n v="467686.82"/>
    <x v="26"/>
    <d v="2019-12-31T00:00:00"/>
    <n v="11.17808219178082"/>
    <d v="2045-01-15T00:00:00"/>
    <n v="301"/>
    <n v="289"/>
    <d v="2020-12-05T00:00:00"/>
    <s v="Om Shri Bapa Inc."/>
    <s v="Rantoul, IL 61866"/>
    <n v="61866"/>
    <x v="3"/>
    <x v="23"/>
    <s v="Q"/>
    <s v=""/>
    <s v=""/>
    <x v="3"/>
    <n v="0.05"/>
  </r>
  <r>
    <n v="310413.11"/>
    <n v="3493967001"/>
    <s v="Actual"/>
    <s v="Long Maturity"/>
    <n v="402"/>
    <x v="312"/>
    <n v="2900935.7"/>
    <x v="4"/>
    <d v="2019-06-04T00:00:00"/>
    <n v="19.06849315068493"/>
    <d v="2045-01-15T00:00:00"/>
    <n v="307"/>
    <n v="289"/>
    <d v="2021-01-04T00:00:00"/>
    <s v="RCH Apex LLC"/>
    <s v="Apex, NC 27502"/>
    <n v="27502"/>
    <x v="6"/>
    <x v="23"/>
    <s v="Q"/>
    <s v=""/>
    <s v=""/>
    <x v="5"/>
    <n v="0.03"/>
  </r>
  <r>
    <n v="310749.11"/>
    <n v="3980247005"/>
    <s v="Actual"/>
    <s v="Long Maturity"/>
    <n v="402"/>
    <x v="313"/>
    <n v="516392"/>
    <x v="5"/>
    <d v="2019-10-21T00:00:00"/>
    <n v="13.479452054794521"/>
    <d v="2044-11-15T00:00:00"/>
    <n v="301"/>
    <n v="287"/>
    <d v="2020-12-04T00:00:00"/>
    <s v="HIDMI Enterprises Inc."/>
    <s v="Kettering, OH 45419"/>
    <n v="45419"/>
    <x v="9"/>
    <x v="46"/>
    <s v="Q"/>
    <s v=""/>
    <s v=""/>
    <x v="3"/>
    <n v="0.03"/>
  </r>
  <r>
    <n v="310776.11"/>
    <n v="3907347004"/>
    <s v="Actual"/>
    <s v="Long Maturity"/>
    <n v="402"/>
    <x v="314"/>
    <n v="3272715.87"/>
    <x v="2"/>
    <d v="2019-09-25T00:00:00"/>
    <n v="14.399999999999999"/>
    <d v="2044-10-15T00:00:00"/>
    <n v="301"/>
    <n v="286"/>
    <d v="2020-12-06T00:00:00"/>
    <s v="Ampride Travel Center Inc."/>
    <s v="Denison, IA 51442"/>
    <n v="51442"/>
    <x v="38"/>
    <x v="118"/>
    <s v="Q"/>
    <s v=""/>
    <s v=""/>
    <x v="1"/>
    <n v="0.03"/>
  </r>
  <r>
    <n v="310871.11"/>
    <n v="4049137008"/>
    <s v="Actual"/>
    <s v="Long Maturity"/>
    <n v="402"/>
    <x v="315"/>
    <n v="1473518.88"/>
    <x v="13"/>
    <d v="2019-10-24T00:00:00"/>
    <n v="13.446575342465753"/>
    <d v="2044-11-15T00:00:00"/>
    <n v="301"/>
    <n v="287"/>
    <d v="2020-12-06T00:00:00"/>
    <s v="Super 8"/>
    <s v="Marietta, GA 30067"/>
    <n v="30067"/>
    <x v="2"/>
    <x v="20"/>
    <s v="Q"/>
    <s v=""/>
    <s v=""/>
    <x v="4"/>
    <n v="0.03"/>
  </r>
  <r>
    <n v="310946.11"/>
    <n v="2637747000"/>
    <s v="Actual"/>
    <s v="Long Maturity"/>
    <n v="402"/>
    <x v="316"/>
    <n v="723086.8"/>
    <x v="11"/>
    <d v="2018-06-29T00:00:00"/>
    <n v="29.326027397260276"/>
    <d v="2044-10-15T00:00:00"/>
    <n v="316"/>
    <n v="286"/>
    <d v="2020-12-07T00:00:00"/>
    <s v="DFS Enterprises LLC"/>
    <s v="Columbus, OH 43207"/>
    <n v="43207"/>
    <x v="9"/>
    <x v="116"/>
    <s v="Q"/>
    <s v=""/>
    <s v=""/>
    <x v="3"/>
    <n v="0.01"/>
  </r>
  <r>
    <n v="311388.11"/>
    <n v="4276377010"/>
    <s v="Actual"/>
    <s v="Long Maturity"/>
    <n v="402"/>
    <x v="317"/>
    <n v="3237444.41"/>
    <x v="19"/>
    <d v="2020-03-19T00:00:00"/>
    <n v="8.5150684931506841"/>
    <d v="2045-04-15T00:00:00"/>
    <n v="301"/>
    <n v="292"/>
    <d v="2020-12-03T00:00:00"/>
    <s v="DIYA Capital Investments LLC dba LaQuinta Inn by Wyndham, Champaign"/>
    <s v="Champaign, IL 61820"/>
    <n v="61820"/>
    <x v="3"/>
    <x v="20"/>
    <s v="Q"/>
    <s v=""/>
    <s v=""/>
    <x v="5"/>
    <n v="0.05"/>
  </r>
  <r>
    <n v="311590.11"/>
    <n v="4148497006"/>
    <s v="Actual"/>
    <s v="Long Maturity"/>
    <n v="402"/>
    <x v="318"/>
    <n v="230670.74"/>
    <x v="23"/>
    <d v="2019-12-13T00:00:00"/>
    <n v="12.361643835616437"/>
    <d v="2045-04-15T00:00:00"/>
    <n v="304"/>
    <n v="292"/>
    <d v="2020-12-23T00:00:00"/>
    <s v="Anchor HQ LLC and Floater with a Motor dba Donner Boat Valet, as Co-Bo"/>
    <s v="Truckee, CA 96161"/>
    <n v="96161"/>
    <x v="10"/>
    <x v="119"/>
    <s v="Q"/>
    <s v=""/>
    <s v=""/>
    <x v="2"/>
    <n v="0.03"/>
  </r>
  <r>
    <n v="311627.11"/>
    <n v="4291667001"/>
    <s v="Actual"/>
    <s v="Long Maturity"/>
    <n v="402"/>
    <x v="319"/>
    <n v="1050713.45"/>
    <x v="4"/>
    <d v="2020-05-28T00:00:00"/>
    <n v="6.0493150684931507"/>
    <d v="2045-06-15T00:00:00"/>
    <n v="301"/>
    <n v="294"/>
    <d v="2020-11-28T00:00:00"/>
    <s v="Likhi Enterprises LLC"/>
    <s v="Cleburne, TX 76033"/>
    <n v="76033"/>
    <x v="0"/>
    <x v="4"/>
    <s v="Q"/>
    <s v=""/>
    <s v=""/>
    <x v="2"/>
    <n v="0.05"/>
  </r>
  <r>
    <n v="311629.11"/>
    <n v="4211637004"/>
    <s v="Actual"/>
    <s v="Long Maturity"/>
    <n v="402"/>
    <x v="320"/>
    <n v="330205.09000000003"/>
    <x v="11"/>
    <d v="2020-02-04T00:00:00"/>
    <n v="9.9616438356164387"/>
    <d v="2045-03-15T00:00:00"/>
    <n v="301"/>
    <n v="291"/>
    <d v="2020-12-03T00:00:00"/>
    <s v="Loft Enterprises LLC"/>
    <s v="Oxford, NJ 07863"/>
    <n v="7863"/>
    <x v="13"/>
    <x v="27"/>
    <s v="Q"/>
    <s v=""/>
    <s v=""/>
    <x v="0"/>
    <n v="0.05"/>
  </r>
  <r>
    <n v="312323.11"/>
    <n v="4337997002"/>
    <s v="Actual"/>
    <s v="Long Maturity"/>
    <n v="402"/>
    <x v="321"/>
    <n v="696664.01"/>
    <x v="16"/>
    <d v="2020-08-04T00:00:00"/>
    <n v="5"/>
    <d v="2033-09-15T00:00:00"/>
    <n v="157"/>
    <n v="153"/>
    <d v="2021-01-04T00:00:00"/>
    <s v="Mindi Mapes/St. Bernard Pharmaceutical Corp"/>
    <s v="Meraux, LA 70075"/>
    <n v="70075"/>
    <x v="20"/>
    <x v="112"/>
    <s v="Q"/>
    <s v=""/>
    <s v=""/>
    <x v="2"/>
    <n v="0"/>
  </r>
  <r>
    <n v="312909.11"/>
    <n v="6367538207"/>
    <s v="Actual"/>
    <s v="Long Maturity"/>
    <n v="402"/>
    <x v="322"/>
    <n v="2611675.65"/>
    <x v="19"/>
    <d v="2020-09-23T00:00:00"/>
    <n v="2.3671232876712329"/>
    <d v="2037-10-15T00:00:00"/>
    <n v="205"/>
    <n v="202"/>
    <d v="2020-12-04T00:00:00"/>
    <s v="G&amp;M Land Holdings LLC"/>
    <s v="Arden, NC 28704"/>
    <n v="28704"/>
    <x v="6"/>
    <x v="120"/>
    <s v="Q"/>
    <s v=""/>
    <s v=""/>
    <x v="6"/>
    <n v="0.05"/>
  </r>
  <r>
    <n v="312910.11"/>
    <n v="8320078202"/>
    <s v="Actual"/>
    <s v="Long Maturity"/>
    <n v="402"/>
    <x v="323"/>
    <n v="1949677.39"/>
    <x v="11"/>
    <d v="2020-09-22T00:00:00"/>
    <n v="2.4000000000000004"/>
    <d v="2037-10-15T00:00:00"/>
    <n v="205"/>
    <n v="202"/>
    <d v="2020-12-04T00:00:00"/>
    <s v="JKL Real Estate LLC"/>
    <s v="East Petersburg, PA 17520"/>
    <n v="17520"/>
    <x v="11"/>
    <x v="77"/>
    <s v="Q"/>
    <s v=""/>
    <s v=""/>
    <x v="2"/>
    <n v="0.05"/>
  </r>
  <r>
    <n v="304279.11"/>
    <n v="9442575007"/>
    <s v="Actual"/>
    <s v="Long Maturity"/>
    <n v="402"/>
    <x v="324"/>
    <n v="239293.16"/>
    <x v="37"/>
    <d v="2017-05-15T00:00:00"/>
    <n v="42.80547945205479"/>
    <d v="2037-06-15T00:00:00"/>
    <n v="241"/>
    <n v="198"/>
    <d v="2020-12-07T00:00:00"/>
    <s v="Dog Days"/>
    <s v="Tyrone, PA 16686"/>
    <n v="16686"/>
    <x v="11"/>
    <x v="30"/>
    <s v="Q"/>
    <s v=""/>
    <s v=""/>
    <x v="5"/>
    <n v="0"/>
  </r>
  <r>
    <n v="304430.11"/>
    <n v="1449227006"/>
    <s v="Actual"/>
    <s v="Long Maturity"/>
    <n v="402"/>
    <x v="325"/>
    <n v="2517390.4"/>
    <x v="55"/>
    <d v="2017-12-14T00:00:00"/>
    <n v="35.802739726027397"/>
    <d v="2033-10-15T00:00:00"/>
    <n v="190"/>
    <n v="154"/>
    <d v="2020-12-07T00:00:00"/>
    <s v="Kennedy Service Group LLC"/>
    <s v="Tulsa, OK 74114"/>
    <n v="74114"/>
    <x v="32"/>
    <x v="78"/>
    <s v="Q"/>
    <s v=""/>
    <s v=""/>
    <x v="2"/>
    <n v="0.01"/>
  </r>
  <r>
    <n v="305059.11"/>
    <n v="2597487010"/>
    <s v="Actual"/>
    <s v="Long Maturity"/>
    <n v="402"/>
    <x v="326"/>
    <n v="2943837.89"/>
    <x v="45"/>
    <d v="2018-05-29T00:00:00"/>
    <n v="30.246575342465754"/>
    <d v="2043-06-15T00:00:00"/>
    <n v="301"/>
    <n v="270"/>
    <d v="2020-12-04T00:00:00"/>
    <s v="Eliska Hospitality, LLC."/>
    <s v="Bolingbrook, IL 60440"/>
    <n v="60440"/>
    <x v="3"/>
    <x v="20"/>
    <s v="Q"/>
    <s v=""/>
    <s v=""/>
    <x v="2"/>
    <n v="0.01"/>
  </r>
  <r>
    <n v="305238.11"/>
    <n v="9577325010"/>
    <s v="Actual"/>
    <s v="Long Maturity"/>
    <n v="402"/>
    <x v="327"/>
    <n v="3578473.27"/>
    <x v="8"/>
    <d v="2017-06-28T00:00:00"/>
    <n v="41.424657534246577"/>
    <d v="2042-09-15T00:00:00"/>
    <n v="303"/>
    <n v="261"/>
    <d v="2020-12-09T00:00:00"/>
    <s v="TNB Tucson, LLC dba Sheraton Tucson Hotel &amp; Suites"/>
    <s v="Tucson, AZ 85712"/>
    <n v="85712"/>
    <x v="5"/>
    <x v="20"/>
    <s v="Q"/>
    <s v=""/>
    <s v=""/>
    <x v="5"/>
    <n v="0"/>
  </r>
  <r>
    <n v="305319.11"/>
    <n v="9780845008"/>
    <s v="Actual"/>
    <s v="Long Maturity"/>
    <n v="402"/>
    <x v="328"/>
    <n v="1341296.19"/>
    <x v="19"/>
    <d v="2017-09-28T00:00:00"/>
    <n v="38.334246575342462"/>
    <d v="2043-08-15T00:00:00"/>
    <n v="311"/>
    <n v="272"/>
    <d v="2020-12-07T00:00:00"/>
    <s v="St Francis Animal Medical Center LLC"/>
    <s v="St. Francisville, LA  70775"/>
    <n v="70775"/>
    <x v="20"/>
    <x v="30"/>
    <s v="Q"/>
    <s v=""/>
    <s v=""/>
    <x v="3"/>
    <n v="0"/>
  </r>
  <r>
    <n v="305480.11"/>
    <n v="1445507010"/>
    <s v="Actual"/>
    <s v="Long Maturity"/>
    <n v="402"/>
    <x v="329"/>
    <n v="205479.25"/>
    <x v="49"/>
    <d v="2017-11-27T00:00:00"/>
    <n v="36.361643835616441"/>
    <d v="2042-12-15T00:00:00"/>
    <n v="301"/>
    <n v="264"/>
    <d v="2020-12-07T00:00:00"/>
    <s v="Boundarath Phomphakdy"/>
    <s v="Orem, UT 84058"/>
    <n v="84058"/>
    <x v="34"/>
    <x v="3"/>
    <s v="Q"/>
    <s v=""/>
    <s v=""/>
    <x v="2"/>
    <n v="0"/>
  </r>
  <r>
    <n v="305939.11"/>
    <n v="1200127005"/>
    <s v="Actual"/>
    <s v="Long Maturity"/>
    <n v="402"/>
    <x v="330"/>
    <n v="1126792.29"/>
    <x v="4"/>
    <d v="2017-11-15T00:00:00"/>
    <n v="36.756164383561647"/>
    <d v="2043-09-15T00:00:00"/>
    <n v="310"/>
    <n v="273"/>
    <d v="2020-12-07T00:00:00"/>
    <s v="Geddo Corp"/>
    <s v="La Habra, CA 90631"/>
    <n v="90631"/>
    <x v="10"/>
    <x v="23"/>
    <s v="Q"/>
    <s v=""/>
    <s v=""/>
    <x v="0"/>
    <n v="0"/>
  </r>
  <r>
    <n v="307774.11"/>
    <n v="3248127003"/>
    <s v="Actual"/>
    <s v="Long Maturity"/>
    <n v="402"/>
    <x v="331"/>
    <n v="175553.88"/>
    <x v="11"/>
    <d v="2018-12-07T00:00:00"/>
    <n v="23.934246575342467"/>
    <d v="2035-01-15T00:00:00"/>
    <n v="193"/>
    <n v="169"/>
    <d v="2020-12-04T00:00:00"/>
    <s v="G &amp; K Liquor, LLC"/>
    <s v="Trinity, TX 75862"/>
    <n v="75862"/>
    <x v="0"/>
    <x v="51"/>
    <s v="Q"/>
    <s v=""/>
    <s v=""/>
    <x v="1"/>
    <n v="0.03"/>
  </r>
  <r>
    <n v="308163.11"/>
    <n v="2629477002"/>
    <s v="Actual"/>
    <s v="Long Maturity"/>
    <n v="402"/>
    <x v="332"/>
    <n v="3691677.99"/>
    <x v="18"/>
    <d v="2018-06-29T00:00:00"/>
    <n v="29.326027397260276"/>
    <d v="2044-07-15T00:00:00"/>
    <n v="313"/>
    <n v="283"/>
    <d v="2020-12-07T00:00:00"/>
    <s v="The Fountains in Cartersville LLC"/>
    <s v="Marietta, GA 30120"/>
    <n v="30120"/>
    <x v="2"/>
    <x v="15"/>
    <s v="Q"/>
    <s v=""/>
    <s v=""/>
    <x v="0"/>
    <n v="0.01"/>
  </r>
  <r>
    <n v="308358.11"/>
    <n v="3536147003"/>
    <s v="Actual"/>
    <s v="Long Maturity"/>
    <n v="402"/>
    <x v="333"/>
    <n v="1660740.91"/>
    <x v="11"/>
    <d v="2019-03-22T00:00:00"/>
    <n v="20.515068493150686"/>
    <d v="2034-04-15T00:00:00"/>
    <n v="181"/>
    <n v="160"/>
    <d v="2020-12-05T00:00:00"/>
    <s v="Dracool USA Inc."/>
    <s v="Carlisle, OH 45005"/>
    <n v="45005"/>
    <x v="9"/>
    <x v="121"/>
    <s v="Q"/>
    <s v=""/>
    <s v=""/>
    <x v="1"/>
    <n v="0.03"/>
  </r>
  <r>
    <n v="308365.11"/>
    <n v="1814807002"/>
    <s v="Actual"/>
    <s v="Long Maturity"/>
    <n v="402"/>
    <x v="334"/>
    <n v="455912.74"/>
    <x v="11"/>
    <d v="2019-03-21T00:00:00"/>
    <n v="20.547945205479451"/>
    <d v="2037-04-15T00:00:00"/>
    <n v="217"/>
    <n v="196"/>
    <d v="2020-12-05T00:00:00"/>
    <s v="Management Systems LLC"/>
    <s v="Wayland, MI 49348"/>
    <n v="49348"/>
    <x v="8"/>
    <x v="4"/>
    <s v="Q"/>
    <s v=""/>
    <s v=""/>
    <x v="2"/>
    <n v="0.03"/>
  </r>
  <r>
    <n v="308459.11"/>
    <n v="3622217007"/>
    <s v="Actual"/>
    <s v="Long Maturity"/>
    <n v="402"/>
    <x v="335"/>
    <n v="94966.02"/>
    <x v="16"/>
    <d v="2019-04-18T00:00:00"/>
    <n v="19.633333333333333"/>
    <d v="2044-05-15T00:00:00"/>
    <n v="301"/>
    <n v="281"/>
    <d v="2020-12-07T00:00:00"/>
    <s v="Twinkle Market LLC"/>
    <s v="Hollister, MO 65672"/>
    <n v="65672"/>
    <x v="28"/>
    <x v="122"/>
    <s v="Q"/>
    <s v=""/>
    <s v=""/>
    <x v="5"/>
    <n v="0.03"/>
  </r>
  <r>
    <n v="308565.11"/>
    <n v="3313607002"/>
    <s v="Actual"/>
    <s v="Long Maturity"/>
    <n v="402"/>
    <x v="336"/>
    <n v="272431.23"/>
    <x v="13"/>
    <d v="2019-05-21T00:00:00"/>
    <n v="18.509589041095889"/>
    <d v="2044-06-15T00:00:00"/>
    <n v="301"/>
    <n v="282"/>
    <d v="2020-12-04T00:00:00"/>
    <s v="La Fondita Truck Restaurant Inc"/>
    <s v="Seattle, WA 98146"/>
    <n v="98146"/>
    <x v="14"/>
    <x v="67"/>
    <s v="Q"/>
    <s v=""/>
    <s v=""/>
    <x v="5"/>
    <n v="0.03"/>
  </r>
  <r>
    <n v="308910.11"/>
    <n v="3619407004"/>
    <s v="Actual"/>
    <s v="Long Maturity"/>
    <n v="402"/>
    <x v="337"/>
    <n v="314264.8"/>
    <x v="45"/>
    <d v="2019-04-08T00:00:00"/>
    <n v="20.021917808219179"/>
    <d v="2044-05-15T00:00:00"/>
    <n v="301"/>
    <n v="281"/>
    <d v="2020-12-07T00:00:00"/>
    <s v="Flying Saucer Pie Company, Inc."/>
    <s v="Houston, TX 77018"/>
    <n v="77018"/>
    <x v="0"/>
    <x v="123"/>
    <s v="Q"/>
    <s v=""/>
    <s v=""/>
    <x v="2"/>
    <n v="0.03"/>
  </r>
  <r>
    <n v="308916.11"/>
    <n v="2964917000"/>
    <s v="Actual"/>
    <s v="Long Maturity"/>
    <n v="402"/>
    <x v="338"/>
    <n v="811597.84"/>
    <x v="45"/>
    <d v="2018-09-28T00:00:00"/>
    <n v="26.268493150684929"/>
    <d v="2043-10-15T00:00:00"/>
    <n v="301"/>
    <n v="274"/>
    <d v="2020-12-05T00:00:00"/>
    <s v="Weezy Properties LLC"/>
    <s v="Fombell, PA 16123"/>
    <n v="16123"/>
    <x v="11"/>
    <x v="124"/>
    <s v="Q"/>
    <s v=""/>
    <s v=""/>
    <x v="2"/>
    <n v="0.01"/>
  </r>
  <r>
    <n v="308917.11"/>
    <n v="2660927004"/>
    <s v="Actual"/>
    <s v="Long Maturity"/>
    <n v="402"/>
    <x v="339"/>
    <n v="660088.80000000005"/>
    <x v="10"/>
    <d v="2019-07-11T00:00:00"/>
    <n v="16.865753424657534"/>
    <d v="2044-08-15T00:00:00"/>
    <n v="301"/>
    <n v="284"/>
    <d v="2020-12-05T00:00:00"/>
    <s v="Boomer Franklin Properties"/>
    <s v="Bolivar, OH 44612"/>
    <n v="44612"/>
    <x v="9"/>
    <x v="12"/>
    <s v="Q"/>
    <s v=""/>
    <s v=""/>
    <x v="1"/>
    <n v="0.03"/>
  </r>
  <r>
    <n v="309064.11"/>
    <n v="3755877010"/>
    <s v="Actual"/>
    <s v="Long Maturity"/>
    <n v="402"/>
    <x v="340"/>
    <n v="1785026.32"/>
    <x v="30"/>
    <d v="2019-07-19T00:00:00"/>
    <n v="16.602739726027398"/>
    <d v="2044-08-15T00:00:00"/>
    <n v="301"/>
    <n v="284"/>
    <d v="2020-12-05T00:00:00"/>
    <s v="JMD Magnificat, L.L.C. and JMD Excelsior LLC"/>
    <s v="Mount Vernon, TX 75457"/>
    <n v="75457"/>
    <x v="0"/>
    <x v="15"/>
    <s v="Q"/>
    <s v=""/>
    <s v=""/>
    <x v="5"/>
    <n v="0.03"/>
  </r>
  <r>
    <n v="309077.11"/>
    <n v="3859467010"/>
    <s v="Actual"/>
    <s v="Long Maturity"/>
    <n v="402"/>
    <x v="341"/>
    <n v="249874.28"/>
    <x v="15"/>
    <d v="2019-07-31T00:00:00"/>
    <n v="16.175342465753424"/>
    <d v="2044-08-15T00:00:00"/>
    <n v="301"/>
    <n v="284"/>
    <d v="2020-12-04T00:00:00"/>
    <s v="Rustic Investments LLC dba Sunset Motel"/>
    <s v="Murphy, NC 28906"/>
    <n v="28906"/>
    <x v="6"/>
    <x v="20"/>
    <s v="Q"/>
    <s v=""/>
    <s v=""/>
    <x v="1"/>
    <n v="0.03"/>
  </r>
  <r>
    <n v="309199.11"/>
    <n v="3904407003"/>
    <s v="Actual"/>
    <s v="Long Maturity"/>
    <n v="402"/>
    <x v="342"/>
    <n v="354316.68"/>
    <x v="15"/>
    <d v="2019-08-09T00:00:00"/>
    <n v="15.912328767123288"/>
    <d v="2044-09-15T00:00:00"/>
    <n v="301"/>
    <n v="285"/>
    <d v="2020-12-05T00:00:00"/>
    <s v="Vrindavan LLC"/>
    <s v="Ortonville, MI 48642"/>
    <n v="48642"/>
    <x v="8"/>
    <x v="51"/>
    <s v="Q"/>
    <s v=""/>
    <s v=""/>
    <x v="1"/>
    <n v="0.03"/>
  </r>
  <r>
    <n v="309200.11"/>
    <n v="3878737003"/>
    <s v="Actual"/>
    <s v="Long Maturity"/>
    <n v="402"/>
    <x v="343"/>
    <n v="388490.56"/>
    <x v="15"/>
    <d v="2019-07-31T00:00:00"/>
    <n v="16.208219178082189"/>
    <d v="2044-08-15T00:00:00"/>
    <n v="301"/>
    <n v="284"/>
    <d v="2020-12-05T00:00:00"/>
    <s v="Mandeep Management LLC"/>
    <s v="Hubbard, OH 44425"/>
    <n v="44425"/>
    <x v="9"/>
    <x v="4"/>
    <s v="Q"/>
    <s v=""/>
    <s v=""/>
    <x v="1"/>
    <n v="0.03"/>
  </r>
  <r>
    <n v="309202.11"/>
    <n v="3858217003"/>
    <s v="Actual"/>
    <s v="Long Maturity"/>
    <n v="402"/>
    <x v="344"/>
    <n v="232288.26"/>
    <x v="11"/>
    <d v="2019-07-19T00:00:00"/>
    <n v="16.602739726027398"/>
    <d v="2044-08-15T00:00:00"/>
    <n v="301"/>
    <n v="284"/>
    <d v="2020-12-05T00:00:00"/>
    <s v="Melendez Ins and Fin Svcs Inc"/>
    <s v="Chicago, IL 60634"/>
    <n v="60634"/>
    <x v="3"/>
    <x v="125"/>
    <s v="Q"/>
    <s v=""/>
    <s v=""/>
    <x v="2"/>
    <n v="0.03"/>
  </r>
  <r>
    <n v="309349.11"/>
    <n v="3887977007"/>
    <s v="Actual"/>
    <s v="Long Maturity"/>
    <n v="402"/>
    <x v="345"/>
    <n v="1301252.6599999999"/>
    <x v="18"/>
    <d v="2019-08-08T00:00:00"/>
    <n v="16.010958904109589"/>
    <d v="2034-10-15T00:00:00"/>
    <n v="182"/>
    <n v="166"/>
    <d v="2020-12-07T00:00:00"/>
    <s v="Cederquist Medical Wellness Center Inc."/>
    <s v="Naples, FL 34109"/>
    <n v="34109"/>
    <x v="1"/>
    <x v="101"/>
    <s v="Q"/>
    <s v=""/>
    <s v=""/>
    <x v="0"/>
    <n v="0.03"/>
  </r>
  <r>
    <n v="309355.11"/>
    <n v="3864617001"/>
    <s v="Actual"/>
    <s v="Long Maturity"/>
    <n v="402"/>
    <x v="346"/>
    <n v="126544.59"/>
    <x v="15"/>
    <d v="2019-07-31T00:00:00"/>
    <n v="16.208219178082189"/>
    <d v="2044-08-15T00:00:00"/>
    <n v="301"/>
    <n v="284"/>
    <d v="2020-12-05T00:00:00"/>
    <s v="Lockhart Investments"/>
    <s v="Porterville, CA 93257"/>
    <n v="93257"/>
    <x v="10"/>
    <x v="126"/>
    <s v="Q"/>
    <s v=""/>
    <s v=""/>
    <x v="1"/>
    <n v="0.03"/>
  </r>
  <r>
    <n v="309367.11"/>
    <n v="9641345000"/>
    <s v="Actual"/>
    <s v="Long Maturity"/>
    <n v="402"/>
    <x v="347"/>
    <n v="1921572.26"/>
    <x v="22"/>
    <d v="2017-08-22T00:00:00"/>
    <n v="39.550684931506851"/>
    <d v="2043-03-15T00:00:00"/>
    <n v="307"/>
    <n v="267"/>
    <d v="2020-12-07T00:00:00"/>
    <s v="VRB Hotel LLC dba Garden Inn"/>
    <s v="Houston, TX 77093"/>
    <n v="77093"/>
    <x v="0"/>
    <x v="20"/>
    <s v="Q"/>
    <s v=""/>
    <s v=""/>
    <x v="3"/>
    <n v="0"/>
  </r>
  <r>
    <n v="309480.11"/>
    <n v="2838457003"/>
    <s v="Actual"/>
    <s v="Long Maturity"/>
    <n v="402"/>
    <x v="348"/>
    <n v="3031940.59"/>
    <x v="4"/>
    <d v="2018-09-07T00:00:00"/>
    <n v="26.958904109589042"/>
    <d v="2044-10-15T00:00:00"/>
    <n v="313"/>
    <n v="286"/>
    <d v="2020-12-05T00:00:00"/>
    <s v="TCB Lin LLC"/>
    <s v="Selma, TX 78154"/>
    <n v="78154"/>
    <x v="0"/>
    <x v="23"/>
    <s v="Q"/>
    <s v=""/>
    <s v=""/>
    <x v="4"/>
    <n v="0.01"/>
  </r>
  <r>
    <n v="309665.11"/>
    <n v="3904357001"/>
    <s v="Actual"/>
    <s v="Long Maturity"/>
    <n v="402"/>
    <x v="349"/>
    <n v="3321901.37"/>
    <x v="12"/>
    <d v="2019-10-08T00:00:00"/>
    <n v="14.005479452054796"/>
    <d v="2044-11-15T00:00:00"/>
    <n v="301"/>
    <n v="287"/>
    <d v="2020-12-07T00:00:00"/>
    <s v="Laptain LLC"/>
    <s v="Rancho Cucamonga, CA  91730"/>
    <n v="91730"/>
    <x v="10"/>
    <x v="107"/>
    <s v="Q"/>
    <s v=""/>
    <s v=""/>
    <x v="5"/>
    <n v="0.03"/>
  </r>
  <r>
    <n v="309726.11"/>
    <n v="4051577010"/>
    <s v="Actual"/>
    <s v="Long Maturity"/>
    <n v="402"/>
    <x v="350"/>
    <n v="2895462.12"/>
    <x v="12"/>
    <d v="2019-10-29T00:00:00"/>
    <n v="13.24931506849315"/>
    <d v="2044-11-15T00:00:00"/>
    <n v="301"/>
    <n v="287"/>
    <d v="2020-12-05T00:00:00"/>
    <s v="SRI KRSNA LLC"/>
    <s v="Seneca, SC 29678"/>
    <n v="29678"/>
    <x v="22"/>
    <x v="20"/>
    <s v="Q"/>
    <s v=""/>
    <s v=""/>
    <x v="5"/>
    <n v="0.03"/>
  </r>
  <r>
    <n v="309747.11"/>
    <n v="3926327004"/>
    <s v="Actual"/>
    <s v="Long Maturity"/>
    <n v="402"/>
    <x v="351"/>
    <n v="1365372.12"/>
    <x v="46"/>
    <d v="2019-08-29T00:00:00"/>
    <n v="15.32054794520548"/>
    <d v="2044-09-15T00:00:00"/>
    <n v="301"/>
    <n v="285"/>
    <d v="2020-12-07T00:00:00"/>
    <s v="APEX Federal LLC"/>
    <s v="Brush Prairie, WA 98606"/>
    <n v="98606"/>
    <x v="14"/>
    <x v="18"/>
    <s v="Q"/>
    <s v=""/>
    <s v=""/>
    <x v="10"/>
    <n v="0.03"/>
  </r>
  <r>
    <n v="309769.11"/>
    <n v="2866477006"/>
    <s v="Actual"/>
    <s v="Long Maturity"/>
    <n v="402"/>
    <x v="352"/>
    <n v="1293454.6299999999"/>
    <x v="25"/>
    <d v="2018-08-20T00:00:00"/>
    <n v="27.715068493150689"/>
    <d v="2044-03-15T00:00:00"/>
    <n v="307"/>
    <n v="279"/>
    <d v="2020-12-10T00:00:00"/>
    <s v="G&amp;H Holdings, LLC"/>
    <s v="Ogden, UT 84401"/>
    <n v="84401"/>
    <x v="34"/>
    <x v="16"/>
    <s v="Q"/>
    <s v=""/>
    <s v=""/>
    <x v="5"/>
    <n v="0.01"/>
  </r>
  <r>
    <n v="309778.11"/>
    <n v="3279357005"/>
    <s v="Actual"/>
    <s v="Long Maturity"/>
    <n v="402"/>
    <x v="353"/>
    <n v="143804.76999999999"/>
    <x v="4"/>
    <d v="2018-12-31T00:00:00"/>
    <n v="23.243835616438353"/>
    <d v="2044-01-15T00:00:00"/>
    <n v="301"/>
    <n v="277"/>
    <d v="2020-12-07T00:00:00"/>
    <s v="Fortune Hospitality LLC dba Days Inn &amp; Suites"/>
    <s v="Mobile, AL 36619"/>
    <n v="36619"/>
    <x v="35"/>
    <x v="20"/>
    <s v="Q"/>
    <s v=""/>
    <s v=""/>
    <x v="5"/>
    <n v="0.03"/>
  </r>
  <r>
    <n v="309807.11"/>
    <n v="3474997004"/>
    <s v="Actual"/>
    <s v="Long Maturity"/>
    <n v="402"/>
    <x v="354"/>
    <n v="282458.84000000003"/>
    <x v="2"/>
    <d v="2019-04-23T00:00:00"/>
    <n v="19.463013698630135"/>
    <d v="2044-05-15T00:00:00"/>
    <n v="301"/>
    <n v="281"/>
    <d v="2020-12-05T00:00:00"/>
    <s v="Golden Leaf Tribute Center"/>
    <s v="Cincinnati, OH 45237"/>
    <n v="45237"/>
    <x v="9"/>
    <x v="2"/>
    <s v="Q"/>
    <s v=""/>
    <s v=""/>
    <x v="1"/>
    <n v="0.03"/>
  </r>
  <r>
    <n v="309912.11"/>
    <n v="4070667008"/>
    <s v="Actual"/>
    <s v="Long Maturity"/>
    <n v="402"/>
    <x v="355"/>
    <n v="249941.01"/>
    <x v="13"/>
    <d v="2019-11-07T00:00:00"/>
    <n v="13.019178082191781"/>
    <d v="2044-12-15T00:00:00"/>
    <n v="301"/>
    <n v="288"/>
    <d v="2020-12-07T00:00:00"/>
    <s v="Lucky Market Grocery"/>
    <s v="Everett, WA 98201"/>
    <n v="98201"/>
    <x v="14"/>
    <x v="28"/>
    <s v="Q"/>
    <s v=""/>
    <s v=""/>
    <x v="6"/>
    <n v="0.03"/>
  </r>
  <r>
    <n v="310065.11"/>
    <n v="3845077010"/>
    <s v="Actual"/>
    <s v="Long Maturity"/>
    <n v="402"/>
    <x v="356"/>
    <n v="555726.55000000005"/>
    <x v="23"/>
    <d v="2019-07-30T00:00:00"/>
    <n v="16.233333333333334"/>
    <d v="2044-08-15T00:00:00"/>
    <n v="301"/>
    <n v="284"/>
    <d v="2020-12-07T00:00:00"/>
    <s v="ST Auto SPA "/>
    <s v="Springfield, MO 65810"/>
    <n v="65810"/>
    <x v="28"/>
    <x v="16"/>
    <s v="Q"/>
    <s v=""/>
    <s v=""/>
    <x v="2"/>
    <n v="0.03"/>
  </r>
  <r>
    <n v="310088.11"/>
    <n v="4041577006"/>
    <s v="Actual"/>
    <s v="Long Maturity"/>
    <n v="402"/>
    <x v="357"/>
    <n v="327307.52000000002"/>
    <x v="26"/>
    <d v="2019-11-12T00:00:00"/>
    <n v="12.854794520547944"/>
    <d v="2044-12-15T00:00:00"/>
    <n v="301"/>
    <n v="288"/>
    <d v="2020-12-07T00:00:00"/>
    <s v="R &amp; R Property Investment, LLC"/>
    <s v="San Bernardino, CA 92408"/>
    <n v="92408"/>
    <x v="10"/>
    <x v="8"/>
    <s v="Q"/>
    <s v=""/>
    <s v=""/>
    <x v="3"/>
    <n v="0.03"/>
  </r>
  <r>
    <n v="310097.11"/>
    <n v="3934697010"/>
    <s v="Actual"/>
    <s v="Long Maturity"/>
    <n v="402"/>
    <x v="358"/>
    <n v="1762201.52"/>
    <x v="19"/>
    <d v="2019-09-27T00:00:00"/>
    <n v="14.367123287671234"/>
    <d v="2044-10-15T00:00:00"/>
    <n v="301"/>
    <n v="286"/>
    <d v="2020-12-07T00:00:00"/>
    <s v="East Stanley LLC"/>
    <s v="Granite Falls, WA 98252"/>
    <n v="98252"/>
    <x v="14"/>
    <x v="112"/>
    <s v="Q"/>
    <s v=""/>
    <s v=""/>
    <x v="4"/>
    <n v="0.03"/>
  </r>
  <r>
    <n v="310104.11"/>
    <n v="3690607008"/>
    <s v="Actual"/>
    <s v="Long Maturity"/>
    <n v="402"/>
    <x v="359"/>
    <n v="50957.11"/>
    <x v="16"/>
    <d v="2019-05-08T00:00:00"/>
    <n v="18.969863013698632"/>
    <d v="2034-06-15T00:00:00"/>
    <n v="181"/>
    <n v="162"/>
    <d v="2020-12-05T00:00:00"/>
    <s v="Impact Building Solutions Inc"/>
    <s v="Medina, OH 44256"/>
    <n v="44256"/>
    <x v="9"/>
    <x v="114"/>
    <s v="Q"/>
    <s v=""/>
    <s v=""/>
    <x v="2"/>
    <n v="0.03"/>
  </r>
  <r>
    <n v="310107.11"/>
    <n v="3800557008"/>
    <s v="Actual"/>
    <s v="Long Maturity"/>
    <n v="402"/>
    <x v="360"/>
    <n v="1059400.43"/>
    <x v="18"/>
    <d v="2019-12-09T00:00:00"/>
    <n v="11.901369863013699"/>
    <d v="2045-01-15T00:00:00"/>
    <n v="301"/>
    <n v="289"/>
    <d v="2020-12-05T00:00:00"/>
    <s v="Innocent Ubunama, LLC (Midwest Vascular)"/>
    <s v="Holland, OH 43528"/>
    <n v="43528"/>
    <x v="9"/>
    <x v="73"/>
    <s v="Q"/>
    <s v=""/>
    <s v=""/>
    <x v="0"/>
    <n v="0.05"/>
  </r>
  <r>
    <n v="310110.11"/>
    <n v="4090487010"/>
    <s v="Actual"/>
    <s v="Long Maturity"/>
    <n v="402"/>
    <x v="361"/>
    <n v="1360120.3"/>
    <x v="11"/>
    <d v="2019-12-04T00:00:00"/>
    <n v="12.065753424657533"/>
    <d v="2045-01-15T00:00:00"/>
    <n v="301"/>
    <n v="289"/>
    <d v="2020-12-05T00:00:00"/>
    <s v="9261 Governors Way LLC"/>
    <s v="Cincinnati, OH 45249"/>
    <n v="45249"/>
    <x v="9"/>
    <x v="127"/>
    <s v="Q"/>
    <s v=""/>
    <s v=""/>
    <x v="3"/>
    <n v="0.03"/>
  </r>
  <r>
    <n v="310112.11"/>
    <n v="4096907006"/>
    <s v="Actual"/>
    <s v="Long Maturity"/>
    <n v="402"/>
    <x v="362"/>
    <n v="399947.83"/>
    <x v="11"/>
    <d v="2019-12-06T00:00:00"/>
    <n v="12"/>
    <d v="2037-01-15T00:00:00"/>
    <n v="205"/>
    <n v="193"/>
    <d v="2020-12-05T00:00:00"/>
    <s v="NGPP, LLC EPC/Sanuy Enterprises LLC OC"/>
    <s v="Dayton, OH 45409"/>
    <n v="45409"/>
    <x v="9"/>
    <x v="4"/>
    <s v="Q"/>
    <s v=""/>
    <s v=""/>
    <x v="2"/>
    <n v="0.05"/>
  </r>
  <r>
    <n v="310114.11"/>
    <n v="3911137003"/>
    <s v="Actual"/>
    <s v="Long Maturity"/>
    <n v="402"/>
    <x v="363"/>
    <n v="32031.19"/>
    <x v="11"/>
    <d v="2019-09-24T00:00:00"/>
    <n v="14.399999999999999"/>
    <d v="2034-11-15T00:00:00"/>
    <n v="182"/>
    <n v="167"/>
    <d v="2020-12-05T00:00:00"/>
    <s v="Metro Appliance Outlet LLC"/>
    <s v="Lincoln Park, MI 48146"/>
    <n v="48146"/>
    <x v="8"/>
    <x v="128"/>
    <s v="Q"/>
    <s v=""/>
    <s v=""/>
    <x v="1"/>
    <n v="0.03"/>
  </r>
  <r>
    <n v="310115.11"/>
    <n v="4124777002"/>
    <s v="Actual"/>
    <s v="Long Maturity"/>
    <n v="402"/>
    <x v="364"/>
    <n v="321183.96000000002"/>
    <x v="23"/>
    <d v="2019-12-02T00:00:00"/>
    <n v="12.131506849315068"/>
    <d v="2037-01-15T00:00:00"/>
    <n v="205"/>
    <n v="193"/>
    <d v="2020-12-05T00:00:00"/>
    <s v="Messiha Investment LLC"/>
    <s v="Pontiac, MI 48342"/>
    <n v="48342"/>
    <x v="8"/>
    <x v="51"/>
    <s v="Q"/>
    <s v=""/>
    <s v=""/>
    <x v="0"/>
    <n v="0.03"/>
  </r>
  <r>
    <n v="310120.11"/>
    <n v="3915347004"/>
    <s v="Actual"/>
    <s v="Long Maturity"/>
    <n v="402"/>
    <x v="365"/>
    <n v="493195.02"/>
    <x v="4"/>
    <d v="2019-09-16T00:00:00"/>
    <n v="14.728767123287671"/>
    <d v="2044-10-15T00:00:00"/>
    <n v="301"/>
    <n v="286"/>
    <d v="2020-12-07T00:00:00"/>
    <s v="Marsh Dog Kennels"/>
    <s v="Giddings, TX 78942"/>
    <n v="78942"/>
    <x v="0"/>
    <x v="25"/>
    <s v="Q"/>
    <s v=""/>
    <s v=""/>
    <x v="5"/>
    <n v="0.03"/>
  </r>
  <r>
    <n v="310130.11"/>
    <n v="4080017005"/>
    <s v="Actual"/>
    <s v="Long Maturity"/>
    <n v="402"/>
    <x v="366"/>
    <n v="274334.89"/>
    <x v="47"/>
    <d v="2019-11-25T00:00:00"/>
    <n v="12.361643835616437"/>
    <d v="2044-12-15T00:00:00"/>
    <n v="301"/>
    <n v="288"/>
    <d v="2020-12-05T00:00:00"/>
    <s v="Sunny Side Up Cafe, LLC"/>
    <s v="New Berlin, WI 53151"/>
    <n v="53151"/>
    <x v="15"/>
    <x v="3"/>
    <s v="Q"/>
    <s v=""/>
    <s v=""/>
    <x v="1"/>
    <n v="0.03"/>
  </r>
  <r>
    <n v="310206.11"/>
    <n v="3969917004"/>
    <s v="Actual"/>
    <s v="Long Maturity"/>
    <n v="402"/>
    <x v="367"/>
    <n v="630753.51"/>
    <x v="2"/>
    <d v="2019-09-13T00:00:00"/>
    <n v="14.761643835616438"/>
    <d v="2044-10-15T00:00:00"/>
    <n v="301"/>
    <n v="286"/>
    <d v="2020-12-05T00:00:00"/>
    <s v="1130 Milepost LLC"/>
    <s v="Columbus, OH 43228"/>
    <n v="43228"/>
    <x v="9"/>
    <x v="62"/>
    <s v="Q"/>
    <s v=""/>
    <s v=""/>
    <x v="1"/>
    <n v="0.03"/>
  </r>
  <r>
    <n v="310207.11"/>
    <n v="4076447002"/>
    <s v="Actual"/>
    <s v="Long Maturity"/>
    <n v="402"/>
    <x v="368"/>
    <n v="138193.12"/>
    <x v="47"/>
    <d v="2019-11-08T00:00:00"/>
    <n v="12.920547945205477"/>
    <d v="2044-12-15T00:00:00"/>
    <n v="301"/>
    <n v="288"/>
    <d v="2020-12-05T00:00:00"/>
    <s v="Chicks &amp; Mortar LLC"/>
    <s v="Waterville, OH 43566"/>
    <n v="43566"/>
    <x v="9"/>
    <x v="60"/>
    <s v="Q"/>
    <s v=""/>
    <s v=""/>
    <x v="1"/>
    <n v="0.03"/>
  </r>
  <r>
    <n v="310212.11"/>
    <n v="4143647004"/>
    <s v="Actual"/>
    <s v="Long Maturity"/>
    <n v="402"/>
    <x v="369"/>
    <n v="342737.7"/>
    <x v="18"/>
    <d v="2019-12-13T00:00:00"/>
    <n v="11.769863013698629"/>
    <d v="2035-01-15T00:00:00"/>
    <n v="181"/>
    <n v="169"/>
    <d v="2020-12-05T00:00:00"/>
    <s v="Sean Devon Holdings LLC"/>
    <s v="East Lake, OH 44095"/>
    <n v="44095"/>
    <x v="9"/>
    <x v="64"/>
    <s v="Q"/>
    <s v=""/>
    <s v=""/>
    <x v="0"/>
    <n v="0.05"/>
  </r>
  <r>
    <n v="310274.11"/>
    <n v="3925277000"/>
    <s v="Actual"/>
    <s v="Long Maturity"/>
    <n v="402"/>
    <x v="370"/>
    <n v="221513.57"/>
    <x v="2"/>
    <d v="2019-08-29T00:00:00"/>
    <n v="15.32054794520548"/>
    <d v="2044-09-15T00:00:00"/>
    <n v="301"/>
    <n v="285"/>
    <d v="2020-12-07T00:00:00"/>
    <s v="Imani Works, LLC"/>
    <s v="New Orleans, LA 70126"/>
    <n v="70126"/>
    <x v="20"/>
    <x v="0"/>
    <s v="Q"/>
    <s v=""/>
    <s v=""/>
    <x v="1"/>
    <n v="0.03"/>
  </r>
  <r>
    <n v="310469.11"/>
    <n v="4108997009"/>
    <s v="Actual"/>
    <s v="Long Maturity"/>
    <n v="402"/>
    <x v="371"/>
    <n v="1693346.79"/>
    <x v="4"/>
    <d v="2019-12-23T00:00:00"/>
    <n v="12.230136986301371"/>
    <d v="2045-01-15T00:00:00"/>
    <n v="301"/>
    <n v="289"/>
    <d v="2020-12-29T00:00:00"/>
    <s v="Signature Hospitality, LLC"/>
    <s v="Belleville, MI  48111"/>
    <n v="48111"/>
    <x v="8"/>
    <x v="20"/>
    <s v="Q"/>
    <s v=""/>
    <s v=""/>
    <x v="2"/>
    <n v="0.03"/>
  </r>
  <r>
    <n v="310489.11"/>
    <n v="2918987009"/>
    <s v="Actual"/>
    <s v="Long Maturity"/>
    <n v="402"/>
    <x v="372"/>
    <n v="570614.18999999994"/>
    <x v="11"/>
    <d v="2020-01-06T00:00:00"/>
    <n v="10.915068493150685"/>
    <d v="2045-02-15T00:00:00"/>
    <n v="301"/>
    <n v="290"/>
    <d v="2020-12-03T00:00:00"/>
    <s v="Leah's CLC LLC"/>
    <s v="Cleveland, OH 44109"/>
    <n v="44109"/>
    <x v="9"/>
    <x v="0"/>
    <s v="Q"/>
    <s v=""/>
    <s v=""/>
    <x v="0"/>
    <n v="0.05"/>
  </r>
  <r>
    <n v="310509.11"/>
    <n v="2564377005"/>
    <s v="Actual"/>
    <s v="Long Maturity"/>
    <n v="402"/>
    <x v="373"/>
    <n v="125013.42"/>
    <x v="4"/>
    <d v="2018-12-05T00:00:00"/>
    <n v="23.9"/>
    <d v="2039-01-15T00:00:00"/>
    <n v="241"/>
    <n v="217"/>
    <d v="2020-12-02T00:00:00"/>
    <s v="Marmol Holdings LLC and The Catfe Co."/>
    <s v="Lawrenceville, GA 30044"/>
    <n v="30044"/>
    <x v="2"/>
    <x v="86"/>
    <s v="Q"/>
    <s v=""/>
    <s v=""/>
    <x v="2"/>
    <n v="0.03"/>
  </r>
  <r>
    <n v="310516.11"/>
    <n v="3757207001"/>
    <s v="Actual"/>
    <s v="Long Maturity"/>
    <n v="402"/>
    <x v="374"/>
    <n v="332678.88"/>
    <x v="51"/>
    <d v="2019-07-30T00:00:00"/>
    <n v="16.306849315068494"/>
    <d v="2044-08-15T00:00:00"/>
    <n v="301"/>
    <n v="284"/>
    <d v="2020-12-07T00:00:00"/>
    <s v="Metropolitan Medical Transportation"/>
    <s v="Barnegat, NJ 08005"/>
    <n v="8005"/>
    <x v="13"/>
    <x v="129"/>
    <s v="Q"/>
    <s v=""/>
    <s v=""/>
    <x v="2"/>
    <n v="0.03"/>
  </r>
  <r>
    <n v="310551.11"/>
    <n v="4145667003"/>
    <s v="Actual"/>
    <s v="Long Maturity"/>
    <n v="402"/>
    <x v="375"/>
    <n v="3319615.04"/>
    <x v="13"/>
    <d v="2020-01-23T00:00:00"/>
    <n v="10.421917808219177"/>
    <d v="2045-02-15T00:00:00"/>
    <n v="301"/>
    <n v="290"/>
    <d v="2020-12-05T00:00:00"/>
    <s v="Just Believe Recovery Center LLC"/>
    <s v="Port Saint Lucie, FL 34983"/>
    <n v="34983"/>
    <x v="1"/>
    <x v="130"/>
    <s v="Q"/>
    <s v=""/>
    <s v=""/>
    <x v="3"/>
    <n v="0.05"/>
  </r>
  <r>
    <n v="310661.11"/>
    <n v="4205317006"/>
    <s v="Actual"/>
    <s v="Long Maturity"/>
    <n v="402"/>
    <x v="376"/>
    <n v="455514.1"/>
    <x v="23"/>
    <d v="2020-01-30T00:00:00"/>
    <n v="10.257534246575343"/>
    <d v="2045-02-15T00:00:00"/>
    <n v="301"/>
    <n v="290"/>
    <d v="2020-12-07T00:00:00"/>
    <s v="Pearl Care Home LLC"/>
    <s v="Henderson,NV 89052"/>
    <n v="89052"/>
    <x v="40"/>
    <x v="15"/>
    <s v="Q"/>
    <s v=""/>
    <s v=""/>
    <x v="1"/>
    <n v="0.05"/>
  </r>
  <r>
    <n v="310667.11"/>
    <n v="3889917004"/>
    <s v="Actual"/>
    <s v="Long Maturity"/>
    <n v="402"/>
    <x v="377"/>
    <n v="2405371.88"/>
    <x v="18"/>
    <d v="2019-08-12T00:00:00"/>
    <n v="16.010958904109589"/>
    <d v="2044-09-15T00:00:00"/>
    <n v="301"/>
    <n v="285"/>
    <d v="2020-12-11T00:00:00"/>
    <s v="Responsible Liquor Inc."/>
    <s v="Brooklyn,NY 11225"/>
    <n v="11225"/>
    <x v="16"/>
    <x v="51"/>
    <s v="Q"/>
    <s v=""/>
    <s v=""/>
    <x v="2"/>
    <n v="0.03"/>
  </r>
  <r>
    <n v="310676.11"/>
    <n v="4077517001"/>
    <s v="Actual"/>
    <s v="Long Maturity"/>
    <n v="402"/>
    <x v="378"/>
    <n v="2503106.5299999998"/>
    <x v="19"/>
    <d v="2019-12-19T00:00:00"/>
    <n v="11.638356164383563"/>
    <d v="2045-01-15T00:00:00"/>
    <n v="301"/>
    <n v="289"/>
    <d v="2020-12-07T00:00:00"/>
    <s v="Star Care Network Inc"/>
    <s v="Goose Creek, SC 29445"/>
    <n v="29445"/>
    <x v="22"/>
    <x v="15"/>
    <s v="Q"/>
    <s v=""/>
    <s v=""/>
    <x v="5"/>
    <n v="0.05"/>
  </r>
  <r>
    <n v="310695.11"/>
    <n v="4209407006"/>
    <s v="Actual"/>
    <s v="Long Maturity"/>
    <n v="402"/>
    <x v="379"/>
    <n v="343901.34"/>
    <x v="11"/>
    <d v="2020-01-31T00:00:00"/>
    <n v="10.158904109589042"/>
    <d v="2045-02-15T00:00:00"/>
    <n v="301"/>
    <n v="290"/>
    <d v="2020-12-05T00:00:00"/>
    <s v="Cranberry Mini Mart"/>
    <s v="Cranberry Township, PA 16066"/>
    <n v="16066"/>
    <x v="11"/>
    <x v="28"/>
    <s v="Q"/>
    <s v=""/>
    <s v=""/>
    <x v="1"/>
    <n v="0.05"/>
  </r>
  <r>
    <n v="310696.11"/>
    <n v="4218657002"/>
    <s v="Actual"/>
    <s v="Long Maturity"/>
    <n v="402"/>
    <x v="380"/>
    <n v="276804.03000000003"/>
    <x v="11"/>
    <d v="2020-02-03T00:00:00"/>
    <n v="10.06027397260274"/>
    <d v="2045-03-15T00:00:00"/>
    <n v="301"/>
    <n v="291"/>
    <d v="2020-12-05T00:00:00"/>
    <s v="Ecksto Holdings Ltd. "/>
    <s v="Canton, OH 44709"/>
    <n v="44709"/>
    <x v="9"/>
    <x v="131"/>
    <s v="Q"/>
    <s v=""/>
    <s v=""/>
    <x v="1"/>
    <n v="0.05"/>
  </r>
  <r>
    <n v="310721.11"/>
    <n v="2647307001"/>
    <s v="Actual"/>
    <s v="Long Maturity"/>
    <n v="402"/>
    <x v="381"/>
    <n v="1027735.11"/>
    <x v="14"/>
    <d v="2019-11-19T00:00:00"/>
    <n v="12.55890410958904"/>
    <d v="2044-12-15T00:00:00"/>
    <n v="301"/>
    <n v="288"/>
    <d v="2020-12-05T00:00:00"/>
    <s v="VA Holdings, LLC"/>
    <s v="Geneva, OH 44041"/>
    <n v="44041"/>
    <x v="9"/>
    <x v="3"/>
    <s v="Q"/>
    <s v=""/>
    <s v=""/>
    <x v="0"/>
    <n v="0.03"/>
  </r>
  <r>
    <n v="310725.11"/>
    <n v="4070987010"/>
    <s v="Actual"/>
    <s v="Long Maturity"/>
    <n v="402"/>
    <x v="382"/>
    <n v="255892.81"/>
    <x v="3"/>
    <d v="2019-11-13T00:00:00"/>
    <n v="12.756164383561645"/>
    <d v="2044-12-15T00:00:00"/>
    <n v="301"/>
    <n v="288"/>
    <d v="2020-12-05T00:00:00"/>
    <s v="Starkey Estates LLC/Starkey Chiropractic &amp; Wellness LLC"/>
    <s v="Wadsworth, OH 44281"/>
    <n v="44281"/>
    <x v="9"/>
    <x v="36"/>
    <s v="Q"/>
    <s v=""/>
    <s v=""/>
    <x v="1"/>
    <n v="0.03"/>
  </r>
  <r>
    <n v="310727.11"/>
    <n v="4074377001"/>
    <s v="Actual"/>
    <s v="Long Maturity"/>
    <n v="402"/>
    <x v="383"/>
    <n v="789987.59"/>
    <x v="5"/>
    <d v="2019-11-06T00:00:00"/>
    <n v="13.052054794520549"/>
    <d v="2044-12-15T00:00:00"/>
    <n v="301"/>
    <n v="288"/>
    <d v="2020-12-07T00:00:00"/>
    <s v="Keith Ealy"/>
    <s v="Orange, CA 92867"/>
    <n v="92867"/>
    <x v="10"/>
    <x v="114"/>
    <s v="Q"/>
    <s v=""/>
    <s v=""/>
    <x v="3"/>
    <n v="0.03"/>
  </r>
  <r>
    <n v="310729.11"/>
    <n v="4082177000"/>
    <s v="Actual"/>
    <s v="Long Maturity"/>
    <n v="402"/>
    <x v="384"/>
    <n v="459427.81"/>
    <x v="14"/>
    <d v="2019-11-08T00:00:00"/>
    <n v="12.920547945205477"/>
    <d v="2044-12-15T00:00:00"/>
    <n v="301"/>
    <n v="288"/>
    <d v="2020-12-05T00:00:00"/>
    <s v="US Screen Co."/>
    <s v="Wellington, OH 44090"/>
    <n v="44090"/>
    <x v="9"/>
    <x v="132"/>
    <s v="Q"/>
    <s v=""/>
    <s v=""/>
    <x v="0"/>
    <n v="0.03"/>
  </r>
  <r>
    <n v="310733.11"/>
    <n v="4061877010"/>
    <s v="Actual"/>
    <s v="Long Maturity"/>
    <n v="402"/>
    <x v="385"/>
    <n v="529656.88"/>
    <x v="3"/>
    <d v="2019-10-29T00:00:00"/>
    <n v="13.315068493150685"/>
    <d v="2044-12-15T00:00:00"/>
    <n v="302"/>
    <n v="288"/>
    <d v="2020-12-07T00:00:00"/>
    <s v="Aesthetic Collective LLC"/>
    <s v="Scottsdale, AZ 85254"/>
    <n v="85254"/>
    <x v="5"/>
    <x v="80"/>
    <s v="Q"/>
    <s v=""/>
    <s v=""/>
    <x v="1"/>
    <n v="0.03"/>
  </r>
  <r>
    <n v="310735.11"/>
    <n v="4033877002"/>
    <s v="Actual"/>
    <s v="Long Maturity"/>
    <n v="402"/>
    <x v="386"/>
    <n v="619112.14"/>
    <x v="3"/>
    <d v="2019-10-29T00:00:00"/>
    <n v="13.315068493150685"/>
    <d v="2044-11-15T00:00:00"/>
    <n v="301"/>
    <n v="287"/>
    <d v="2020-12-07T00:00:00"/>
    <s v="Lavender Equities, Inc."/>
    <s v="Jonesboro, GA 30238"/>
    <n v="30238"/>
    <x v="2"/>
    <x v="0"/>
    <s v="Q"/>
    <s v=""/>
    <s v=""/>
    <x v="1"/>
    <n v="0.03"/>
  </r>
  <r>
    <n v="310738.11"/>
    <n v="4066677008"/>
    <s v="Actual"/>
    <s v="Long Maturity"/>
    <n v="402"/>
    <x v="387"/>
    <n v="214494.88"/>
    <x v="3"/>
    <d v="2019-10-31T00:00:00"/>
    <n v="13.183561643835617"/>
    <d v="2044-11-15T00:00:00"/>
    <n v="301"/>
    <n v="287"/>
    <d v="2020-12-05T00:00:00"/>
    <s v="Stephensons LLC"/>
    <s v="Bentleyville, PA 15314"/>
    <n v="15314"/>
    <x v="11"/>
    <x v="133"/>
    <s v="Q"/>
    <s v=""/>
    <s v=""/>
    <x v="1"/>
    <n v="0.03"/>
  </r>
  <r>
    <n v="310744.11"/>
    <n v="4042847006"/>
    <s v="Actual"/>
    <s v="Long Maturity"/>
    <n v="402"/>
    <x v="388"/>
    <n v="344472.2"/>
    <x v="3"/>
    <d v="2019-10-23T00:00:00"/>
    <n v="13.512328767123286"/>
    <d v="2044-11-15T00:00:00"/>
    <n v="301"/>
    <n v="287"/>
    <d v="2020-12-07T00:00:00"/>
    <s v="JWM Companies Inc"/>
    <s v="Riverside, CA 92504"/>
    <n v="92504"/>
    <x v="10"/>
    <x v="134"/>
    <s v="Q"/>
    <s v=""/>
    <s v=""/>
    <x v="1"/>
    <n v="0.03"/>
  </r>
  <r>
    <n v="310751.11"/>
    <n v="4013227009"/>
    <s v="Actual"/>
    <s v="Long Maturity"/>
    <n v="402"/>
    <x v="389"/>
    <n v="331744.96000000002"/>
    <x v="3"/>
    <d v="2019-10-17T00:00:00"/>
    <n v="13.709589041095892"/>
    <d v="2044-11-15T00:00:00"/>
    <n v="301"/>
    <n v="287"/>
    <d v="2020-12-07T00:00:00"/>
    <s v="Tarasco Inc."/>
    <s v="Rogue River, OR 97537"/>
    <n v="97537"/>
    <x v="21"/>
    <x v="3"/>
    <s v="Q"/>
    <s v=""/>
    <s v=""/>
    <x v="1"/>
    <n v="0.03"/>
  </r>
  <r>
    <n v="310763.11"/>
    <n v="3997307006"/>
    <s v="Actual"/>
    <s v="Long Maturity"/>
    <n v="402"/>
    <x v="390"/>
    <n v="186768.52"/>
    <x v="3"/>
    <d v="2019-10-02T00:00:00"/>
    <n v="14.136986301369863"/>
    <d v="2044-11-15T00:00:00"/>
    <n v="301"/>
    <n v="287"/>
    <d v="2020-12-05T00:00:00"/>
    <s v="ET Two LLC"/>
    <s v="West Bloomfield, MI 48322"/>
    <n v="48322"/>
    <x v="8"/>
    <x v="87"/>
    <s v="Q"/>
    <s v=""/>
    <s v=""/>
    <x v="1"/>
    <n v="0.03"/>
  </r>
  <r>
    <n v="310766.11"/>
    <n v="3988317007"/>
    <s v="Actual"/>
    <s v="Long Maturity"/>
    <n v="402"/>
    <x v="391"/>
    <n v="1222328.98"/>
    <x v="25"/>
    <d v="2019-10-01T00:00:00"/>
    <n v="14.169863013698629"/>
    <d v="2044-11-15T00:00:00"/>
    <n v="301"/>
    <n v="287"/>
    <d v="2020-12-05T00:00:00"/>
    <s v="ARRT Services LLC dba Stonebridge Cleaners"/>
    <s v="Mckinney, TX 75071"/>
    <n v="75071"/>
    <x v="0"/>
    <x v="83"/>
    <s v="Q"/>
    <s v=""/>
    <s v=""/>
    <x v="5"/>
    <n v="0.03"/>
  </r>
  <r>
    <n v="310767.11"/>
    <n v="3995667005"/>
    <s v="Actual"/>
    <s v="Long Maturity"/>
    <n v="402"/>
    <x v="392"/>
    <n v="367957.73"/>
    <x v="3"/>
    <d v="2019-10-01T00:00:00"/>
    <n v="14.235616438356164"/>
    <d v="2044-11-15T00:00:00"/>
    <n v="301"/>
    <n v="287"/>
    <d v="2020-12-07T00:00:00"/>
    <s v="LA Pine DQ Grill and Chill/All the Queen's Men"/>
    <s v="La Pine, OR 97739"/>
    <n v="97739"/>
    <x v="21"/>
    <x v="23"/>
    <s v="Q"/>
    <s v=""/>
    <s v=""/>
    <x v="1"/>
    <n v="0.03"/>
  </r>
  <r>
    <n v="310775.11"/>
    <n v="3957537000"/>
    <s v="Actual"/>
    <s v="Long Maturity"/>
    <n v="402"/>
    <x v="393"/>
    <n v="331298.36"/>
    <x v="3"/>
    <d v="2019-09-26T00:00:00"/>
    <n v="14.334246575342465"/>
    <d v="2044-10-15T00:00:00"/>
    <n v="301"/>
    <n v="286"/>
    <d v="2020-12-05T00:00:00"/>
    <s v="Shinnston Memorial Cemetery and Mausoleum Inc."/>
    <s v="Shinnston, WV 26431"/>
    <n v="26431"/>
    <x v="37"/>
    <x v="116"/>
    <s v="Q"/>
    <s v=""/>
    <s v=""/>
    <x v="1"/>
    <n v="0.03"/>
  </r>
  <r>
    <n v="310778.11"/>
    <n v="3988117006"/>
    <s v="Actual"/>
    <s v="Long Maturity"/>
    <n v="402"/>
    <x v="394"/>
    <n v="248026.58"/>
    <x v="56"/>
    <d v="2019-09-23T00:00:00"/>
    <n v="14.432876712328767"/>
    <d v="2044-10-15T00:00:00"/>
    <n v="301"/>
    <n v="286"/>
    <d v="2020-12-05T00:00:00"/>
    <s v="Bright Pines Links LLC"/>
    <s v="Whitehall, MI 49461"/>
    <n v="49461"/>
    <x v="8"/>
    <x v="23"/>
    <s v="Q"/>
    <s v=""/>
    <s v=""/>
    <x v="1"/>
    <n v="0.03"/>
  </r>
  <r>
    <n v="310779.11"/>
    <n v="3975077008"/>
    <s v="Actual"/>
    <s v="Long Maturity"/>
    <n v="402"/>
    <x v="395"/>
    <n v="489953.43"/>
    <x v="3"/>
    <d v="2019-09-20T00:00:00"/>
    <n v="14.531506849315068"/>
    <d v="2044-10-15T00:00:00"/>
    <n v="301"/>
    <n v="286"/>
    <d v="2020-12-05T00:00:00"/>
    <s v="Maple Glen Real Estate LLC"/>
    <s v="East Amherst, NY 14051"/>
    <n v="14051"/>
    <x v="16"/>
    <x v="6"/>
    <s v="Q"/>
    <s v=""/>
    <s v=""/>
    <x v="1"/>
    <n v="0.03"/>
  </r>
  <r>
    <n v="310786.11"/>
    <n v="3687007004"/>
    <s v="Actual"/>
    <s v="Long Maturity"/>
    <n v="402"/>
    <x v="396"/>
    <n v="434838.34"/>
    <x v="14"/>
    <d v="2019-05-01T00:00:00"/>
    <n v="19.200000000000003"/>
    <d v="2044-06-15T00:00:00"/>
    <n v="301"/>
    <n v="282"/>
    <d v="2020-12-05T00:00:00"/>
    <s v="83 &amp; Chestnut Pub and Eatery LLC"/>
    <s v="North Ridgeville, OH 44039"/>
    <n v="44039"/>
    <x v="9"/>
    <x v="3"/>
    <s v="Q"/>
    <s v=""/>
    <s v=""/>
    <x v="0"/>
    <n v="0.03"/>
  </r>
  <r>
    <n v="310792.11"/>
    <n v="3998657008"/>
    <s v="Actual"/>
    <s v="Long Maturity"/>
    <n v="402"/>
    <x v="397"/>
    <n v="664868.68999999994"/>
    <x v="3"/>
    <d v="2019-09-26T00:00:00"/>
    <n v="14.334246575342465"/>
    <d v="2035-10-15T00:00:00"/>
    <n v="193"/>
    <n v="178"/>
    <d v="2020-12-05T00:00:00"/>
    <s v="Launchpad Holdings LLC"/>
    <s v="Evans City, PA 16033"/>
    <n v="16033"/>
    <x v="11"/>
    <x v="135"/>
    <s v="Q"/>
    <s v=""/>
    <s v=""/>
    <x v="1"/>
    <n v="0.03"/>
  </r>
  <r>
    <n v="310825.11"/>
    <n v="3989317009"/>
    <s v="Actual"/>
    <s v="Long Maturity"/>
    <n v="402"/>
    <x v="398"/>
    <n v="512696"/>
    <x v="19"/>
    <d v="2019-09-30T00:00:00"/>
    <n v="14.268493150684932"/>
    <d v="2044-10-15T00:00:00"/>
    <n v="301"/>
    <n v="286"/>
    <d v="2020-12-07T00:00:00"/>
    <s v="Nelson Holdings, LLC"/>
    <s v="Casco, ME 04015"/>
    <n v="4015"/>
    <x v="41"/>
    <x v="78"/>
    <s v="Q"/>
    <s v=""/>
    <s v=""/>
    <x v="7"/>
    <n v="0.03"/>
  </r>
  <r>
    <n v="310851.11"/>
    <n v="4218417000"/>
    <s v="Actual"/>
    <s v="Long Maturity"/>
    <n v="402"/>
    <x v="399"/>
    <n v="170029.92"/>
    <x v="11"/>
    <d v="2020-02-18T00:00:00"/>
    <n v="9.632876712328768"/>
    <d v="2045-03-15T00:00:00"/>
    <n v="301"/>
    <n v="291"/>
    <d v="2020-12-07T00:00:00"/>
    <s v="Anointed Touch Hair Salon, LLC"/>
    <s v="Ellenwood, GA 30294"/>
    <n v="30294"/>
    <x v="2"/>
    <x v="46"/>
    <s v="Q"/>
    <s v=""/>
    <s v=""/>
    <x v="1"/>
    <n v="0.05"/>
  </r>
  <r>
    <n v="310947.11"/>
    <n v="2909917008"/>
    <s v="Actual"/>
    <s v="Long Maturity"/>
    <n v="402"/>
    <x v="400"/>
    <n v="3134135.71"/>
    <x v="19"/>
    <d v="2018-12-27T00:00:00"/>
    <n v="23.375342465753427"/>
    <d v="2044-11-15T00:00:00"/>
    <n v="311"/>
    <n v="287"/>
    <d v="2020-12-07T00:00:00"/>
    <s v="Lunar Land LLC"/>
    <s v="Wilmington, NC 28401"/>
    <n v="28401"/>
    <x v="6"/>
    <x v="0"/>
    <s v="Q"/>
    <s v=""/>
    <s v=""/>
    <x v="7"/>
    <n v="0.03"/>
  </r>
  <r>
    <n v="310948.11"/>
    <n v="2930917002"/>
    <s v="Actual"/>
    <s v="Long Maturity"/>
    <n v="402"/>
    <x v="401"/>
    <n v="1664161.21"/>
    <x v="23"/>
    <d v="2018-09-19T00:00:00"/>
    <n v="25.578082191780823"/>
    <d v="2044-06-15T00:00:00"/>
    <n v="309"/>
    <n v="282"/>
    <d v="2020-11-05T00:00:00"/>
    <s v="Naia Inc"/>
    <s v="Hercules, CA 94547"/>
    <n v="94547"/>
    <x v="10"/>
    <x v="136"/>
    <s v="Q"/>
    <s v=""/>
    <s v=""/>
    <x v="2"/>
    <n v="0.01"/>
  </r>
  <r>
    <n v="310949.11"/>
    <n v="2951217003"/>
    <s v="Actual"/>
    <s v="Long Maturity"/>
    <n v="402"/>
    <x v="402"/>
    <n v="2222569.63"/>
    <x v="18"/>
    <d v="2018-10-24T00:00:00"/>
    <n v="25.479452054794521"/>
    <d v="2044-11-15T00:00:00"/>
    <n v="313"/>
    <n v="287"/>
    <d v="2020-12-07T00:00:00"/>
    <s v="JHF Investments, LLC"/>
    <s v="Lakeville, MN 55044"/>
    <n v="55044"/>
    <x v="24"/>
    <x v="15"/>
    <s v="Q"/>
    <s v=""/>
    <s v=""/>
    <x v="4"/>
    <n v="0.01"/>
  </r>
  <r>
    <n v="311059.11"/>
    <n v="4166147010"/>
    <s v="Actual"/>
    <s v="Long Maturity"/>
    <n v="402"/>
    <x v="403"/>
    <n v="3685683.85"/>
    <x v="19"/>
    <d v="2020-01-02T00:00:00"/>
    <n v="11.17808219178082"/>
    <d v="2045-02-15T00:00:00"/>
    <n v="301"/>
    <n v="290"/>
    <d v="2020-12-07T00:00:00"/>
    <s v="Little Walker Holdings LLC"/>
    <s v="Brooklyn, NY 11219"/>
    <n v="11219"/>
    <x v="16"/>
    <x v="15"/>
    <s v="Q"/>
    <s v=""/>
    <s v=""/>
    <x v="5"/>
    <n v="0.05"/>
  </r>
  <r>
    <n v="311060.11"/>
    <n v="2884417003"/>
    <s v="Actual"/>
    <s v="Long Maturity"/>
    <n v="402"/>
    <x v="404"/>
    <n v="187331.56"/>
    <x v="16"/>
    <d v="2018-09-04T00:00:00"/>
    <n v="27.12328767123288"/>
    <d v="2033-09-15T00:00:00"/>
    <n v="180"/>
    <n v="153"/>
    <d v="2020-12-07T00:00:00"/>
    <s v="Watkins Brothers Funeral Homes Inc."/>
    <s v="Perry, MI 48872"/>
    <n v="48872"/>
    <x v="8"/>
    <x v="78"/>
    <s v="Q"/>
    <s v=""/>
    <s v=""/>
    <x v="2"/>
    <n v="0.01"/>
  </r>
  <r>
    <n v="311087.11"/>
    <n v="4044547003"/>
    <s v="Actual"/>
    <s v="Long Maturity"/>
    <n v="402"/>
    <x v="405"/>
    <n v="255299.07"/>
    <x v="57"/>
    <d v="2019-10-29T00:00:00"/>
    <n v="13.315068493150685"/>
    <d v="2034-03-15T00:00:00"/>
    <n v="173"/>
    <n v="159"/>
    <d v="2020-12-07T00:00:00"/>
    <s v="Hi Wire Brewing"/>
    <s v="Asheville, NC 28801"/>
    <n v="28801"/>
    <x v="6"/>
    <x v="12"/>
    <s v="Q"/>
    <s v=""/>
    <s v=""/>
    <x v="11"/>
    <n v="0"/>
  </r>
  <r>
    <n v="311089.11"/>
    <n v="3906367008"/>
    <s v="Actual"/>
    <s v="Long Maturity"/>
    <n v="402"/>
    <x v="406"/>
    <n v="122574.88"/>
    <x v="2"/>
    <d v="2019-08-15T00:00:00"/>
    <n v="15.780821917808218"/>
    <d v="2044-09-15T00:00:00"/>
    <n v="301"/>
    <n v="285"/>
    <d v="2020-12-07T00:00:00"/>
    <s v="Lighthouse Wealth Partners"/>
    <s v="Wilmington, NC 28403"/>
    <n v="28403"/>
    <x v="6"/>
    <x v="137"/>
    <s v="Q"/>
    <s v=""/>
    <s v=""/>
    <x v="1"/>
    <n v="0.03"/>
  </r>
  <r>
    <n v="311099.11"/>
    <n v="3625667008"/>
    <s v="Actual"/>
    <s v="Long Maturity"/>
    <n v="402"/>
    <x v="407"/>
    <n v="2501489.1800000002"/>
    <x v="58"/>
    <d v="2019-05-08T00:00:00"/>
    <n v="19.035616438356165"/>
    <d v="2033-06-15T00:00:00"/>
    <n v="169"/>
    <n v="150"/>
    <d v="2020-12-07T00:00:00"/>
    <s v="Rock Hill Pharmacy"/>
    <s v="Rock Hill, NY 12775"/>
    <n v="12775"/>
    <x v="16"/>
    <x v="112"/>
    <s v="Q"/>
    <s v=""/>
    <s v=""/>
    <x v="5"/>
    <n v="0"/>
  </r>
  <r>
    <n v="311113.11"/>
    <n v="3326377004"/>
    <s v="Actual"/>
    <s v="Long Maturity"/>
    <n v="402"/>
    <x v="408"/>
    <n v="1693389.65"/>
    <x v="59"/>
    <d v="2019-02-21T00:00:00"/>
    <n v="21.534246575342465"/>
    <d v="2034-03-15T00:00:00"/>
    <n v="181"/>
    <n v="159"/>
    <d v="2020-12-07T00:00:00"/>
    <s v="Martin-Nez Sporting Goods, LLC"/>
    <s v="Vicksburg, MS 39180"/>
    <n v="39180"/>
    <x v="23"/>
    <x v="138"/>
    <s v="Q"/>
    <s v=""/>
    <s v=""/>
    <x v="6"/>
    <n v="0.03"/>
  </r>
  <r>
    <n v="311264.11"/>
    <n v="4279827009"/>
    <s v="Actual"/>
    <s v="Long Maturity"/>
    <n v="402"/>
    <x v="409"/>
    <n v="145051.65"/>
    <x v="11"/>
    <d v="2020-03-26T00:00:00"/>
    <n v="8.4164383561643845"/>
    <d v="2045-04-15T00:00:00"/>
    <n v="301"/>
    <n v="292"/>
    <d v="2020-12-07T00:00:00"/>
    <s v="Roberto Quezada"/>
    <s v="Lancaster, CA 93534"/>
    <n v="93534"/>
    <x v="10"/>
    <x v="76"/>
    <s v="Q"/>
    <s v=""/>
    <s v=""/>
    <x v="1"/>
    <n v="0.05"/>
  </r>
  <r>
    <n v="311265.11"/>
    <n v="4294147004"/>
    <s v="Actual"/>
    <s v="Long Maturity"/>
    <n v="402"/>
    <x v="410"/>
    <n v="118528.38"/>
    <x v="11"/>
    <d v="2020-03-18T00:00:00"/>
    <n v="8.6794520547945204"/>
    <d v="2045-04-15T00:00:00"/>
    <n v="301"/>
    <n v="292"/>
    <d v="2020-12-07T00:00:00"/>
    <s v="Cater Truck Concepts, LLC"/>
    <s v="Montebello , CA 90640"/>
    <n v="90640"/>
    <x v="10"/>
    <x v="139"/>
    <s v="Q"/>
    <s v=""/>
    <s v=""/>
    <x v="3"/>
    <n v="0.05"/>
  </r>
  <r>
    <n v="311266.11"/>
    <n v="4294087010"/>
    <s v="Actual"/>
    <s v="Long Maturity"/>
    <n v="402"/>
    <x v="411"/>
    <n v="343732.36"/>
    <x v="11"/>
    <d v="2020-03-18T00:00:00"/>
    <n v="8.6794520547945204"/>
    <d v="2045-04-15T00:00:00"/>
    <n v="301"/>
    <n v="292"/>
    <d v="2020-12-07T00:00:00"/>
    <s v="Cater Truck Concepts, LLC"/>
    <s v="Montebello, CA 90640"/>
    <n v="90640"/>
    <x v="10"/>
    <x v="139"/>
    <s v="Q"/>
    <s v=""/>
    <s v=""/>
    <x v="3"/>
    <n v="0.05"/>
  </r>
  <r>
    <n v="311335.11"/>
    <n v="4216987003"/>
    <s v="Actual"/>
    <s v="Long Maturity"/>
    <n v="402"/>
    <x v="412"/>
    <n v="281404.02"/>
    <x v="2"/>
    <d v="2020-02-06T00:00:00"/>
    <n v="10.027397260273972"/>
    <d v="2045-03-15T00:00:00"/>
    <n v="301"/>
    <n v="291"/>
    <d v="2020-12-07T00:00:00"/>
    <s v="2293 International, LLC"/>
    <s v="Oakland, CA 94606"/>
    <n v="94606"/>
    <x v="10"/>
    <x v="23"/>
    <s v="Q"/>
    <s v=""/>
    <s v=""/>
    <x v="1"/>
    <n v="0.05"/>
  </r>
  <r>
    <n v="311337.11"/>
    <n v="4029637008"/>
    <s v="Actual"/>
    <s v="Long Maturity"/>
    <n v="402"/>
    <x v="413"/>
    <n v="678365.59"/>
    <x v="23"/>
    <d v="2019-11-06T00:00:00"/>
    <n v="13.052054794520549"/>
    <d v="2044-12-15T00:00:00"/>
    <n v="301"/>
    <n v="288"/>
    <d v="2020-12-07T00:00:00"/>
    <s v="R &amp; G Enterprises, Inc."/>
    <s v="Amboy, WA 98601"/>
    <n v="98601"/>
    <x v="14"/>
    <x v="140"/>
    <s v="Q"/>
    <s v=""/>
    <s v=""/>
    <x v="1"/>
    <n v="0.03"/>
  </r>
  <r>
    <n v="311464.11"/>
    <n v="4314137010"/>
    <s v="Actual"/>
    <s v="Long Maturity"/>
    <n v="402"/>
    <x v="414"/>
    <n v="583706.06999999995"/>
    <x v="23"/>
    <d v="2020-03-27T00:00:00"/>
    <n v="8.3178082191780831"/>
    <d v="2045-04-15T00:00:00"/>
    <n v="301"/>
    <n v="292"/>
    <d v="2020-12-05T00:00:00"/>
    <s v="JJEMG Holdings LLC"/>
    <s v="Owosso, MI 48867"/>
    <n v="48867"/>
    <x v="8"/>
    <x v="95"/>
    <s v="Q"/>
    <s v=""/>
    <s v=""/>
    <x v="1"/>
    <n v="0.05"/>
  </r>
  <r>
    <n v="311467.11"/>
    <n v="3412787005"/>
    <s v="Actual"/>
    <s v="Long Maturity"/>
    <n v="402"/>
    <x v="415"/>
    <n v="483704.44"/>
    <x v="11"/>
    <d v="2020-04-17T00:00:00"/>
    <n v="7.6273972602739732"/>
    <d v="2038-05-15T00:00:00"/>
    <n v="217"/>
    <n v="209"/>
    <d v="2020-12-05T00:00:00"/>
    <s v="EF Walter Holdings LLC"/>
    <s v="Pittsburgh, PA 15201"/>
    <n v="15201"/>
    <x v="11"/>
    <x v="27"/>
    <s v="Q"/>
    <s v=""/>
    <s v=""/>
    <x v="1"/>
    <n v="0.05"/>
  </r>
  <r>
    <n v="311498.11"/>
    <n v="4273227005"/>
    <s v="Actual"/>
    <s v="Long Maturity"/>
    <n v="402"/>
    <x v="416"/>
    <n v="749672.2"/>
    <x v="19"/>
    <d v="2020-03-16T00:00:00"/>
    <n v="8.5"/>
    <d v="2045-04-15T00:00:00"/>
    <n v="301"/>
    <n v="292"/>
    <d v="2020-12-01T00:00:00"/>
    <s v="Runway Express LLC dba Soni Food and Gas"/>
    <s v="Gilbert, AZ 85233"/>
    <n v="85233"/>
    <x v="5"/>
    <x v="4"/>
    <s v="Q"/>
    <s v=""/>
    <s v=""/>
    <x v="7"/>
    <n v="0.05"/>
  </r>
  <r>
    <n v="311554.11"/>
    <n v="4105067006"/>
    <s v="Actual"/>
    <s v="Long Maturity"/>
    <n v="402"/>
    <x v="417"/>
    <n v="396271.07"/>
    <x v="4"/>
    <d v="2019-12-03T00:00:00"/>
    <n v="12.164383561643836"/>
    <d v="2045-01-15T00:00:00"/>
    <n v="301"/>
    <n v="289"/>
    <d v="2020-12-07T00:00:00"/>
    <s v="Playlearn USA Inc."/>
    <s v="Stoney Point, NY 10980"/>
    <n v="10980"/>
    <x v="16"/>
    <x v="88"/>
    <s v="Q"/>
    <s v=""/>
    <s v=""/>
    <x v="2"/>
    <n v="0.03"/>
  </r>
  <r>
    <n v="311591.11"/>
    <n v="2713137008"/>
    <s v="Actual"/>
    <s v="Long Maturity"/>
    <n v="402"/>
    <x v="418"/>
    <n v="578911.18999999994"/>
    <x v="13"/>
    <d v="2018-06-27T00:00:00"/>
    <n v="29.391780821917806"/>
    <d v="2044-02-15T00:00:00"/>
    <n v="308"/>
    <n v="278"/>
    <d v="2020-12-07T00:00:00"/>
    <s v="Starks Funeral Properties, LLC"/>
    <s v="Salt Lake City, UT  84106"/>
    <n v="84106"/>
    <x v="34"/>
    <x v="78"/>
    <s v="Q"/>
    <s v=""/>
    <s v=""/>
    <x v="5"/>
    <n v="0.01"/>
  </r>
  <r>
    <n v="311639.11"/>
    <n v="3631367008"/>
    <s v="Actual"/>
    <s v="Long Maturity"/>
    <n v="402"/>
    <x v="419"/>
    <n v="2666226.4"/>
    <x v="4"/>
    <d v="2019-04-15T00:00:00"/>
    <n v="19.857534246575344"/>
    <d v="2044-11-15T00:00:00"/>
    <n v="307"/>
    <n v="287"/>
    <d v="2020-12-09T00:00:00"/>
    <s v="Janvee Krishna LLC dba Studio 6 - Katy"/>
    <s v="Houston, TX 77082"/>
    <n v="77082"/>
    <x v="0"/>
    <x v="20"/>
    <s v="Q"/>
    <s v=""/>
    <s v=""/>
    <x v="2"/>
    <n v="0.03"/>
  </r>
  <r>
    <n v="311683.11"/>
    <n v="4075247010"/>
    <s v="Actual"/>
    <s v="Long Maturity"/>
    <n v="402"/>
    <x v="420"/>
    <n v="337499.99"/>
    <x v="13"/>
    <d v="2019-11-21T00:00:00"/>
    <n v="12.493150684931507"/>
    <d v="2039-12-15T00:00:00"/>
    <n v="241"/>
    <n v="228"/>
    <d v="2020-12-05T00:00:00"/>
    <s v="Portable Pup Inc."/>
    <s v="Elk Grove, CA 95758"/>
    <n v="95758"/>
    <x v="10"/>
    <x v="7"/>
    <s v="Q"/>
    <s v=""/>
    <s v=""/>
    <x v="3"/>
    <n v="0.03"/>
  </r>
  <r>
    <n v="311706.11"/>
    <n v="3039567010"/>
    <s v="Actual"/>
    <s v="Long Maturity"/>
    <n v="402"/>
    <x v="421"/>
    <n v="434947.91"/>
    <x v="19"/>
    <d v="2018-10-16T00:00:00"/>
    <n v="25.742465753424657"/>
    <d v="2043-12-15T00:00:00"/>
    <n v="302"/>
    <n v="276"/>
    <d v="2020-12-07T00:00:00"/>
    <s v="CELOZO LLC"/>
    <s v="S. Lake Tahoe, CA 96150"/>
    <n v="96150"/>
    <x v="10"/>
    <x v="20"/>
    <s v="Q"/>
    <s v=""/>
    <s v=""/>
    <x v="6"/>
    <n v="0.01"/>
  </r>
  <r>
    <n v="311743.11"/>
    <n v="3959447001"/>
    <s v="Actual"/>
    <s v="Long Maturity"/>
    <n v="402"/>
    <x v="422"/>
    <n v="87011.5"/>
    <x v="60"/>
    <d v="2019-09-13T00:00:00"/>
    <n v="14.761643835616438"/>
    <d v="2044-10-15T00:00:00"/>
    <n v="301"/>
    <n v="286"/>
    <d v="2020-12-05T00:00:00"/>
    <s v="Ice Cream Island LLC"/>
    <s v="Cadiz, OH 43907"/>
    <n v="43907"/>
    <x v="9"/>
    <x v="141"/>
    <s v="Q"/>
    <s v=""/>
    <s v=""/>
    <x v="1"/>
    <n v="0.03"/>
  </r>
  <r>
    <n v="311744.11"/>
    <n v="4184147003"/>
    <s v="Actual"/>
    <s v="Long Maturity"/>
    <n v="402"/>
    <x v="423"/>
    <n v="147971.82999999999"/>
    <x v="15"/>
    <d v="2020-01-24T00:00:00"/>
    <n v="10.389041095890411"/>
    <d v="2045-02-15T00:00:00"/>
    <n v="301"/>
    <n v="290"/>
    <d v="2020-12-05T00:00:00"/>
    <s v="The Service Station LLC"/>
    <s v="Muskegon, MI 49442"/>
    <n v="49442"/>
    <x v="8"/>
    <x v="8"/>
    <s v="Q"/>
    <s v=""/>
    <s v=""/>
    <x v="0"/>
    <n v="0.05"/>
  </r>
  <r>
    <n v="311747.11"/>
    <n v="4315627006"/>
    <s v="Actual"/>
    <s v="Long Maturity"/>
    <n v="402"/>
    <x v="424"/>
    <n v="3689208.32"/>
    <x v="13"/>
    <d v="2020-03-31T00:00:00"/>
    <n v="8.1863013698630134"/>
    <d v="2045-04-15T00:00:00"/>
    <n v="301"/>
    <n v="292"/>
    <d v="2020-12-05T00:00:00"/>
    <s v="Best Choice Field House LLC"/>
    <s v="Fishers, IN 46038"/>
    <n v="46038"/>
    <x v="39"/>
    <x v="1"/>
    <s v="Q"/>
    <s v=""/>
    <s v=""/>
    <x v="4"/>
    <n v="0.05"/>
  </r>
  <r>
    <n v="311748.11"/>
    <n v="3422607208"/>
    <s v="Actual"/>
    <s v="Long Maturity"/>
    <n v="402"/>
    <x v="425"/>
    <n v="306331.94"/>
    <x v="18"/>
    <d v="2020-04-30T00:00:00"/>
    <n v="7.956164383561644"/>
    <d v="2045-05-15T00:00:00"/>
    <n v="301"/>
    <n v="293"/>
    <d v="2020-12-28T00:00:00"/>
    <s v="DJK Acres LLC"/>
    <s v="Madison, OH 44057"/>
    <n v="44057"/>
    <x v="9"/>
    <x v="87"/>
    <s v="Q"/>
    <s v=""/>
    <s v=""/>
    <x v="0"/>
    <n v="0.05"/>
  </r>
  <r>
    <n v="311749.11"/>
    <n v="3840577008"/>
    <s v="Actual"/>
    <s v="Long Maturity"/>
    <n v="402"/>
    <x v="426"/>
    <n v="298728.92"/>
    <x v="2"/>
    <d v="2019-07-17T00:00:00"/>
    <n v="16.668493150684931"/>
    <d v="2044-08-15T00:00:00"/>
    <n v="301"/>
    <n v="284"/>
    <d v="2020-12-05T00:00:00"/>
    <s v="TMG &amp; TA Properties, LLC"/>
    <s v="Arkon, OH 44333"/>
    <n v="44333"/>
    <x v="9"/>
    <x v="3"/>
    <s v="Q"/>
    <s v=""/>
    <s v=""/>
    <x v="1"/>
    <n v="0.03"/>
  </r>
  <r>
    <n v="311750.11"/>
    <n v="4300837007"/>
    <s v="Actual"/>
    <s v="Long Maturity"/>
    <n v="402"/>
    <x v="427"/>
    <n v="295630.5"/>
    <x v="11"/>
    <d v="2020-03-24T00:00:00"/>
    <n v="8.4164383561643845"/>
    <d v="2034-04-15T00:00:00"/>
    <n v="169"/>
    <n v="160"/>
    <d v="2020-12-05T00:00:00"/>
    <s v="Green Flame Climate Control"/>
    <s v="Flint, MI 48506"/>
    <n v="48506"/>
    <x v="8"/>
    <x v="64"/>
    <s v="Q"/>
    <s v=""/>
    <s v=""/>
    <x v="1"/>
    <n v="0"/>
  </r>
  <r>
    <n v="311751.11"/>
    <n v="3363557205"/>
    <s v="Actual"/>
    <s v="Long Maturity"/>
    <n v="402"/>
    <x v="428"/>
    <n v="276104.07"/>
    <x v="15"/>
    <d v="2020-04-29T00:00:00"/>
    <n v="7.5616438356164384"/>
    <d v="2045-05-15T00:00:00"/>
    <n v="301"/>
    <n v="293"/>
    <d v="2020-12-15T00:00:00"/>
    <s v="815 Grandview Properties LLC"/>
    <s v="Columbus, OH 43215"/>
    <n v="43215"/>
    <x v="9"/>
    <x v="22"/>
    <s v="Q"/>
    <s v=""/>
    <s v=""/>
    <x v="0"/>
    <n v="0.05"/>
  </r>
  <r>
    <n v="311759.11"/>
    <n v="2884157008"/>
    <s v="Actual"/>
    <s v="Long Maturity"/>
    <n v="402"/>
    <x v="429"/>
    <n v="2506898.21"/>
    <x v="18"/>
    <d v="2018-09-13T00:00:00"/>
    <n v="26.827397260273976"/>
    <d v="2044-04-15T00:00:00"/>
    <n v="307"/>
    <n v="280"/>
    <d v="2020-12-07T00:00:00"/>
    <s v="Prien Lake Charles Storage"/>
    <s v="Lake Charles, LA 70605"/>
    <n v="70605"/>
    <x v="20"/>
    <x v="7"/>
    <s v="Q"/>
    <s v=""/>
    <s v=""/>
    <x v="3"/>
    <n v="0.01"/>
  </r>
  <r>
    <n v="311933.11"/>
    <n v="9808428002"/>
    <s v="Actual"/>
    <s v="Long Maturity"/>
    <n v="402"/>
    <x v="430"/>
    <n v="374302.2"/>
    <x v="13"/>
    <d v="2020-07-10T00:00:00"/>
    <n v="4.8657534246575338"/>
    <d v="2045-08-15T00:00:00"/>
    <n v="301"/>
    <n v="296"/>
    <d v="2020-12-05T00:00:00"/>
    <s v="Front Street Associates LLC"/>
    <s v="Columbus, OH 43206"/>
    <n v="43206"/>
    <x v="9"/>
    <x v="142"/>
    <s v="Q"/>
    <s v=""/>
    <s v=""/>
    <x v="3"/>
    <n v="0.05"/>
  </r>
  <r>
    <n v="311934.11"/>
    <n v="4182317002"/>
    <s v="Actual"/>
    <s v="Long Maturity"/>
    <n v="402"/>
    <x v="431"/>
    <n v="534180.54"/>
    <x v="4"/>
    <d v="2020-06-19T00:00:00"/>
    <n v="5.5561643835616437"/>
    <d v="2045-07-15T00:00:00"/>
    <n v="301"/>
    <n v="295"/>
    <d v="2020-12-05T00:00:00"/>
    <s v="The Kids Club Real Estate LLC"/>
    <s v="Chargrin Falls, OH 44023"/>
    <n v="44023"/>
    <x v="9"/>
    <x v="0"/>
    <s v="Q"/>
    <s v=""/>
    <s v=""/>
    <x v="3"/>
    <n v="0.05"/>
  </r>
  <r>
    <n v="311973.11"/>
    <n v="3886977201"/>
    <s v="Actual"/>
    <s v="Long Maturity"/>
    <n v="402"/>
    <x v="432"/>
    <n v="1184041.6000000001"/>
    <x v="11"/>
    <d v="2020-07-21T00:00:00"/>
    <n v="4.5698630136986296"/>
    <d v="2038-08-15T00:00:00"/>
    <n v="217"/>
    <n v="212"/>
    <d v="2020-12-07T00:00:00"/>
    <s v="Ocean Woods Landscaping Co Inc"/>
    <s v="Hilton Head Island, SC 29926"/>
    <n v="29926"/>
    <x v="22"/>
    <x v="40"/>
    <s v="Q"/>
    <s v=""/>
    <s v=""/>
    <x v="1"/>
    <n v="0.05"/>
  </r>
  <r>
    <n v="312012.11"/>
    <n v="4331987009"/>
    <s v="Actual"/>
    <s v="Long Maturity"/>
    <n v="402"/>
    <x v="433"/>
    <n v="705583.77"/>
    <x v="15"/>
    <d v="2020-05-05T00:00:00"/>
    <n v="7.1013698630136988"/>
    <d v="2036-06-15T00:00:00"/>
    <n v="193"/>
    <n v="186"/>
    <d v="2020-12-07T00:00:00"/>
    <s v="CCJC Enterprises Inc dba Redbox North/Northeast Houston"/>
    <s v="Fulshear, TX 77441"/>
    <n v="77441"/>
    <x v="0"/>
    <x v="143"/>
    <s v="Q"/>
    <s v=""/>
    <s v=""/>
    <x v="1"/>
    <n v="0.05"/>
  </r>
  <r>
    <n v="312079.11"/>
    <n v="4140947005"/>
    <s v="Actual"/>
    <s v="Long Maturity"/>
    <n v="402"/>
    <x v="434"/>
    <n v="639750"/>
    <x v="13"/>
    <d v="2019-12-23T00:00:00"/>
    <n v="11.441095890410958"/>
    <d v="2040-01-15T00:00:00"/>
    <n v="241"/>
    <n v="229"/>
    <d v="2020-12-05T00:00:00"/>
    <s v="MI Box of San Diego LLC"/>
    <s v="Lakeside, CA 92040"/>
    <n v="92040"/>
    <x v="10"/>
    <x v="7"/>
    <s v="Q"/>
    <s v=""/>
    <s v=""/>
    <x v="3"/>
    <n v="0.05"/>
  </r>
  <r>
    <n v="312089.11"/>
    <n v="3973067001"/>
    <s v="Actual"/>
    <s v="Long Maturity"/>
    <n v="402"/>
    <x v="435"/>
    <n v="1072500"/>
    <x v="13"/>
    <d v="2019-09-23T00:00:00"/>
    <n v="14.432876712328767"/>
    <d v="2039-10-15T00:00:00"/>
    <n v="241"/>
    <n v="226"/>
    <d v="2020-12-05T00:00:00"/>
    <s v="MI Box of Central NH LLC"/>
    <s v="Merrimack, NH 03054"/>
    <n v="3054"/>
    <x v="42"/>
    <x v="7"/>
    <s v="Q"/>
    <s v=""/>
    <s v=""/>
    <x v="3"/>
    <n v="0.03"/>
  </r>
  <r>
    <n v="312234.11"/>
    <n v="1290198101"/>
    <s v="Actual"/>
    <s v="Long Maturity"/>
    <n v="402"/>
    <x v="436"/>
    <n v="1226083.8"/>
    <x v="19"/>
    <d v="2020-07-15T00:00:00"/>
    <n v="4.7013698630136984"/>
    <d v="2035-08-15T00:00:00"/>
    <n v="181"/>
    <n v="176"/>
    <d v="2020-12-05T00:00:00"/>
    <s v="Habdab LLC"/>
    <s v="Mundelein, IL 60060"/>
    <n v="60060"/>
    <x v="3"/>
    <x v="144"/>
    <s v="Q"/>
    <s v=""/>
    <s v=""/>
    <x v="4"/>
    <n v="0.05"/>
  </r>
  <r>
    <n v="312237.11"/>
    <n v="3492437004"/>
    <s v="Actual"/>
    <s v="Long Maturity"/>
    <n v="402"/>
    <x v="437"/>
    <n v="394247.42"/>
    <x v="18"/>
    <d v="2019-09-30T00:00:00"/>
    <n v="14.202739726027398"/>
    <d v="2044-10-15T00:00:00"/>
    <n v="301"/>
    <n v="286"/>
    <d v="2020-12-05T00:00:00"/>
    <s v="Waffles Incaffeinated Co"/>
    <s v="Wexford, PA 15090"/>
    <n v="15090"/>
    <x v="11"/>
    <x v="3"/>
    <s v="Q"/>
    <s v=""/>
    <s v=""/>
    <x v="0"/>
    <n v="0.03"/>
  </r>
  <r>
    <n v="312496.11"/>
    <n v="1671378209"/>
    <s v="Actual"/>
    <s v="Long Maturity"/>
    <n v="402"/>
    <x v="438"/>
    <n v="1472189.48"/>
    <x v="11"/>
    <d v="2020-07-31T00:00:00"/>
    <n v="4.1753424657534248"/>
    <d v="2038-08-15T00:00:00"/>
    <n v="217"/>
    <n v="212"/>
    <d v="2020-12-05T00:00:00"/>
    <s v="RLH Real Holdings LLC"/>
    <s v="Vermilion, OH 44089"/>
    <n v="44089"/>
    <x v="9"/>
    <x v="74"/>
    <s v="Q"/>
    <s v=""/>
    <s v=""/>
    <x v="1"/>
    <n v="0.05"/>
  </r>
  <r>
    <n v="312516.11"/>
    <n v="6928708200"/>
    <s v="Actual"/>
    <s v="Long Maturity"/>
    <n v="402"/>
    <x v="439"/>
    <n v="729402.49"/>
    <x v="11"/>
    <d v="2020-08-31T00:00:00"/>
    <n v="3.1561643835616433"/>
    <d v="2034-09-15T00:00:00"/>
    <n v="169"/>
    <n v="165"/>
    <d v="2020-12-05T00:00:00"/>
    <s v="Level Up Holdings LLC"/>
    <s v="Tallmadge, OH 44278"/>
    <n v="44278"/>
    <x v="9"/>
    <x v="145"/>
    <s v="Q"/>
    <s v=""/>
    <s v=""/>
    <x v="1"/>
    <n v="0"/>
  </r>
  <r>
    <n v="313008.11"/>
    <n v="3485427003"/>
    <s v="Actual"/>
    <s v="Long Maturity"/>
    <n v="402"/>
    <x v="440"/>
    <n v="1012500"/>
    <x v="13"/>
    <d v="2019-02-15T00:00:00"/>
    <n v="21.665753424657535"/>
    <d v="2039-03-15T00:00:00"/>
    <n v="241"/>
    <n v="219"/>
    <d v="2020-12-05T00:00:00"/>
    <s v="Layton Mobile Storage LLC"/>
    <s v="Olympia, WA 98502"/>
    <n v="98502"/>
    <x v="14"/>
    <x v="7"/>
    <s v="Q"/>
    <s v=""/>
    <s v=""/>
    <x v="3"/>
    <n v="0.03"/>
  </r>
  <r>
    <n v="313009.11"/>
    <n v="3506717007"/>
    <s v="Actual"/>
    <s v="Long Maturity"/>
    <n v="402"/>
    <x v="441"/>
    <n v="884058.81"/>
    <x v="13"/>
    <d v="2019-02-27T00:00:00"/>
    <n v="21.271232876712329"/>
    <d v="2039-03-15T00:00:00"/>
    <n v="241"/>
    <n v="219"/>
    <d v="2020-12-05T00:00:00"/>
    <s v="MI-BOX of Greater Billerica &amp; Burlington"/>
    <s v="Nashua, NH 03063"/>
    <n v="3063"/>
    <x v="42"/>
    <x v="7"/>
    <s v="Q"/>
    <s v=""/>
    <s v=""/>
    <x v="3"/>
    <n v="0.03"/>
  </r>
  <r>
    <n v="305680.11"/>
    <n v="9128765007"/>
    <s v="Actual"/>
    <s v="Long Maturity"/>
    <n v="402"/>
    <x v="442"/>
    <n v="956781.82"/>
    <x v="8"/>
    <d v="2017-02-24T00:00:00"/>
    <n v="45.43333333333333"/>
    <d v="2042-03-15T00:00:00"/>
    <n v="301"/>
    <n v="255"/>
    <d v="2020-12-07T00:00:00"/>
    <s v="Ayana Hospitality, LLC"/>
    <s v="Warner Robins, GA  31093"/>
    <n v="31093"/>
    <x v="2"/>
    <x v="20"/>
    <s v="Q"/>
    <s v=""/>
    <s v=""/>
    <x v="5"/>
    <n v="0"/>
  </r>
  <r>
    <n v="308184.11"/>
    <n v="3589217004"/>
    <s v="Actual"/>
    <s v="Long Maturity"/>
    <n v="402"/>
    <x v="443"/>
    <n v="2514634.4900000002"/>
    <x v="19"/>
    <d v="2019-03-20T00:00:00"/>
    <n v="20.580821917808219"/>
    <d v="2044-04-15T00:00:00"/>
    <n v="301"/>
    <n v="280"/>
    <d v="2020-12-05T00:00:00"/>
    <s v="The Cross Dock Option"/>
    <s v="Laredo, TX 78045"/>
    <n v="78045"/>
    <x v="0"/>
    <x v="84"/>
    <s v="Q"/>
    <s v=""/>
    <s v=""/>
    <x v="6"/>
    <n v="0.03"/>
  </r>
  <r>
    <n v="308803.11"/>
    <n v="3114947007"/>
    <s v="Actual"/>
    <s v="Long Maturity"/>
    <n v="402"/>
    <x v="444"/>
    <n v="1087368.98"/>
    <x v="10"/>
    <d v="2018-10-31T00:00:00"/>
    <n v="24.230136986301368"/>
    <d v="2044-03-15T00:00:00"/>
    <n v="305"/>
    <n v="279"/>
    <d v="2020-11-06T00:00:00"/>
    <s v="Dala 1 Inc."/>
    <s v="Spring Lake Park, MN 55432"/>
    <n v="55432"/>
    <x v="24"/>
    <x v="3"/>
    <s v="Q"/>
    <s v=""/>
    <s v=""/>
    <x v="1"/>
    <n v="0.01"/>
  </r>
  <r>
    <n v="309224.11"/>
    <n v="3894707005"/>
    <s v="Actual"/>
    <s v="Long Maturity"/>
    <n v="402"/>
    <x v="445"/>
    <n v="3643369.03"/>
    <x v="46"/>
    <d v="2019-08-08T00:00:00"/>
    <n v="16.701369863013699"/>
    <d v="2044-09-15T00:00:00"/>
    <n v="301"/>
    <n v="285"/>
    <d v="2020-12-28T00:00:00"/>
    <s v="CVMI, LLC dba Casa Via Mar Inn"/>
    <s v="Port Hueneme, CA 93041"/>
    <n v="93041"/>
    <x v="10"/>
    <x v="20"/>
    <s v="Q"/>
    <s v=""/>
    <s v=""/>
    <x v="7"/>
    <n v="0.03"/>
  </r>
  <r>
    <n v="310174.11"/>
    <n v="1928957010"/>
    <s v="Actual"/>
    <s v="Long Maturity"/>
    <n v="402"/>
    <x v="446"/>
    <n v="283863.38"/>
    <x v="15"/>
    <d v="2018-01-31T00:00:00"/>
    <n v="34.257534246575347"/>
    <d v="2043-02-15T00:00:00"/>
    <n v="301"/>
    <n v="266"/>
    <d v="2020-12-08T00:00:00"/>
    <s v="BZ Wood Properties"/>
    <s v="Boynton Beach, FL 33435"/>
    <n v="33435"/>
    <x v="1"/>
    <x v="146"/>
    <s v="Q"/>
    <s v=""/>
    <s v=""/>
    <x v="1"/>
    <n v="0.01"/>
  </r>
  <r>
    <n v="310268.11"/>
    <n v="4145627002"/>
    <s v="Actual"/>
    <s v="Long Maturity"/>
    <n v="402"/>
    <x v="447"/>
    <n v="946060.92"/>
    <x v="47"/>
    <d v="2019-12-17T00:00:00"/>
    <n v="12"/>
    <d v="2045-01-15T00:00:00"/>
    <n v="301"/>
    <n v="289"/>
    <d v="2020-12-16T00:00:00"/>
    <s v="Cross Creek Ranch, Inc. "/>
    <s v="Dover, FL 33527"/>
    <n v="33527"/>
    <x v="1"/>
    <x v="147"/>
    <s v="Q"/>
    <s v=""/>
    <s v=""/>
    <x v="1"/>
    <n v="0.05"/>
  </r>
  <r>
    <n v="310664.11"/>
    <n v="4211617009"/>
    <s v="Actual"/>
    <s v="Long Maturity"/>
    <n v="402"/>
    <x v="448"/>
    <n v="187602.79"/>
    <x v="11"/>
    <d v="2020-02-07T00:00:00"/>
    <n v="9.9945205479452053"/>
    <d v="2045-03-15T00:00:00"/>
    <n v="301"/>
    <n v="291"/>
    <d v="2020-12-07T00:00:00"/>
    <s v="Little Dreamers Christian Academy LLC"/>
    <s v="Baker, LA 70714"/>
    <n v="70714"/>
    <x v="20"/>
    <x v="0"/>
    <s v="Q"/>
    <s v=""/>
    <s v=""/>
    <x v="1"/>
    <n v="0.05"/>
  </r>
  <r>
    <n v="310720.11"/>
    <n v="3964867003"/>
    <s v="Actual"/>
    <s v="Long Maturity"/>
    <n v="402"/>
    <x v="449"/>
    <n v="254560.62"/>
    <x v="5"/>
    <d v="2019-09-23T00:00:00"/>
    <n v="15.254794520547946"/>
    <d v="2045-01-15T00:00:00"/>
    <n v="304"/>
    <n v="289"/>
    <d v="2020-12-30T00:00:00"/>
    <s v="Sunshine's Health &amp; Wellness LLC"/>
    <s v="Houston, TX 77020"/>
    <n v="77020"/>
    <x v="0"/>
    <x v="3"/>
    <s v="Q"/>
    <s v=""/>
    <s v=""/>
    <x v="3"/>
    <n v="0.03"/>
  </r>
  <r>
    <n v="310728.11"/>
    <n v="4072267010"/>
    <s v="Actual"/>
    <s v="Long Maturity"/>
    <n v="402"/>
    <x v="450"/>
    <n v="878893.02"/>
    <x v="10"/>
    <d v="2019-11-08T00:00:00"/>
    <n v="11.967123287671233"/>
    <d v="2044-12-15T00:00:00"/>
    <n v="301"/>
    <n v="288"/>
    <d v="2020-11-06T00:00:00"/>
    <s v="HKY LLC dba Travelodge Lima and Haresh Brucia"/>
    <s v="Lima, OH 45804"/>
    <n v="45804"/>
    <x v="9"/>
    <x v="20"/>
    <s v="Q"/>
    <s v=""/>
    <s v=""/>
    <x v="4"/>
    <n v="0.05"/>
  </r>
  <r>
    <n v="311360.11"/>
    <n v="3447797204"/>
    <s v="Actual"/>
    <s v="Long Maturity"/>
    <n v="402"/>
    <x v="451"/>
    <n v="572194.35"/>
    <x v="11"/>
    <d v="2020-05-06T00:00:00"/>
    <n v="6.9698630136986299"/>
    <d v="2045-06-15T00:00:00"/>
    <n v="301"/>
    <n v="294"/>
    <d v="2020-12-04T00:00:00"/>
    <s v="JG Nimsgern PC, LLC"/>
    <s v="Phillips, WI 54555"/>
    <n v="54555"/>
    <x v="15"/>
    <x v="78"/>
    <s v="Q"/>
    <s v=""/>
    <s v=""/>
    <x v="3"/>
    <n v="0.05"/>
  </r>
  <r>
    <n v="312180.11"/>
    <n v="3929067004"/>
    <s v="Actual"/>
    <s v="Long Maturity"/>
    <n v="402"/>
    <x v="452"/>
    <n v="418151.19"/>
    <x v="13"/>
    <d v="2019-09-05T00:00:00"/>
    <n v="15.123287671232877"/>
    <d v="2045-01-15T00:00:00"/>
    <n v="304"/>
    <n v="289"/>
    <d v="2020-12-08T00:00:00"/>
    <s v="Howdy's Express Inc."/>
    <s v="Mesquite, TX 75149"/>
    <n v="75149"/>
    <x v="0"/>
    <x v="4"/>
    <s v="Q"/>
    <s v=""/>
    <s v=""/>
    <x v="3"/>
    <n v="0.03"/>
  </r>
  <r>
    <n v="309358.11"/>
    <n v="3010397003"/>
    <s v="Actual"/>
    <s v="Long Maturity"/>
    <n v="402"/>
    <x v="453"/>
    <n v="422759.06"/>
    <x v="13"/>
    <d v="2018-10-15T00:00:00"/>
    <n v="25.775342465753425"/>
    <d v="2034-05-15T00:00:00"/>
    <n v="187"/>
    <n v="161"/>
    <d v="2020-12-07T00:00:00"/>
    <s v="Jai Ganesh Hospitality, LLC"/>
    <s v="Orlando, FL 32808"/>
    <n v="32808"/>
    <x v="1"/>
    <x v="20"/>
    <s v="Q"/>
    <s v=""/>
    <s v=""/>
    <x v="3"/>
    <n v="0.01"/>
  </r>
  <r>
    <n v="309366.11"/>
    <n v="3893437005"/>
    <s v="Actual"/>
    <s v="Long Maturity"/>
    <n v="402"/>
    <x v="454"/>
    <n v="231369.94"/>
    <x v="19"/>
    <d v="2019-08-07T00:00:00"/>
    <n v="16"/>
    <d v="2044-09-15T00:00:00"/>
    <n v="301"/>
    <n v="285"/>
    <d v="2020-12-07T00:00:00"/>
    <s v="KLC Global Solutions, Inc."/>
    <s v="Fullerton, CA 92831"/>
    <n v="92831"/>
    <x v="10"/>
    <x v="39"/>
    <s v="Q"/>
    <s v=""/>
    <s v=""/>
    <x v="6"/>
    <n v="0.03"/>
  </r>
  <r>
    <n v="310367.11"/>
    <n v="4105687004"/>
    <s v="Actual"/>
    <s v="Long Maturity"/>
    <n v="402"/>
    <x v="455"/>
    <n v="103398.79"/>
    <x v="47"/>
    <d v="2019-12-27T00:00:00"/>
    <n v="11.30958904109589"/>
    <d v="2045-01-15T00:00:00"/>
    <n v="301"/>
    <n v="289"/>
    <d v="2020-12-05T00:00:00"/>
    <s v="Ravneet Petro Inc. II"/>
    <s v="Milwaukee, WI 53210"/>
    <n v="53210"/>
    <x v="15"/>
    <x v="4"/>
    <s v="Q"/>
    <s v=""/>
    <s v=""/>
    <x v="1"/>
    <n v="0.05"/>
  </r>
  <r>
    <n v="310868.11"/>
    <n v="4220687010"/>
    <s v="Actual"/>
    <s v="Long Maturity"/>
    <n v="402"/>
    <x v="456"/>
    <n v="0"/>
    <x v="13"/>
    <d v="2020-02-07T00:00:00"/>
    <n v="9.9945205479452053"/>
    <d v="2037-03-15T00:00:00"/>
    <n v="205"/>
    <n v="195"/>
    <d v="2020-12-07T00:00:00"/>
    <s v="HSA Bedrock LLC"/>
    <s v="Brighton, CO 80601"/>
    <n v="80601"/>
    <x v="33"/>
    <x v="134"/>
    <s v="Q"/>
    <s v=""/>
    <s v=""/>
    <x v="5"/>
    <n v="0.05"/>
  </r>
  <r>
    <n v="309612.11"/>
    <n v="3994947004"/>
    <s v="Actual"/>
    <s v="Long Maturity"/>
    <n v="402"/>
    <x v="457"/>
    <n v="106515.35"/>
    <x v="15"/>
    <d v="2019-10-03T00:00:00"/>
    <n v="14.136986301369863"/>
    <d v="2044-11-15T00:00:00"/>
    <n v="301"/>
    <n v="287"/>
    <d v="2020-12-06T00:00:00"/>
    <s v="Derrick T. Wells LLC"/>
    <s v="Centralia, IL  62801"/>
    <n v="62801"/>
    <x v="3"/>
    <x v="137"/>
    <s v="Q"/>
    <s v=""/>
    <s v=""/>
    <x v="1"/>
    <n v="0.03"/>
  </r>
  <r>
    <n v="310142.11"/>
    <n v="3926417007"/>
    <s v="Actual"/>
    <s v="Long Maturity"/>
    <n v="402"/>
    <x v="458"/>
    <n v="1029340.08"/>
    <x v="11"/>
    <d v="2019-09-10T00:00:00"/>
    <n v="14.893150684931506"/>
    <d v="2044-10-15T00:00:00"/>
    <n v="301"/>
    <n v="286"/>
    <d v="2020-12-06T00:00:00"/>
    <s v="Om Shree Vishnu LLC"/>
    <s v="Plainfield, IL 60586"/>
    <n v="60586"/>
    <x v="3"/>
    <x v="148"/>
    <s v="Q"/>
    <s v=""/>
    <s v=""/>
    <x v="3"/>
    <n v="0.03"/>
  </r>
  <r>
    <n v="310164.11"/>
    <n v="2993487001"/>
    <s v="Actual"/>
    <s v="Long Maturity"/>
    <n v="402"/>
    <x v="459"/>
    <n v="2006654.43"/>
    <x v="13"/>
    <d v="2018-11-20T00:00:00"/>
    <n v="24.599999999999998"/>
    <d v="2044-12-15T00:00:00"/>
    <n v="313"/>
    <n v="288"/>
    <d v="2020-12-08T00:00:00"/>
    <s v="Grace David Properties LLC"/>
    <s v="Clifton Park, NY 12065"/>
    <n v="12065"/>
    <x v="16"/>
    <x v="30"/>
    <s v="Q"/>
    <s v=""/>
    <s v=""/>
    <x v="6"/>
    <n v="0.01"/>
  </r>
  <r>
    <n v="310941.11"/>
    <n v="3782657009"/>
    <s v="Actual"/>
    <s v="Long Maturity"/>
    <n v="402"/>
    <x v="460"/>
    <n v="347172.13"/>
    <x v="11"/>
    <d v="2019-07-08T00:00:00"/>
    <n v="17.063013698630137"/>
    <d v="2044-08-15T00:00:00"/>
    <n v="301"/>
    <n v="284"/>
    <d v="2020-12-08T00:00:00"/>
    <s v="21611 Tungsten Road LLC / Hanlon Composites LLC"/>
    <s v="Euclid, OH 44117"/>
    <n v="44117"/>
    <x v="9"/>
    <x v="149"/>
    <s v="Q"/>
    <s v=""/>
    <s v=""/>
    <x v="3"/>
    <n v="0.03"/>
  </r>
  <r>
    <n v="303661.11"/>
    <n v="9447995003"/>
    <s v="Actual"/>
    <s v="Long Maturity"/>
    <n v="402"/>
    <x v="461"/>
    <n v="1136014.22"/>
    <x v="61"/>
    <d v="2017-05-23T00:00:00"/>
    <n v="42.608219178082194"/>
    <d v="2037-06-15T00:00:00"/>
    <n v="241"/>
    <n v="198"/>
    <d v="2020-12-09T00:00:00"/>
    <s v="Energy Source Partners LLC"/>
    <s v="Nashville, TN 37212"/>
    <n v="37212"/>
    <x v="30"/>
    <x v="150"/>
    <s v="Q"/>
    <s v=""/>
    <s v=""/>
    <x v="1"/>
    <n v="0"/>
  </r>
  <r>
    <n v="308199.11"/>
    <n v="9527635000"/>
    <s v="Actual"/>
    <s v="Long Maturity"/>
    <n v="402"/>
    <x v="462"/>
    <n v="1252464.8700000001"/>
    <x v="36"/>
    <d v="2017-06-09T00:00:00"/>
    <n v="42.049315068493151"/>
    <d v="2042-07-15T00:00:00"/>
    <n v="301"/>
    <n v="259"/>
    <d v="2020-12-09T00:00:00"/>
    <s v="Sinndar Business LLC dba Time Express #3"/>
    <s v="Spring, TX 77389"/>
    <n v="77389"/>
    <x v="0"/>
    <x v="4"/>
    <s v="Q"/>
    <s v=""/>
    <s v=""/>
    <x v="3"/>
    <n v="0"/>
  </r>
  <r>
    <n v="308960.11"/>
    <n v="9198985009"/>
    <s v="Actual"/>
    <s v="Long Maturity"/>
    <n v="402"/>
    <x v="463"/>
    <n v="1277200.05"/>
    <x v="22"/>
    <d v="2017-08-07T00:00:00"/>
    <n v="40.043835616438358"/>
    <d v="2042-09-15T00:00:00"/>
    <n v="301"/>
    <n v="261"/>
    <d v="2020-12-07T00:00:00"/>
    <s v="Digpri Investment Inc. DBA Days Inn"/>
    <s v="Freeport, TX 77541"/>
    <n v="77541"/>
    <x v="0"/>
    <x v="20"/>
    <s v="Q"/>
    <s v=""/>
    <s v=""/>
    <x v="3"/>
    <n v="0"/>
  </r>
  <r>
    <n v="309071.11"/>
    <n v="2891577003"/>
    <s v="Actual"/>
    <s v="Long Maturity"/>
    <n v="402"/>
    <x v="464"/>
    <n v="1347722.43"/>
    <x v="42"/>
    <d v="2018-09-10T00:00:00"/>
    <n v="26.966666666666669"/>
    <d v="2044-09-15T00:00:00"/>
    <n v="312"/>
    <n v="285"/>
    <d v="2020-12-09T00:00:00"/>
    <s v="Shahid 786 LLC"/>
    <s v="Des Plaines, IL 60018"/>
    <n v="60018"/>
    <x v="3"/>
    <x v="16"/>
    <s v="Q"/>
    <s v=""/>
    <s v=""/>
    <x v="4"/>
    <n v="0.01"/>
  </r>
  <r>
    <n v="309191.11"/>
    <n v="3849817004"/>
    <s v="Actual"/>
    <s v="Long Maturity"/>
    <n v="402"/>
    <x v="465"/>
    <n v="3309014.59"/>
    <x v="19"/>
    <d v="2019-07-17T00:00:00"/>
    <n v="16.865753424657534"/>
    <d v="2044-09-15T00:00:00"/>
    <n v="302"/>
    <n v="285"/>
    <d v="2020-12-11T00:00:00"/>
    <s v="Santa Rosa Hospitality, LLC"/>
    <s v="Santa Rosa, CA 95409"/>
    <n v="95409"/>
    <x v="10"/>
    <x v="20"/>
    <s v="Q"/>
    <s v=""/>
    <s v=""/>
    <x v="6"/>
    <n v="0.03"/>
  </r>
  <r>
    <n v="309994.11"/>
    <n v="4095227001"/>
    <s v="Actual"/>
    <s v="Long Maturity"/>
    <n v="402"/>
    <x v="466"/>
    <n v="3675920.63"/>
    <x v="11"/>
    <d v="2019-11-25T00:00:00"/>
    <n v="12.263013698630136"/>
    <d v="2045-01-15T00:00:00"/>
    <n v="302"/>
    <n v="289"/>
    <d v="2020-12-02T00:00:00"/>
    <s v="Mel-O-Cream Donuts International, Inc"/>
    <s v="Springfield, IL 62711"/>
    <n v="62711"/>
    <x v="3"/>
    <x v="151"/>
    <s v="Q"/>
    <s v=""/>
    <s v=""/>
    <x v="1"/>
    <n v="0.03"/>
  </r>
  <r>
    <n v="310675.11"/>
    <n v="2693957009"/>
    <s v="Actual"/>
    <s v="Long Maturity"/>
    <n v="402"/>
    <x v="467"/>
    <n v="2990688.35"/>
    <x v="23"/>
    <d v="2018-07-20T00:00:00"/>
    <n v="28.602739726027401"/>
    <d v="2045-03-15T00:00:00"/>
    <n v="320"/>
    <n v="291"/>
    <d v="2020-12-06T00:00:00"/>
    <s v="Davis Archway Centers for Addiction Treatment, Inc./JCL Management Co."/>
    <s v="Butler, PA 16002"/>
    <n v="16002"/>
    <x v="11"/>
    <x v="9"/>
    <s v="Q"/>
    <s v=""/>
    <s v=""/>
    <x v="2"/>
    <n v="0.01"/>
  </r>
  <r>
    <n v="310760.11"/>
    <n v="4005357002"/>
    <s v="Actual"/>
    <s v="Long Maturity"/>
    <n v="402"/>
    <x v="468"/>
    <n v="2992046.01"/>
    <x v="4"/>
    <d v="2019-10-04T00:00:00"/>
    <n v="14.169863013698629"/>
    <d v="2044-11-15T00:00:00"/>
    <n v="301"/>
    <n v="287"/>
    <d v="2020-12-08T00:00:00"/>
    <s v="CHG Medical Center LLC"/>
    <s v="Houston, TX 77025"/>
    <n v="77025"/>
    <x v="0"/>
    <x v="20"/>
    <s v="Q"/>
    <s v=""/>
    <s v=""/>
    <x v="5"/>
    <n v="0.03"/>
  </r>
  <r>
    <n v="310769.11"/>
    <n v="3996437008"/>
    <s v="Actual"/>
    <s v="Long Maturity"/>
    <n v="402"/>
    <x v="469"/>
    <n v="588704.24"/>
    <x v="3"/>
    <d v="2019-09-30T00:00:00"/>
    <n v="14.498630136986302"/>
    <d v="2044-10-15T00:00:00"/>
    <n v="301"/>
    <n v="286"/>
    <d v="2020-12-14T00:00:00"/>
    <s v="WJ Molding Inc."/>
    <s v="Schaumburg, IL 60193"/>
    <n v="60193"/>
    <x v="3"/>
    <x v="152"/>
    <s v="Q"/>
    <s v=""/>
    <s v=""/>
    <x v="1"/>
    <n v="0.03"/>
  </r>
  <r>
    <n v="311062.11"/>
    <n v="9236025005"/>
    <s v="Actual"/>
    <s v="Long Maturity"/>
    <n v="402"/>
    <x v="470"/>
    <n v="2410773.6800000002"/>
    <x v="32"/>
    <d v="2017-01-27T00:00:00"/>
    <n v="45.435616438356163"/>
    <d v="2043-02-15T00:00:00"/>
    <n v="313"/>
    <n v="266"/>
    <d v="2020-11-09T00:00:00"/>
    <s v="Eastern Shore Oral, Facial &amp; Implant Surgery Center, P.C."/>
    <s v="Fairhope, AL 36532"/>
    <n v="36532"/>
    <x v="35"/>
    <x v="6"/>
    <s v="Q"/>
    <s v=""/>
    <s v=""/>
    <x v="0"/>
    <n v="0"/>
  </r>
  <r>
    <n v="311398.11"/>
    <n v="4282187008"/>
    <s v="Actual"/>
    <s v="Long Maturity"/>
    <n v="402"/>
    <x v="471"/>
    <n v="415420.07"/>
    <x v="15"/>
    <d v="2020-04-13T00:00:00"/>
    <n v="7.6931506849315072"/>
    <d v="2045-05-15T00:00:00"/>
    <n v="301"/>
    <n v="293"/>
    <d v="2020-12-03T00:00:00"/>
    <s v="Morton Construction"/>
    <s v="Ventura, CA 93003"/>
    <n v="93003"/>
    <x v="10"/>
    <x v="153"/>
    <s v="Q"/>
    <s v=""/>
    <s v=""/>
    <x v="0"/>
    <n v="0.05"/>
  </r>
  <r>
    <n v="311547.11"/>
    <n v="4259847007"/>
    <s v="Actual"/>
    <s v="Long Maturity"/>
    <n v="402"/>
    <x v="472"/>
    <n v="691239.58"/>
    <x v="4"/>
    <d v="2020-03-26T00:00:00"/>
    <n v="8.3506849315068497"/>
    <d v="2045-04-15T00:00:00"/>
    <n v="301"/>
    <n v="292"/>
    <d v="2020-12-05T00:00:00"/>
    <s v="Serenity Bean LLC"/>
    <s v="Kirksville, MO 63501"/>
    <n v="63501"/>
    <x v="28"/>
    <x v="86"/>
    <s v="Q"/>
    <s v=""/>
    <s v=""/>
    <x v="3"/>
    <n v="0.05"/>
  </r>
  <r>
    <n v="303774.11"/>
    <n v="9140955008"/>
    <s v="Actual"/>
    <s v="Long Maturity"/>
    <n v="402"/>
    <x v="473"/>
    <n v="545743.93000000005"/>
    <x v="62"/>
    <d v="2017-01-09T00:00:00"/>
    <n v="47.046575342465758"/>
    <d v="2042-02-15T00:00:00"/>
    <n v="301"/>
    <n v="254"/>
    <d v="2020-12-10T00:00:00"/>
    <s v="Opelousas Hospitality, LLC"/>
    <s v="Opelousas, LA  70570"/>
    <n v="70570"/>
    <x v="20"/>
    <x v="20"/>
    <s v="Q"/>
    <s v=""/>
    <s v=""/>
    <x v="3"/>
    <n v="0"/>
  </r>
  <r>
    <n v="307861.11"/>
    <n v="9847085000"/>
    <s v="Actual"/>
    <s v="Long Maturity"/>
    <n v="402"/>
    <x v="474"/>
    <n v="887469.51"/>
    <x v="31"/>
    <d v="2017-10-10T00:00:00"/>
    <n v="38.038356164383558"/>
    <d v="2042-11-15T00:00:00"/>
    <n v="301"/>
    <n v="263"/>
    <d v="2020-12-10T00:00:00"/>
    <s v="Westpart Operations LLC dba Vineyard Market"/>
    <s v="Sugarland, TX 77479"/>
    <n v="77479"/>
    <x v="0"/>
    <x v="4"/>
    <s v="Q"/>
    <s v=""/>
    <s v=""/>
    <x v="4"/>
    <n v="0"/>
  </r>
  <r>
    <n v="308078.11"/>
    <n v="9930905009"/>
    <s v="Actual"/>
    <s v="Long Maturity"/>
    <n v="402"/>
    <x v="475"/>
    <n v="2174690.4300000002"/>
    <x v="13"/>
    <d v="2017-10-24T00:00:00"/>
    <n v="36.591780821917808"/>
    <d v="2043-05-15T00:00:00"/>
    <n v="307"/>
    <n v="269"/>
    <d v="2020-11-10T00:00:00"/>
    <s v="Rangoli, Inc. dba Monart School of Art"/>
    <s v="Pearland, TX 77584"/>
    <n v="77584"/>
    <x v="0"/>
    <x v="47"/>
    <s v="Q"/>
    <s v=""/>
    <s v=""/>
    <x v="3"/>
    <n v="0"/>
  </r>
  <r>
    <n v="308367.11"/>
    <n v="3624237006"/>
    <s v="Actual"/>
    <s v="Long Maturity"/>
    <n v="402"/>
    <x v="476"/>
    <n v="151217.74"/>
    <x v="15"/>
    <d v="2019-04-10T00:00:00"/>
    <n v="20.054794520547944"/>
    <d v="2044-05-15T00:00:00"/>
    <n v="301"/>
    <n v="281"/>
    <d v="2020-12-10T00:00:00"/>
    <s v="W.L. Harder, Incorporated"/>
    <s v="Mammoth Lakes, CA 93546"/>
    <n v="93546"/>
    <x v="10"/>
    <x v="153"/>
    <s v="Q"/>
    <s v=""/>
    <s v=""/>
    <x v="1"/>
    <n v="0.03"/>
  </r>
  <r>
    <n v="309081.11"/>
    <n v="2536817009"/>
    <s v="Actual"/>
    <s v="Long Maturity"/>
    <n v="402"/>
    <x v="477"/>
    <n v="1923832.69"/>
    <x v="11"/>
    <d v="2018-09-14T00:00:00"/>
    <n v="25.906849315068492"/>
    <d v="2043-10-15T00:00:00"/>
    <n v="301"/>
    <n v="274"/>
    <d v="2020-11-10T00:00:00"/>
    <s v="Allegra Banquet Convention Center LLC"/>
    <s v="Schiller Park, IL 60176"/>
    <n v="60176"/>
    <x v="3"/>
    <x v="34"/>
    <s v="Q"/>
    <s v=""/>
    <s v=""/>
    <x v="2"/>
    <n v="0.01"/>
  </r>
  <r>
    <n v="309182.11"/>
    <n v="3883797004"/>
    <s v="Actual"/>
    <s v="Long Maturity"/>
    <n v="402"/>
    <x v="478"/>
    <n v="659571.37"/>
    <x v="13"/>
    <d v="2019-08-02T00:00:00"/>
    <n v="16.339726027397262"/>
    <d v="2044-09-15T00:00:00"/>
    <n v="301"/>
    <n v="285"/>
    <d v="2020-12-11T00:00:00"/>
    <s v="Makka Auto Sales"/>
    <s v="Dallas, TX  75229"/>
    <n v="75229"/>
    <x v="0"/>
    <x v="21"/>
    <s v="Q"/>
    <s v=""/>
    <s v=""/>
    <x v="5"/>
    <n v="0.03"/>
  </r>
  <r>
    <n v="309237.11"/>
    <n v="3897437002"/>
    <s v="Actual"/>
    <s v="Long Maturity"/>
    <n v="402"/>
    <x v="479"/>
    <n v="3664287.37"/>
    <x v="46"/>
    <d v="2019-08-14T00:00:00"/>
    <n v="15.912328767123288"/>
    <d v="2044-09-15T00:00:00"/>
    <n v="301"/>
    <n v="285"/>
    <d v="2020-12-10T00:00:00"/>
    <s v="Valiba Inc."/>
    <s v="Sacramento, CA 95817"/>
    <n v="95817"/>
    <x v="10"/>
    <x v="20"/>
    <s v="Q"/>
    <s v=""/>
    <s v=""/>
    <x v="7"/>
    <n v="0.03"/>
  </r>
  <r>
    <n v="309365.11"/>
    <n v="3826507002"/>
    <s v="Actual"/>
    <s v="Long Maturity"/>
    <n v="402"/>
    <x v="480"/>
    <n v="176432.49"/>
    <x v="15"/>
    <d v="2019-08-28T00:00:00"/>
    <n v="15.400000000000002"/>
    <d v="2044-09-15T00:00:00"/>
    <n v="301"/>
    <n v="285"/>
    <d v="2020-12-10T00:00:00"/>
    <s v="Khari E. J. Myers &amp; 190 Minerva LLC"/>
    <s v="Tonawanda, NY 14150"/>
    <n v="14150"/>
    <x v="16"/>
    <x v="154"/>
    <s v="Q"/>
    <s v=""/>
    <s v=""/>
    <x v="1"/>
    <n v="0.03"/>
  </r>
  <r>
    <n v="309710.11"/>
    <n v="3368407009"/>
    <s v="Actual"/>
    <s v="Long Maturity"/>
    <n v="402"/>
    <x v="481"/>
    <n v="912081.66"/>
    <x v="15"/>
    <d v="2018-12-21T00:00:00"/>
    <n v="23.671232876712327"/>
    <d v="2044-07-15T00:00:00"/>
    <n v="307"/>
    <n v="283"/>
    <d v="2020-12-10T00:00:00"/>
    <s v="Dyno Climb LLC"/>
    <s v="Deland, FL 32720"/>
    <n v="32720"/>
    <x v="1"/>
    <x v="1"/>
    <s v="Q"/>
    <s v=""/>
    <s v=""/>
    <x v="1"/>
    <n v="0.03"/>
  </r>
  <r>
    <n v="310033.11"/>
    <n v="4075187005"/>
    <s v="Actual"/>
    <s v="Long Maturity"/>
    <n v="402"/>
    <x v="482"/>
    <n v="3256831.41"/>
    <x v="13"/>
    <d v="2019-11-15T00:00:00"/>
    <n v="12.854794520547944"/>
    <d v="2044-12-15T00:00:00"/>
    <n v="301"/>
    <n v="288"/>
    <d v="2020-12-10T00:00:00"/>
    <s v="Liberty Business Venture, LLC dba Best Western Salisbury Plaza"/>
    <s v="Salisbury, MD 21801"/>
    <n v="21801"/>
    <x v="19"/>
    <x v="20"/>
    <s v="Q"/>
    <s v=""/>
    <s v=""/>
    <x v="3"/>
    <n v="0.03"/>
  </r>
  <r>
    <n v="310040.11"/>
    <n v="2690697008"/>
    <s v="Actual"/>
    <s v="Long Maturity"/>
    <n v="402"/>
    <x v="483"/>
    <n v="1584961.74"/>
    <x v="13"/>
    <d v="2018-06-29T00:00:00"/>
    <n v="29.424657534246577"/>
    <d v="2043-07-15T00:00:00"/>
    <n v="301"/>
    <n v="271"/>
    <d v="2020-12-10T00:00:00"/>
    <s v="Sedalia Hotel LLC"/>
    <s v="Sedalia, MO 65301"/>
    <n v="65301"/>
    <x v="28"/>
    <x v="20"/>
    <s v="Q"/>
    <s v=""/>
    <s v=""/>
    <x v="5"/>
    <n v="0.01"/>
  </r>
  <r>
    <n v="310098.11"/>
    <n v="4106147008"/>
    <s v="Actual"/>
    <s v="Long Maturity"/>
    <n v="402"/>
    <x v="484"/>
    <n v="244996.28"/>
    <x v="26"/>
    <d v="2019-12-05T00:00:00"/>
    <n v="12.197260273972603"/>
    <d v="2045-01-15T00:00:00"/>
    <n v="301"/>
    <n v="289"/>
    <d v="2020-12-10T00:00:00"/>
    <s v="2711 Property Holdings, LLC"/>
    <s v="Anderson, SC  29621"/>
    <n v="29621"/>
    <x v="22"/>
    <x v="39"/>
    <s v="Q"/>
    <s v=""/>
    <s v=""/>
    <x v="3"/>
    <n v="0.03"/>
  </r>
  <r>
    <n v="310165.11"/>
    <n v="4123407005"/>
    <s v="Actual"/>
    <s v="Long Maturity"/>
    <n v="402"/>
    <x v="485"/>
    <n v="517534.37"/>
    <x v="2"/>
    <d v="2019-12-16T00:00:00"/>
    <n v="11.835616438356164"/>
    <d v="2045-01-15T00:00:00"/>
    <n v="301"/>
    <n v="289"/>
    <d v="2020-12-10T00:00:00"/>
    <s v="HG and Son, Inc."/>
    <s v="Amityville, NY 11701"/>
    <n v="11701"/>
    <x v="16"/>
    <x v="8"/>
    <s v="Q"/>
    <s v=""/>
    <s v=""/>
    <x v="1"/>
    <n v="0.05"/>
  </r>
  <r>
    <n v="310285.11"/>
    <n v="4127657007"/>
    <s v="Actual"/>
    <s v="Long Maturity"/>
    <n v="402"/>
    <x v="486"/>
    <n v="443292.68"/>
    <x v="2"/>
    <d v="2019-12-23T00:00:00"/>
    <n v="11.566666666666666"/>
    <d v="2045-01-15T00:00:00"/>
    <n v="301"/>
    <n v="289"/>
    <d v="2020-12-10T00:00:00"/>
    <s v="Food Civilization Services LLC "/>
    <s v="Houston, TX 77008"/>
    <n v="77008"/>
    <x v="0"/>
    <x v="155"/>
    <s v="Q"/>
    <s v=""/>
    <s v=""/>
    <x v="1"/>
    <n v="0.05"/>
  </r>
  <r>
    <n v="310287.11"/>
    <n v="1747217001"/>
    <s v="Actual"/>
    <s v="Long Maturity"/>
    <n v="402"/>
    <x v="487"/>
    <n v="1363706.94"/>
    <x v="18"/>
    <d v="2018-04-03T00:00:00"/>
    <n v="32.284931506849311"/>
    <d v="2044-06-15T00:00:00"/>
    <n v="314"/>
    <n v="282"/>
    <d v="2020-12-10T00:00:00"/>
    <s v="The Spotted Trotter"/>
    <s v="Atlanta, GA 30316"/>
    <n v="30316"/>
    <x v="2"/>
    <x v="156"/>
    <s v="Q"/>
    <s v=""/>
    <s v=""/>
    <x v="4"/>
    <n v="0.01"/>
  </r>
  <r>
    <n v="310295.11"/>
    <n v="4140807009"/>
    <s v="Actual"/>
    <s v="Long Maturity"/>
    <n v="402"/>
    <x v="488"/>
    <n v="2327316.38"/>
    <x v="11"/>
    <d v="2019-12-30T00:00:00"/>
    <n v="11.333333333333332"/>
    <d v="2045-01-15T00:00:00"/>
    <n v="301"/>
    <n v="289"/>
    <d v="2020-12-10T00:00:00"/>
    <s v="Spinnaker Vero, Inc."/>
    <s v="Vero Beach, FL 32960"/>
    <n v="32960"/>
    <x v="1"/>
    <x v="113"/>
    <s v="Q"/>
    <s v=""/>
    <s v=""/>
    <x v="1"/>
    <n v="0.05"/>
  </r>
  <r>
    <n v="310517.11"/>
    <n v="3851997000"/>
    <s v="Actual"/>
    <s v="Long Maturity"/>
    <n v="402"/>
    <x v="489"/>
    <n v="2360199.39"/>
    <x v="12"/>
    <d v="2019-08-05T00:00:00"/>
    <n v="16.208219178082189"/>
    <d v="2044-09-15T00:00:00"/>
    <n v="301"/>
    <n v="285"/>
    <d v="2020-12-10T00:00:00"/>
    <s v="812 Dunn Jax Holdings LLC"/>
    <s v="Jacksonville, FL 32218"/>
    <n v="32218"/>
    <x v="1"/>
    <x v="20"/>
    <s v="Q"/>
    <s v=""/>
    <s v=""/>
    <x v="5"/>
    <n v="0.03"/>
  </r>
  <r>
    <n v="310739.11"/>
    <n v="4054167000"/>
    <s v="Actual"/>
    <s v="Long Maturity"/>
    <n v="402"/>
    <x v="490"/>
    <n v="215336.47"/>
    <x v="3"/>
    <d v="2019-10-28T00:00:00"/>
    <n v="13.446575342465753"/>
    <d v="2044-11-15T00:00:00"/>
    <n v="301"/>
    <n v="287"/>
    <d v="2020-12-10T00:00:00"/>
    <s v="Bridget Nicoll Ruiz"/>
    <s v="Pittsburg, CA 94565"/>
    <n v="94565"/>
    <x v="10"/>
    <x v="157"/>
    <s v="Q"/>
    <s v=""/>
    <s v=""/>
    <x v="1"/>
    <n v="0.03"/>
  </r>
  <r>
    <n v="310743.11"/>
    <n v="3989127000"/>
    <s v="Actual"/>
    <s v="Long Maturity"/>
    <n v="402"/>
    <x v="491"/>
    <n v="1142305.3600000001"/>
    <x v="14"/>
    <d v="2019-10-17T00:00:00"/>
    <n v="13.80821917808219"/>
    <d v="2044-11-15T00:00:00"/>
    <n v="301"/>
    <n v="287"/>
    <d v="2020-12-10T00:00:00"/>
    <s v="Cowley Investments, LLC and Old Village Inn, Inc"/>
    <s v="Farmington, CT 48336"/>
    <n v="48336"/>
    <x v="36"/>
    <x v="3"/>
    <s v="Q"/>
    <s v=""/>
    <s v=""/>
    <x v="0"/>
    <n v="0.03"/>
  </r>
  <r>
    <n v="310746.11"/>
    <n v="4024647001"/>
    <s v="Actual"/>
    <s v="Long Maturity"/>
    <n v="402"/>
    <x v="492"/>
    <n v="398003.91"/>
    <x v="3"/>
    <d v="2019-10-22T00:00:00"/>
    <n v="13.643835616438357"/>
    <d v="2044-11-15T00:00:00"/>
    <n v="301"/>
    <n v="287"/>
    <d v="2020-12-10T00:00:00"/>
    <s v="463 DRW Company, LLC"/>
    <s v="Wilton, CT 06897"/>
    <n v="6897"/>
    <x v="36"/>
    <x v="0"/>
    <s v="Q"/>
    <s v=""/>
    <s v=""/>
    <x v="1"/>
    <n v="0.03"/>
  </r>
  <r>
    <n v="310956.11"/>
    <n v="3606657010"/>
    <s v="Actual"/>
    <s v="Long Maturity"/>
    <n v="402"/>
    <x v="493"/>
    <n v="1218761.6000000001"/>
    <x v="50"/>
    <d v="2019-03-28T00:00:00"/>
    <n v="20.547945205479451"/>
    <d v="2033-06-15T00:00:00"/>
    <n v="171"/>
    <n v="150"/>
    <d v="2020-12-12T00:00:00"/>
    <s v="Mobile Tech Trailers Holding LLC"/>
    <s v="Argos, IN 46501"/>
    <n v="46501"/>
    <x v="39"/>
    <x v="158"/>
    <s v="Q"/>
    <s v=""/>
    <s v=""/>
    <x v="0"/>
    <n v="0"/>
  </r>
  <r>
    <n v="311263.11"/>
    <n v="4294407010"/>
    <s v="Actual"/>
    <s v="Long Maturity"/>
    <n v="402"/>
    <x v="494"/>
    <n v="606678.81999999995"/>
    <x v="18"/>
    <d v="2020-03-25T00:00:00"/>
    <n v="8.5479452054794507"/>
    <d v="2045-04-15T00:00:00"/>
    <n v="301"/>
    <n v="292"/>
    <d v="2020-12-10T00:00:00"/>
    <s v="Prestige Investments Worldwide, LLC"/>
    <s v="Shingle Springs, CA 95682"/>
    <n v="95682"/>
    <x v="10"/>
    <x v="71"/>
    <s v="Q"/>
    <s v=""/>
    <s v=""/>
    <x v="0"/>
    <n v="0.05"/>
  </r>
  <r>
    <n v="311267.11"/>
    <n v="4291617008"/>
    <s v="Actual"/>
    <s v="Long Maturity"/>
    <n v="402"/>
    <x v="495"/>
    <n v="330690.14"/>
    <x v="11"/>
    <d v="2020-03-20T00:00:00"/>
    <n v="8.7123287671232887"/>
    <d v="2045-04-15T00:00:00"/>
    <n v="301"/>
    <n v="292"/>
    <d v="2020-12-10T00:00:00"/>
    <s v="Hefestio Ventures LLC"/>
    <s v="Sacramento, CA 95820"/>
    <n v="95820"/>
    <x v="10"/>
    <x v="52"/>
    <s v="Q"/>
    <s v=""/>
    <s v=""/>
    <x v="3"/>
    <n v="0.05"/>
  </r>
  <r>
    <n v="311317.11"/>
    <n v="3558857005"/>
    <s v="Actual"/>
    <s v="Long Maturity"/>
    <n v="402"/>
    <x v="496"/>
    <n v="1136248.21"/>
    <x v="15"/>
    <d v="2019-03-11T00:00:00"/>
    <n v="21.073972602739726"/>
    <d v="2045-01-15T00:00:00"/>
    <n v="310"/>
    <n v="289"/>
    <d v="2020-12-11T00:00:00"/>
    <s v="RC Petroleum Corporation"/>
    <s v="San Jose, CA 95120"/>
    <n v="95120"/>
    <x v="10"/>
    <x v="16"/>
    <s v="Q"/>
    <s v=""/>
    <s v=""/>
    <x v="0"/>
    <n v="0.03"/>
  </r>
  <r>
    <n v="312054.11"/>
    <n v="7429467901"/>
    <s v="Actual"/>
    <s v="Long Maturity"/>
    <n v="402"/>
    <x v="497"/>
    <n v="351962.06"/>
    <x v="19"/>
    <d v="2020-07-09T00:00:00"/>
    <n v="5.0630136986301366"/>
    <d v="2045-09-15T00:00:00"/>
    <n v="302"/>
    <n v="297"/>
    <d v="2020-12-10T00:00:00"/>
    <s v="Leilani D Aragon"/>
    <s v="Hayward, CA 94544"/>
    <n v="94544"/>
    <x v="10"/>
    <x v="15"/>
    <s v="Q"/>
    <s v=""/>
    <s v=""/>
    <x v="4"/>
    <n v="0.05"/>
  </r>
  <r>
    <n v="312132.11"/>
    <n v="3552087009"/>
    <s v="Actual"/>
    <s v="Long Maturity"/>
    <n v="402"/>
    <x v="498"/>
    <n v="302801.18"/>
    <x v="11"/>
    <d v="2019-04-02T00:00:00"/>
    <n v="20.909589041095892"/>
    <d v="2039-11-15T00:00:00"/>
    <n v="247"/>
    <n v="227"/>
    <d v="2020-12-28T00:00:00"/>
    <s v="Carolina Head and Spine Clinic of Chiropractic, P.A."/>
    <s v="Durham, NC 27707"/>
    <n v="27707"/>
    <x v="6"/>
    <x v="36"/>
    <s v="Q"/>
    <s v=""/>
    <s v=""/>
    <x v="1"/>
    <n v="0.03"/>
  </r>
  <r>
    <n v="312138.11"/>
    <n v="4265927003"/>
    <s v="Actual"/>
    <s v="Long Maturity"/>
    <n v="402"/>
    <x v="499"/>
    <n v="552960.93000000005"/>
    <x v="11"/>
    <d v="2020-03-10T00:00:00"/>
    <n v="9.0410958904109595"/>
    <d v="2045-04-15T00:00:00"/>
    <n v="301"/>
    <n v="292"/>
    <d v="2020-12-10T00:00:00"/>
    <s v="Ez-On Products LLC and Rockwater Properties, LLC"/>
    <s v="Jupiter, FL 33458"/>
    <n v="33458"/>
    <x v="1"/>
    <x v="159"/>
    <s v="Q"/>
    <s v=""/>
    <s v=""/>
    <x v="1"/>
    <n v="0.05"/>
  </r>
  <r>
    <n v="312826.11"/>
    <n v="5419907409"/>
    <s v="Actual"/>
    <s v="Long Maturity"/>
    <n v="402"/>
    <x v="500"/>
    <n v="435167.93"/>
    <x v="13"/>
    <d v="2020-09-10T00:00:00"/>
    <n v="2.9917808219178084"/>
    <d v="2037-10-15T00:00:00"/>
    <n v="205"/>
    <n v="202"/>
    <d v="2020-12-10T00:00:00"/>
    <s v="Spartanburg Fleet Service"/>
    <s v="Cross Hill, SC 29332"/>
    <n v="29332"/>
    <x v="22"/>
    <x v="121"/>
    <s v="Q"/>
    <s v=""/>
    <s v=""/>
    <x v="5"/>
    <n v="0.05"/>
  </r>
  <r>
    <n v="309246.11"/>
    <n v="1384327010"/>
    <s v="Actual"/>
    <s v="Long Maturity"/>
    <n v="402"/>
    <x v="501"/>
    <n v="1212712.77"/>
    <x v="15"/>
    <d v="2018-02-15T00:00:00"/>
    <n v="33.830136986301369"/>
    <d v="2044-03-15T00:00:00"/>
    <n v="313"/>
    <n v="279"/>
    <d v="2020-12-10T00:00:00"/>
    <s v="The Creative Chateau, LLC / Adorne Artistry, LLC"/>
    <s v="Houston, TX 77057"/>
    <n v="77057"/>
    <x v="0"/>
    <x v="94"/>
    <s v="Q"/>
    <s v=""/>
    <s v=""/>
    <x v="1"/>
    <n v="0.01"/>
  </r>
  <r>
    <n v="311255.11"/>
    <n v="8758877008"/>
    <s v="Actual"/>
    <s v="Long Maturity"/>
    <n v="402"/>
    <x v="502"/>
    <n v="519995.2"/>
    <x v="4"/>
    <d v="2020-04-09T00:00:00"/>
    <n v="8.0547945205479454"/>
    <d v="2045-05-15T00:00:00"/>
    <n v="301"/>
    <n v="293"/>
    <d v="2020-12-10T00:00:00"/>
    <s v="Neal B. Preston and Ewings on the Kern, LLC"/>
    <s v="Kernville, CA 93238"/>
    <n v="93238"/>
    <x v="10"/>
    <x v="3"/>
    <s v="Q"/>
    <s v=""/>
    <s v=""/>
    <x v="2"/>
    <n v="0.05"/>
  </r>
  <r>
    <n v="303188.11"/>
    <n v="9670775010"/>
    <s v="Actual"/>
    <s v="Long Maturity"/>
    <n v="402"/>
    <x v="503"/>
    <n v="179902.32"/>
    <x v="9"/>
    <d v="2017-08-31T00:00:00"/>
    <n v="39.484931506849314"/>
    <d v="2042-09-15T00:00:00"/>
    <n v="301"/>
    <n v="261"/>
    <d v="2020-12-14T00:00:00"/>
    <s v="Gentle Dental Care"/>
    <s v="Benton, KY 42025"/>
    <n v="42025"/>
    <x v="7"/>
    <x v="6"/>
    <s v="Q"/>
    <s v=""/>
    <s v=""/>
    <x v="6"/>
    <n v="0"/>
  </r>
  <r>
    <n v="305826.11"/>
    <n v="9141005007"/>
    <s v="Actual"/>
    <s v="Long Maturity"/>
    <n v="402"/>
    <x v="504"/>
    <n v="962635.37"/>
    <x v="31"/>
    <d v="2017-05-04T00:00:00"/>
    <n v="43.397260273972599"/>
    <d v="2042-12-15T00:00:00"/>
    <n v="307"/>
    <n v="264"/>
    <d v="2020-12-14T00:00:00"/>
    <s v="Cricket Ridge Animal Hospital Inc."/>
    <s v="Chardon, OH 44024"/>
    <n v="44024"/>
    <x v="9"/>
    <x v="30"/>
    <s v="Q"/>
    <s v=""/>
    <s v=""/>
    <x v="4"/>
    <n v="0"/>
  </r>
  <r>
    <n v="305827.11"/>
    <n v="9749175010"/>
    <s v="Actual"/>
    <s v="Long Maturity"/>
    <n v="402"/>
    <x v="505"/>
    <n v="482044.1"/>
    <x v="36"/>
    <d v="2017-09-27T00:00:00"/>
    <n v="38.597260273972601"/>
    <d v="2042-10-15T00:00:00"/>
    <n v="301"/>
    <n v="262"/>
    <d v="2020-12-14T00:00:00"/>
    <s v="Forzano Storage &amp; Management Group LLC"/>
    <s v="Newtown, CT 06470"/>
    <n v="6470"/>
    <x v="36"/>
    <x v="7"/>
    <s v="Q"/>
    <s v=""/>
    <s v=""/>
    <x v="3"/>
    <n v="0"/>
  </r>
  <r>
    <n v="308764.11"/>
    <n v="9625125004"/>
    <s v="Actual"/>
    <s v="Long Maturity"/>
    <n v="402"/>
    <x v="506"/>
    <n v="2053681.79"/>
    <x v="61"/>
    <d v="2017-09-15T00:00:00"/>
    <n v="38.991780821917814"/>
    <d v="2043-08-15T00:00:00"/>
    <n v="311"/>
    <n v="272"/>
    <d v="2020-12-14T00:00:00"/>
    <s v="Parko Store LLC"/>
    <s v="Fairfield, NJ  07004"/>
    <n v="7004"/>
    <x v="13"/>
    <x v="4"/>
    <s v="Q"/>
    <s v=""/>
    <s v=""/>
    <x v="1"/>
    <n v="0"/>
  </r>
  <r>
    <n v="309719.11"/>
    <n v="2701777004"/>
    <s v="Actual"/>
    <s v="Long Maturity"/>
    <n v="402"/>
    <x v="507"/>
    <n v="412269.46"/>
    <x v="11"/>
    <d v="2018-07-03T00:00:00"/>
    <n v="29.095890410958901"/>
    <d v="2044-02-15T00:00:00"/>
    <n v="307"/>
    <n v="278"/>
    <d v="2020-12-04T00:00:00"/>
    <s v="Nexa Business Inc. &amp; AFS Business Inc. dba Cross Roads Corner Store #7"/>
    <s v="Rosenberg, TX 77469"/>
    <n v="77469"/>
    <x v="0"/>
    <x v="4"/>
    <s v="Q"/>
    <s v=""/>
    <s v=""/>
    <x v="2"/>
    <n v="0.01"/>
  </r>
  <r>
    <n v="309749.11"/>
    <n v="3587437007"/>
    <s v="Actual"/>
    <s v="Long Maturity"/>
    <n v="402"/>
    <x v="508"/>
    <n v="210625.06"/>
    <x v="18"/>
    <d v="2019-04-12T00:00:00"/>
    <n v="20.12054794520548"/>
    <d v="2044-05-15T00:00:00"/>
    <n v="301"/>
    <n v="281"/>
    <d v="2020-12-14T00:00:00"/>
    <s v="Tycori Properties LLC"/>
    <s v="Madeira Beach, FL 33708"/>
    <n v="33708"/>
    <x v="1"/>
    <x v="39"/>
    <s v="Q"/>
    <s v=""/>
    <s v=""/>
    <x v="4"/>
    <n v="0.03"/>
  </r>
  <r>
    <n v="310125.11"/>
    <n v="2009387009"/>
    <s v="Actual"/>
    <s v="Long Maturity"/>
    <n v="402"/>
    <x v="509"/>
    <n v="1702678.05"/>
    <x v="18"/>
    <d v="2018-03-01T00:00:00"/>
    <n v="33.041095890410958"/>
    <d v="2044-04-15T00:00:00"/>
    <n v="313"/>
    <n v="280"/>
    <d v="2020-11-30T00:00:00"/>
    <s v="Markham Assets LLC dba Markham Country Truck Stop"/>
    <s v="Sugar Land, TX 77479"/>
    <n v="77479"/>
    <x v="0"/>
    <x v="4"/>
    <s v="Q"/>
    <s v=""/>
    <s v=""/>
    <x v="3"/>
    <n v="0.01"/>
  </r>
  <r>
    <n v="310719.11"/>
    <n v="3798027002"/>
    <s v="Actual"/>
    <s v="Long Maturity"/>
    <n v="402"/>
    <x v="510"/>
    <n v="474164.32"/>
    <x v="56"/>
    <d v="2019-06-25T00:00:00"/>
    <n v="17.399999999999999"/>
    <d v="2045-01-15T00:00:00"/>
    <n v="307"/>
    <n v="289"/>
    <d v="2020-12-07T00:00:00"/>
    <s v="Jackson Grey Investmnets LLC and MOD Tribe Boutique LLC"/>
    <s v="Odessa, FL 33556"/>
    <n v="33556"/>
    <x v="1"/>
    <x v="127"/>
    <s v="Q"/>
    <s v=""/>
    <s v=""/>
    <x v="2"/>
    <n v="0.03"/>
  </r>
  <r>
    <n v="310731.11"/>
    <n v="4058097000"/>
    <s v="Actual"/>
    <s v="Long Maturity"/>
    <n v="402"/>
    <x v="511"/>
    <n v="1363509.84"/>
    <x v="5"/>
    <d v="2019-11-01T00:00:00"/>
    <n v="14.005479452054796"/>
    <d v="2044-12-15T00:00:00"/>
    <n v="301"/>
    <n v="288"/>
    <d v="2020-12-31T00:00:00"/>
    <s v="Crab Du Jour of Delran Inc"/>
    <s v="Delran, NJ 08075"/>
    <n v="8075"/>
    <x v="13"/>
    <x v="3"/>
    <s v="Q"/>
    <s v=""/>
    <s v=""/>
    <x v="3"/>
    <n v="0.03"/>
  </r>
  <r>
    <n v="311047.11"/>
    <n v="3270067005"/>
    <s v="Actual"/>
    <s v="Long Maturity"/>
    <n v="402"/>
    <x v="512"/>
    <n v="118693.97"/>
    <x v="50"/>
    <d v="2018-12-19T00:00:00"/>
    <n v="23.868493150684934"/>
    <d v="2034-01-15T00:00:00"/>
    <n v="181"/>
    <n v="157"/>
    <d v="2020-12-14T00:00:00"/>
    <s v="Werk Force Brewing Co."/>
    <s v="Plainfield, IL 60586"/>
    <n v="60586"/>
    <x v="3"/>
    <x v="12"/>
    <s v="Q"/>
    <s v=""/>
    <s v=""/>
    <x v="0"/>
    <n v="0.03"/>
  </r>
  <r>
    <n v="311057.11"/>
    <n v="2382277009"/>
    <s v="Actual"/>
    <s v="Long Maturity"/>
    <n v="402"/>
    <x v="513"/>
    <n v="224259.26"/>
    <x v="18"/>
    <d v="2018-04-13T00:00:00"/>
    <n v="32.087671232876716"/>
    <d v="2044-02-15T00:00:00"/>
    <n v="310"/>
    <n v="278"/>
    <d v="2020-12-14T00:00:00"/>
    <s v="Cambridge Valley Self Storage"/>
    <s v="Newtown, CT 06470"/>
    <n v="6470"/>
    <x v="36"/>
    <x v="7"/>
    <s v="Q"/>
    <s v=""/>
    <s v=""/>
    <x v="3"/>
    <n v="0.01"/>
  </r>
  <r>
    <n v="311061.11"/>
    <n v="1000257004"/>
    <s v="Actual"/>
    <s v="Long Maturity"/>
    <n v="402"/>
    <x v="514"/>
    <n v="1113118.1399999999"/>
    <x v="11"/>
    <d v="2017-11-02T00:00:00"/>
    <n v="37.413698630136984"/>
    <d v="2044-02-15T00:00:00"/>
    <n v="315"/>
    <n v="278"/>
    <d v="2020-12-14T00:00:00"/>
    <s v="Patriots Park Dental LLC"/>
    <s v="Evans, GA 30809"/>
    <n v="30809"/>
    <x v="2"/>
    <x v="6"/>
    <s v="Q"/>
    <s v=""/>
    <s v=""/>
    <x v="3"/>
    <n v="0"/>
  </r>
  <r>
    <n v="311074.11"/>
    <n v="1763557009"/>
    <s v="Actual"/>
    <s v="Long Maturity"/>
    <n v="402"/>
    <x v="515"/>
    <n v="2146891.0299999998"/>
    <x v="11"/>
    <d v="2018-05-04T00:00:00"/>
    <n v="31.397260273972599"/>
    <d v="2044-06-15T00:00:00"/>
    <n v="313"/>
    <n v="282"/>
    <d v="2020-12-14T00:00:00"/>
    <s v="Keever Pharmacy"/>
    <s v="Lincolnton, NC 28092"/>
    <n v="28092"/>
    <x v="6"/>
    <x v="112"/>
    <s v="Q"/>
    <s v=""/>
    <s v=""/>
    <x v="3"/>
    <n v="0.01"/>
  </r>
  <r>
    <n v="311075.11"/>
    <n v="2066767001"/>
    <s v="Actual"/>
    <s v="Long Maturity"/>
    <n v="402"/>
    <x v="516"/>
    <n v="1566928.2"/>
    <x v="18"/>
    <d v="2018-02-09T00:00:00"/>
    <n v="34.158904109589045"/>
    <d v="2044-03-15T00:00:00"/>
    <n v="313"/>
    <n v="279"/>
    <d v="2020-12-14T00:00:00"/>
    <s v="Lake Alfred Self Storage LLC"/>
    <s v="North Salt Lake, UT 84054"/>
    <n v="84054"/>
    <x v="34"/>
    <x v="7"/>
    <s v="Q"/>
    <s v=""/>
    <s v=""/>
    <x v="3"/>
    <n v="0.01"/>
  </r>
  <r>
    <n v="311212.11"/>
    <n v="3947047002"/>
    <s v="Actual"/>
    <s v="Long Maturity"/>
    <n v="402"/>
    <x v="517"/>
    <n v="377429.95"/>
    <x v="11"/>
    <d v="2019-09-11T00:00:00"/>
    <n v="15"/>
    <d v="2045-04-15T00:00:00"/>
    <n v="307"/>
    <n v="292"/>
    <d v="2020-12-11T00:00:00"/>
    <s v="AGG Real Estate, LLC"/>
    <s v="Arvada, CO 80002"/>
    <n v="80002"/>
    <x v="33"/>
    <x v="8"/>
    <s v="Q"/>
    <s v=""/>
    <s v=""/>
    <x v="1"/>
    <n v="0.03"/>
  </r>
  <r>
    <n v="312223.11"/>
    <n v="2904818206"/>
    <s v="Actual"/>
    <s v="Long Maturity"/>
    <n v="402"/>
    <x v="518"/>
    <n v="411983.32"/>
    <x v="19"/>
    <d v="2020-08-13T00:00:00"/>
    <n v="3.978082191780822"/>
    <d v="2045-09-15T00:00:00"/>
    <n v="301"/>
    <n v="297"/>
    <d v="2020-12-12T00:00:00"/>
    <s v="Ark Defense LLC"/>
    <s v="Virginia Beach, VA 23454"/>
    <n v="23454"/>
    <x v="29"/>
    <x v="160"/>
    <s v="Q"/>
    <s v=""/>
    <s v=""/>
    <x v="4"/>
    <n v="0.05"/>
  </r>
  <r>
    <n v="312504.11"/>
    <n v="4088317006"/>
    <s v="Actual"/>
    <s v="Long Maturity"/>
    <n v="402"/>
    <x v="519"/>
    <n v="124705.64"/>
    <x v="18"/>
    <d v="2020-01-15T00:00:00"/>
    <n v="10.684931506849315"/>
    <d v="2035-01-15T00:00:00"/>
    <n v="180"/>
    <n v="169"/>
    <d v="2020-12-05T00:00:00"/>
    <s v="6827 E 9 Mile LLC"/>
    <s v="Warren, MI 48091"/>
    <n v="48091"/>
    <x v="8"/>
    <x v="120"/>
    <s v="Q"/>
    <s v=""/>
    <s v=""/>
    <x v="0"/>
    <n v="0.05"/>
  </r>
  <r>
    <n v="312756.11"/>
    <n v="4281207010"/>
    <s v="Actual"/>
    <s v="Long Maturity"/>
    <n v="402"/>
    <x v="520"/>
    <n v="437762.62"/>
    <x v="15"/>
    <d v="2020-04-30T00:00:00"/>
    <n v="7.1342465753424662"/>
    <d v="2036-06-15T00:00:00"/>
    <n v="194"/>
    <n v="186"/>
    <d v="2020-12-03T00:00:00"/>
    <s v="Vendley's Real Estate LLC"/>
    <s v="Mt. Pleasant, MI 48858"/>
    <n v="48858"/>
    <x v="8"/>
    <x v="74"/>
    <s v="Q"/>
    <s v=""/>
    <s v=""/>
    <x v="1"/>
    <n v="0.05"/>
  </r>
  <r>
    <n v="304360.11"/>
    <n v="9368355001"/>
    <s v="Actual"/>
    <s v="Long Maturity"/>
    <n v="402"/>
    <x v="521"/>
    <n v="530234.41"/>
    <x v="22"/>
    <d v="2017-04-06T00:00:00"/>
    <n v="44.087671232876716"/>
    <d v="2037-05-15T00:00:00"/>
    <n v="241"/>
    <n v="197"/>
    <d v="2020-12-07T00:00:00"/>
    <s v="Coastal MI Box LLC"/>
    <s v="Hampton, NH 03842"/>
    <n v="3842"/>
    <x v="42"/>
    <x v="7"/>
    <s v="Q"/>
    <s v=""/>
    <s v=""/>
    <x v="3"/>
    <n v="0"/>
  </r>
  <r>
    <n v="308245.11"/>
    <n v="3601377010"/>
    <s v="Actual"/>
    <s v="Long Maturity"/>
    <n v="402"/>
    <x v="522"/>
    <n v="1872475.3"/>
    <x v="11"/>
    <d v="2019-03-15T00:00:00"/>
    <n v="21.073972602739726"/>
    <d v="2044-04-15T00:00:00"/>
    <n v="301"/>
    <n v="280"/>
    <d v="2020-12-15T00:00:00"/>
    <s v="Dutchbrothers 5 Marietta Operations LLC"/>
    <s v="Marietta, GA 30066"/>
    <n v="30066"/>
    <x v="2"/>
    <x v="0"/>
    <s v="Q"/>
    <s v=""/>
    <s v=""/>
    <x v="2"/>
    <n v="0.03"/>
  </r>
  <r>
    <n v="308246.11"/>
    <n v="3601757006"/>
    <s v="Actual"/>
    <s v="Long Maturity"/>
    <n v="402"/>
    <x v="523"/>
    <n v="1764642.51"/>
    <x v="45"/>
    <d v="2019-03-15T00:00:00"/>
    <n v="21.073972602739726"/>
    <d v="2044-04-15T00:00:00"/>
    <n v="301"/>
    <n v="280"/>
    <d v="2020-12-15T00:00:00"/>
    <s v="Dutchbrothers 6 Lawrenceville Operations LLC"/>
    <s v="Lawrenceville, GA 30043"/>
    <n v="30043"/>
    <x v="2"/>
    <x v="0"/>
    <s v="Q"/>
    <s v=""/>
    <s v=""/>
    <x v="2"/>
    <n v="0.03"/>
  </r>
  <r>
    <n v="309466.11"/>
    <n v="2961017006"/>
    <s v="Actual"/>
    <s v="Long Maturity"/>
    <n v="402"/>
    <x v="524"/>
    <n v="1364858.11"/>
    <x v="19"/>
    <d v="2018-10-17T00:00:00"/>
    <n v="24.920547945205481"/>
    <d v="2043-11-15T00:00:00"/>
    <n v="301"/>
    <n v="275"/>
    <d v="2020-11-13T00:00:00"/>
    <s v="JKD Car Wash Inc and JKA Car Wash LLC"/>
    <s v="Midlothian, TX 76065"/>
    <n v="76065"/>
    <x v="0"/>
    <x v="16"/>
    <s v="Q"/>
    <s v=""/>
    <s v=""/>
    <x v="6"/>
    <n v="0.01"/>
  </r>
  <r>
    <n v="310052.11"/>
    <n v="4010567000"/>
    <s v="Actual"/>
    <s v="Long Maturity"/>
    <n v="402"/>
    <x v="525"/>
    <n v="1811962.04"/>
    <x v="13"/>
    <d v="2019-11-15T00:00:00"/>
    <n v="13.019178082191781"/>
    <d v="2045-03-15T00:00:00"/>
    <n v="304"/>
    <n v="291"/>
    <d v="2020-12-15T00:00:00"/>
    <s v="Monsters Express LLC"/>
    <s v="Stuart, FL 34994"/>
    <n v="34994"/>
    <x v="1"/>
    <x v="16"/>
    <s v="Q"/>
    <s v=""/>
    <s v=""/>
    <x v="6"/>
    <n v="0.03"/>
  </r>
  <r>
    <n v="310200.11"/>
    <n v="4134067005"/>
    <s v="Actual"/>
    <s v="Long Maturity"/>
    <n v="402"/>
    <x v="526"/>
    <n v="384775.56"/>
    <x v="12"/>
    <d v="2019-12-18T00:00:00"/>
    <n v="11.572602739726028"/>
    <d v="2045-01-15T00:00:00"/>
    <n v="301"/>
    <n v="289"/>
    <d v="2020-12-04T00:00:00"/>
    <s v="Aria Driving School"/>
    <s v="Ozone Park, NY 11417"/>
    <n v="11417"/>
    <x v="16"/>
    <x v="161"/>
    <s v="Q"/>
    <s v=""/>
    <s v=""/>
    <x v="5"/>
    <n v="0.05"/>
  </r>
  <r>
    <n v="310723.11"/>
    <n v="4043457009"/>
    <s v="Actual"/>
    <s v="Long Maturity"/>
    <n v="402"/>
    <x v="527"/>
    <n v="620837.52"/>
    <x v="5"/>
    <d v="2019-11-15T00:00:00"/>
    <n v="13.019178082191781"/>
    <d v="2044-12-15T00:00:00"/>
    <n v="301"/>
    <n v="288"/>
    <d v="2020-12-15T00:00:00"/>
    <s v="Gentle Family Dentistry PC"/>
    <s v="Stone Mountain, GA 30083"/>
    <n v="30083"/>
    <x v="2"/>
    <x v="6"/>
    <s v="Q"/>
    <s v=""/>
    <s v=""/>
    <x v="3"/>
    <n v="0.03"/>
  </r>
  <r>
    <n v="310782.11"/>
    <n v="3913447006"/>
    <s v="Actual"/>
    <s v="Long Maturity"/>
    <n v="402"/>
    <x v="528"/>
    <n v="1464452.16"/>
    <x v="5"/>
    <d v="2019-09-13T00:00:00"/>
    <n v="14.958904109589042"/>
    <d v="2044-10-15T00:00:00"/>
    <n v="301"/>
    <n v="286"/>
    <d v="2020-12-11T00:00:00"/>
    <s v="Gautam Hospitality Inc."/>
    <s v="Holbrook, AZ 86025"/>
    <n v="86025"/>
    <x v="5"/>
    <x v="20"/>
    <s v="Q"/>
    <s v=""/>
    <s v=""/>
    <x v="3"/>
    <n v="0.03"/>
  </r>
  <r>
    <n v="310874.11"/>
    <n v="4228267007"/>
    <s v="Actual"/>
    <s v="Long Maturity"/>
    <n v="402"/>
    <x v="529"/>
    <n v="3629777.19"/>
    <x v="19"/>
    <d v="2020-02-14T00:00:00"/>
    <n v="9.9945205479452053"/>
    <d v="2045-03-15T00:00:00"/>
    <n v="301"/>
    <n v="291"/>
    <d v="2020-12-14T00:00:00"/>
    <s v="Chahal Enterprise Inc. #1"/>
    <s v="Visalia, CA 93277"/>
    <n v="93277"/>
    <x v="10"/>
    <x v="4"/>
    <s v="Q"/>
    <s v=""/>
    <s v=""/>
    <x v="5"/>
    <n v="0.05"/>
  </r>
  <r>
    <n v="311513.11"/>
    <n v="4211217007"/>
    <s v="Actual"/>
    <s v="Long Maturity"/>
    <n v="402"/>
    <x v="530"/>
    <n v="784310.89"/>
    <x v="13"/>
    <d v="2020-02-04T00:00:00"/>
    <n v="9.3000000000000007"/>
    <d v="2045-03-15T00:00:00"/>
    <n v="301"/>
    <n v="291"/>
    <d v="2020-11-13T00:00:00"/>
    <s v="Raprager LLC"/>
    <s v="Odessa, FL 33556"/>
    <n v="33556"/>
    <x v="1"/>
    <x v="162"/>
    <s v="Q"/>
    <s v=""/>
    <s v=""/>
    <x v="4"/>
    <n v="0.05"/>
  </r>
  <r>
    <n v="312414.11"/>
    <n v="3544807000"/>
    <s v="Actual"/>
    <s v="Long Maturity"/>
    <n v="402"/>
    <x v="531"/>
    <n v="279339.7"/>
    <x v="50"/>
    <d v="2019-03-25T00:00:00"/>
    <n v="20.2"/>
    <d v="2034-01-15T00:00:00"/>
    <n v="178"/>
    <n v="157"/>
    <d v="2020-12-01T00:00:00"/>
    <s v="1487 Brewpub 1, LLC"/>
    <s v="Alexandria, OH 43001"/>
    <n v="43001"/>
    <x v="9"/>
    <x v="12"/>
    <s v="Q"/>
    <s v=""/>
    <s v=""/>
    <x v="0"/>
    <n v="0"/>
  </r>
  <r>
    <n v="309147.11"/>
    <n v="3779617007"/>
    <s v="Actual"/>
    <s v="Long Maturity"/>
    <n v="402"/>
    <x v="532"/>
    <n v="402441.31"/>
    <x v="13"/>
    <d v="2019-06-13T00:00:00"/>
    <n v="18.082191780821919"/>
    <d v="2044-07-15T00:00:00"/>
    <n v="301"/>
    <n v="283"/>
    <d v="2020-12-14T00:00:00"/>
    <s v="Suds One, Inc. &amp; Ysk, LLC"/>
    <s v="Odenton, MD 21113"/>
    <n v="21113"/>
    <x v="19"/>
    <x v="163"/>
    <s v="Q"/>
    <s v=""/>
    <s v=""/>
    <x v="5"/>
    <n v="0.03"/>
  </r>
  <r>
    <n v="309894.11"/>
    <n v="4075397009"/>
    <s v="Actual"/>
    <s v="Long Maturity"/>
    <n v="402"/>
    <x v="533"/>
    <n v="128991.9"/>
    <x v="47"/>
    <d v="2019-11-15T00:00:00"/>
    <n v="12.920547945205477"/>
    <d v="2044-12-15T00:00:00"/>
    <n v="301"/>
    <n v="288"/>
    <d v="2020-12-12T00:00:00"/>
    <s v="Ready Ride Auto LLC"/>
    <s v="Cadott, WI 54727"/>
    <n v="54727"/>
    <x v="15"/>
    <x v="164"/>
    <s v="Q"/>
    <s v=""/>
    <s v=""/>
    <x v="1"/>
    <n v="0.03"/>
  </r>
  <r>
    <n v="311496.11"/>
    <n v="3836867009"/>
    <s v="Actual"/>
    <s v="Long Maturity"/>
    <n v="402"/>
    <x v="534"/>
    <n v="2559382.12"/>
    <x v="18"/>
    <d v="2020-03-27T00:00:00"/>
    <n v="8.6136986301369873"/>
    <d v="2045-04-15T00:00:00"/>
    <n v="301"/>
    <n v="292"/>
    <d v="2020-12-14T00:00:00"/>
    <s v="Innovative Wellness Center, P.C."/>
    <s v="Jamesburg, NJ 08831"/>
    <n v="8831"/>
    <x v="13"/>
    <x v="36"/>
    <s v="Q"/>
    <s v=""/>
    <s v=""/>
    <x v="0"/>
    <n v="0.05"/>
  </r>
  <r>
    <n v="312356.11"/>
    <n v="5161538207"/>
    <s v="Actual"/>
    <s v="Long Maturity"/>
    <n v="402"/>
    <x v="535"/>
    <n v="638286.23"/>
    <x v="4"/>
    <d v="2020-08-14T00:00:00"/>
    <n v="4.0109589041095894"/>
    <d v="2035-09-15T00:00:00"/>
    <n v="181"/>
    <n v="177"/>
    <d v="2020-12-14T00:00:00"/>
    <s v="Legacy Jewelers LLC and Blamo LLC"/>
    <s v="Noblesville, IN 46060"/>
    <n v="46060"/>
    <x v="39"/>
    <x v="165"/>
    <s v="Q"/>
    <s v=""/>
    <s v=""/>
    <x v="2"/>
    <n v="0.05"/>
  </r>
  <r>
    <n v="312683.11"/>
    <n v="7732298200"/>
    <s v="Actual"/>
    <s v="Long Maturity"/>
    <n v="402"/>
    <x v="536"/>
    <n v="2016315.51"/>
    <x v="20"/>
    <d v="2020-09-14T00:00:00"/>
    <n v="2.9917808219178084"/>
    <d v="2033-10-15T00:00:00"/>
    <n v="157"/>
    <n v="154"/>
    <d v="2020-12-14T00:00:00"/>
    <s v="Purple Peony Inc."/>
    <s v="Fort Collins, CO 80524"/>
    <n v="80524"/>
    <x v="33"/>
    <x v="166"/>
    <s v="Q"/>
    <s v=""/>
    <s v=""/>
    <x v="4"/>
    <n v="0"/>
  </r>
  <r>
    <n v="303423.11"/>
    <n v="9873335007"/>
    <s v="Actual"/>
    <s v="Long Maturity"/>
    <n v="402"/>
    <x v="537"/>
    <n v="59876.91"/>
    <x v="30"/>
    <d v="2017-10-18T00:00:00"/>
    <n v="38.133333333333333"/>
    <d v="2042-11-15T00:00:00"/>
    <n v="301"/>
    <n v="263"/>
    <d v="2020-12-22T00:00:00"/>
    <s v="Kimberly &amp; Erin Bussard"/>
    <s v="Morrisville, MO 65710"/>
    <n v="65710"/>
    <x v="28"/>
    <x v="167"/>
    <s v="Q"/>
    <s v=""/>
    <s v=""/>
    <x v="5"/>
    <n v="0"/>
  </r>
  <r>
    <n v="307335.11"/>
    <n v="3258767000"/>
    <s v="Actual"/>
    <s v="Long Maturity"/>
    <n v="402"/>
    <x v="538"/>
    <n v="115119.69"/>
    <x v="18"/>
    <d v="2018-12-04T00:00:00"/>
    <n v="24.460273972602742"/>
    <d v="2044-01-15T00:00:00"/>
    <n v="301"/>
    <n v="277"/>
    <d v="2020-12-17T00:00:00"/>
    <s v="SunSunny, Inc. dba Sammy Food Mart"/>
    <s v="Arlington, TX 76015"/>
    <n v="76015"/>
    <x v="0"/>
    <x v="4"/>
    <s v="Q"/>
    <s v=""/>
    <s v=""/>
    <x v="1"/>
    <n v="0.01"/>
  </r>
  <r>
    <n v="307958.11"/>
    <n v="1806497005"/>
    <s v="Actual"/>
    <s v="Long Maturity"/>
    <n v="402"/>
    <x v="539"/>
    <n v="2906017.13"/>
    <x v="15"/>
    <d v="2018-01-05T00:00:00"/>
    <n v="35.57260273972603"/>
    <d v="2044-02-15T00:00:00"/>
    <n v="313"/>
    <n v="278"/>
    <d v="2020-12-22T00:00:00"/>
    <s v="Scotsman Holdings, LLC"/>
    <s v="Morgan, UT 84050"/>
    <n v="84050"/>
    <x v="34"/>
    <x v="7"/>
    <s v="Q"/>
    <s v=""/>
    <s v=""/>
    <x v="1"/>
    <n v="0.01"/>
  </r>
  <r>
    <n v="308463.11"/>
    <n v="3631207006"/>
    <s v="Actual"/>
    <s v="Long Maturity"/>
    <n v="402"/>
    <x v="540"/>
    <n v="35907.32"/>
    <x v="63"/>
    <d v="2019-04-25T00:00:00"/>
    <n v="19.726027397260275"/>
    <d v="2044-05-15T00:00:00"/>
    <n v="301"/>
    <n v="281"/>
    <d v="2020-12-15T00:00:00"/>
    <s v="Lou's Fish LLC &amp; Crew 17 LLC"/>
    <s v="Two Harbors, MN 55616"/>
    <n v="55616"/>
    <x v="24"/>
    <x v="168"/>
    <s v="Q"/>
    <s v=""/>
    <s v=""/>
    <x v="1"/>
    <n v="0.03"/>
  </r>
  <r>
    <n v="309113.11"/>
    <n v="3800437007"/>
    <s v="Actual"/>
    <s v="Long Maturity"/>
    <n v="402"/>
    <x v="541"/>
    <n v="160520.51"/>
    <x v="13"/>
    <d v="2019-07-12T00:00:00"/>
    <n v="17.063013698630137"/>
    <d v="2044-08-15T00:00:00"/>
    <n v="301"/>
    <n v="284"/>
    <d v="2020-12-12T00:00:00"/>
    <s v="The Robinson Group, LLC"/>
    <s v="Montgomery, AL 36106"/>
    <n v="36106"/>
    <x v="35"/>
    <x v="39"/>
    <s v="Q"/>
    <s v=""/>
    <s v=""/>
    <x v="5"/>
    <n v="0.03"/>
  </r>
  <r>
    <n v="309817.11"/>
    <n v="4043967009"/>
    <s v="Actual"/>
    <s v="Long Maturity"/>
    <n v="402"/>
    <x v="542"/>
    <n v="255385.23"/>
    <x v="39"/>
    <d v="2019-10-31T00:00:00"/>
    <n v="13.512328767123286"/>
    <d v="2044-11-15T00:00:00"/>
    <n v="301"/>
    <n v="287"/>
    <d v="2020-12-15T00:00:00"/>
    <s v="Train the Brain LLC dba Duluth Core Learning"/>
    <s v="Duluth, MN 55802"/>
    <n v="55802"/>
    <x v="24"/>
    <x v="41"/>
    <s v="Q"/>
    <s v=""/>
    <s v=""/>
    <x v="4"/>
    <n v="0.03"/>
  </r>
  <r>
    <n v="309818.11"/>
    <n v="4046107004"/>
    <s v="Actual"/>
    <s v="Long Maturity"/>
    <n v="402"/>
    <x v="543"/>
    <n v="66330.58"/>
    <x v="47"/>
    <d v="2019-10-31T00:00:00"/>
    <n v="13.512328767123286"/>
    <d v="2044-11-15T00:00:00"/>
    <n v="301"/>
    <n v="287"/>
    <d v="2020-12-15T00:00:00"/>
    <s v="Innovative Pest Solutions LLC"/>
    <s v="Superior, WI 54880"/>
    <n v="54880"/>
    <x v="15"/>
    <x v="155"/>
    <s v="Q"/>
    <s v=""/>
    <s v=""/>
    <x v="1"/>
    <n v="0.03"/>
  </r>
  <r>
    <n v="306736.11"/>
    <n v="9482055009"/>
    <s v="Actual"/>
    <s v="Long Maturity"/>
    <n v="402"/>
    <x v="544"/>
    <n v="1556898.09"/>
    <x v="24"/>
    <d v="2017-06-15T00:00:00"/>
    <n v="42.049315068493151"/>
    <d v="2042-11-15T00:00:00"/>
    <n v="305"/>
    <n v="263"/>
    <d v="2020-12-15T00:00:00"/>
    <s v="C&amp;P Holdings of Clawson, LLC, Han Brothers Inc. and Osaka, Inc."/>
    <s v="Clawson, MI 48017"/>
    <n v="48017"/>
    <x v="8"/>
    <x v="3"/>
    <s v="Q"/>
    <s v=""/>
    <s v=""/>
    <x v="1"/>
    <n v="0"/>
  </r>
  <r>
    <n v="308787.11"/>
    <n v="3782777010"/>
    <s v="Actual"/>
    <s v="Long Maturity"/>
    <n v="402"/>
    <x v="545"/>
    <n v="2889717.65"/>
    <x v="41"/>
    <d v="2019-06-14T00:00:00"/>
    <n v="17.766666666666666"/>
    <d v="2044-07-15T00:00:00"/>
    <n v="301"/>
    <n v="283"/>
    <d v="2020-12-07T00:00:00"/>
    <s v="Mahavir Hotels LLC dba Super 8"/>
    <s v="Henrietta, NY 14467"/>
    <n v="14467"/>
    <x v="16"/>
    <x v="20"/>
    <s v="Q"/>
    <s v=""/>
    <s v=""/>
    <x v="7"/>
    <n v="0.03"/>
  </r>
  <r>
    <n v="309036.11"/>
    <n v="3830537003"/>
    <s v="Actual"/>
    <s v="Long Maturity"/>
    <n v="402"/>
    <x v="546"/>
    <n v="2851751.46"/>
    <x v="13"/>
    <d v="2019-07-18T00:00:00"/>
    <n v="17.063013698630137"/>
    <d v="2044-08-15T00:00:00"/>
    <n v="301"/>
    <n v="284"/>
    <d v="2020-12-18T00:00:00"/>
    <s v="A&amp;B Bradenton Investment LLC"/>
    <s v="Bradenton, FL 34208"/>
    <n v="34208"/>
    <x v="1"/>
    <x v="20"/>
    <s v="Q"/>
    <s v=""/>
    <s v=""/>
    <x v="3"/>
    <n v="0.03"/>
  </r>
  <r>
    <n v="309356.11"/>
    <n v="2433837001"/>
    <s v="Actual"/>
    <s v="Long Maturity"/>
    <n v="402"/>
    <x v="547"/>
    <n v="197097.63"/>
    <x v="15"/>
    <d v="2019-09-04T00:00:00"/>
    <n v="15.386301369863014"/>
    <d v="2044-10-15T00:00:00"/>
    <n v="301"/>
    <n v="286"/>
    <d v="2020-12-15T00:00:00"/>
    <s v="Alllee Investments, LLC dba A Brighter Day Learning Academy II"/>
    <s v="Stone Mountain, GA 30083"/>
    <n v="30083"/>
    <x v="2"/>
    <x v="0"/>
    <s v="Q"/>
    <s v=""/>
    <s v=""/>
    <x v="1"/>
    <n v="0.03"/>
  </r>
  <r>
    <n v="310201.11"/>
    <n v="4133477008"/>
    <s v="Actual"/>
    <s v="Long Maturity"/>
    <n v="402"/>
    <x v="548"/>
    <n v="144606.29"/>
    <x v="13"/>
    <d v="2019-12-11T00:00:00"/>
    <n v="11.572602739726028"/>
    <d v="2045-01-15T00:00:00"/>
    <n v="301"/>
    <n v="289"/>
    <d v="2020-11-27T00:00:00"/>
    <s v="Adkins Store"/>
    <s v="Charles City, VA 23030"/>
    <n v="23030"/>
    <x v="29"/>
    <x v="4"/>
    <s v="Q"/>
    <s v=""/>
    <s v=""/>
    <x v="6"/>
    <n v="0.05"/>
  </r>
  <r>
    <n v="310220.11"/>
    <n v="4151647004"/>
    <s v="Actual"/>
    <s v="Long Maturity"/>
    <n v="402"/>
    <x v="549"/>
    <n v="783175.37"/>
    <x v="19"/>
    <d v="2019-12-16T00:00:00"/>
    <n v="12"/>
    <d v="2045-01-15T00:00:00"/>
    <n v="301"/>
    <n v="289"/>
    <d v="2020-12-16T00:00:00"/>
    <s v="HP Mobile Wash Inc"/>
    <s v="Mount Vernon, WA 98273"/>
    <n v="98273"/>
    <x v="14"/>
    <x v="16"/>
    <s v="Q"/>
    <s v=""/>
    <s v=""/>
    <x v="7"/>
    <n v="0.05"/>
  </r>
  <r>
    <n v="310317.11"/>
    <n v="4075927002"/>
    <s v="Actual"/>
    <s v="Long Maturity"/>
    <n v="402"/>
    <x v="550"/>
    <n v="247217.41"/>
    <x v="51"/>
    <d v="2019-12-16T00:00:00"/>
    <n v="12.263013698630136"/>
    <d v="2045-01-15T00:00:00"/>
    <n v="301"/>
    <n v="289"/>
    <d v="2020-12-23T00:00:00"/>
    <s v="J Milligan Properties LLC"/>
    <s v="Hamburg, NY 14075"/>
    <n v="14075"/>
    <x v="16"/>
    <x v="169"/>
    <s v="Q"/>
    <s v=""/>
    <s v=""/>
    <x v="2"/>
    <n v="0.03"/>
  </r>
  <r>
    <n v="310730.11"/>
    <n v="4019457009"/>
    <s v="Actual"/>
    <s v="Long Maturity"/>
    <n v="402"/>
    <x v="551"/>
    <n v="1397181.79"/>
    <x v="6"/>
    <d v="2019-11-05T00:00:00"/>
    <n v="13.347945205479453"/>
    <d v="2044-12-15T00:00:00"/>
    <n v="301"/>
    <n v="288"/>
    <d v="2020-12-15T00:00:00"/>
    <s v="Horizon Star LLC"/>
    <s v="Gainesville, GA 30501"/>
    <n v="30501"/>
    <x v="2"/>
    <x v="15"/>
    <s v="Q"/>
    <s v=""/>
    <s v=""/>
    <x v="7"/>
    <n v="0.03"/>
  </r>
  <r>
    <n v="310806.11"/>
    <n v="4233007004"/>
    <s v="Actual"/>
    <s v="Long Maturity"/>
    <n v="402"/>
    <x v="552"/>
    <n v="2282362.9"/>
    <x v="19"/>
    <d v="2020-02-13T00:00:00"/>
    <n v="10.06027397260274"/>
    <d v="2045-03-15T00:00:00"/>
    <n v="301"/>
    <n v="291"/>
    <d v="2020-12-15T00:00:00"/>
    <s v="Anand Lodge Inc. dba Mountain Star Lodge Hotel"/>
    <s v="Austin, TX 78738"/>
    <n v="78738"/>
    <x v="0"/>
    <x v="20"/>
    <s v="Q"/>
    <s v=""/>
    <s v=""/>
    <x v="5"/>
    <n v="0.05"/>
  </r>
  <r>
    <n v="310866.11"/>
    <n v="4207817007"/>
    <s v="Actual"/>
    <s v="Long Maturity"/>
    <n v="402"/>
    <x v="553"/>
    <n v="1938563.88"/>
    <x v="64"/>
    <d v="2020-02-14T00:00:00"/>
    <n v="9.0739726027397261"/>
    <d v="2033-03-15T00:00:00"/>
    <n v="157"/>
    <n v="147"/>
    <d v="2020-11-16T00:00:00"/>
    <s v="Calbob Realty Corporation"/>
    <s v="Indianapolis, IN 46218"/>
    <n v="46218"/>
    <x v="39"/>
    <x v="26"/>
    <s v="Q"/>
    <s v=""/>
    <s v=""/>
    <x v="3"/>
    <n v="0"/>
  </r>
  <r>
    <n v="312174.11"/>
    <n v="5889348103"/>
    <s v="Actual"/>
    <s v="Long Maturity"/>
    <n v="402"/>
    <x v="554"/>
    <n v="379669.13"/>
    <x v="18"/>
    <d v="2020-08-05T00:00:00"/>
    <n v="4.3726027397260276"/>
    <d v="2045-09-15T00:00:00"/>
    <n v="301"/>
    <n v="297"/>
    <d v="2020-12-16T00:00:00"/>
    <s v="Dehoyos Properties Inc and La Tamaulipeca Meat Market"/>
    <s v="LaPorte, TX 77571"/>
    <n v="77571"/>
    <x v="0"/>
    <x v="156"/>
    <s v="Q"/>
    <s v=""/>
    <s v=""/>
    <x v="0"/>
    <n v="0.05"/>
  </r>
  <r>
    <n v="305122.11"/>
    <n v="9624245003"/>
    <s v="Actual"/>
    <s v="Long Maturity"/>
    <n v="402"/>
    <x v="555"/>
    <n v="1438399.05"/>
    <x v="9"/>
    <d v="2017-08-16T00:00:00"/>
    <n v="40.033333333333331"/>
    <d v="2043-03-15T00:00:00"/>
    <n v="307"/>
    <n v="267"/>
    <d v="2020-12-17T00:00:00"/>
    <s v="Zonkey Holdings LLC Co-Bwr Aardvark Animal Hospital"/>
    <s v="Garner, NC 27529"/>
    <n v="27529"/>
    <x v="6"/>
    <x v="30"/>
    <s v="Q"/>
    <s v=""/>
    <s v=""/>
    <x v="4"/>
    <n v="0"/>
  </r>
  <r>
    <n v="308547.11"/>
    <n v="3669147007"/>
    <s v="Actual"/>
    <s v="Long Maturity"/>
    <n v="402"/>
    <x v="556"/>
    <n v="151276.85999999999"/>
    <x v="13"/>
    <d v="2019-04-22T00:00:00"/>
    <n v="19.134246575342466"/>
    <d v="2044-05-15T00:00:00"/>
    <n v="301"/>
    <n v="281"/>
    <d v="2020-11-24T00:00:00"/>
    <s v="JGE Kim Property LLC &amp; SK America, Inc. dba American Deli"/>
    <s v="Atlanta, GA 30311"/>
    <n v="30311"/>
    <x v="2"/>
    <x v="23"/>
    <s v="Q"/>
    <s v=""/>
    <s v=""/>
    <x v="5"/>
    <n v="0.03"/>
  </r>
  <r>
    <n v="310234.11"/>
    <n v="3986707002"/>
    <s v="Actual"/>
    <s v="Long Maturity"/>
    <n v="402"/>
    <x v="557"/>
    <n v="116670.32"/>
    <x v="16"/>
    <d v="2019-09-24T00:00:00"/>
    <n v="14.564383561643837"/>
    <d v="2034-10-15T00:00:00"/>
    <n v="181"/>
    <n v="166"/>
    <d v="2020-12-10T00:00:00"/>
    <s v="MDS Properties LLC &amp; GLP Automotive LLC"/>
    <s v="Lake Geneva, WI 53147"/>
    <n v="53147"/>
    <x v="15"/>
    <x v="8"/>
    <s v="Q"/>
    <s v=""/>
    <s v=""/>
    <x v="3"/>
    <n v="0.03"/>
  </r>
  <r>
    <n v="310279.11"/>
    <n v="4102177009"/>
    <s v="Actual"/>
    <s v="Long Maturity"/>
    <n v="402"/>
    <x v="558"/>
    <n v="242037.82"/>
    <x v="11"/>
    <d v="2019-12-18T00:00:00"/>
    <n v="12"/>
    <d v="2045-01-15T00:00:00"/>
    <n v="301"/>
    <n v="289"/>
    <d v="2020-12-17T00:00:00"/>
    <s v="Cambi Properties LLC and Absolutely Clean Services Inc"/>
    <s v="Grand Rapids, MI 49548"/>
    <n v="49548"/>
    <x v="8"/>
    <x v="27"/>
    <s v="Q"/>
    <s v=""/>
    <s v=""/>
    <x v="1"/>
    <n v="0.05"/>
  </r>
  <r>
    <n v="310752.11"/>
    <n v="3968297006"/>
    <s v="Actual"/>
    <s v="Long Maturity"/>
    <n v="402"/>
    <x v="559"/>
    <n v="373126.44"/>
    <x v="6"/>
    <d v="2019-10-17T00:00:00"/>
    <n v="15.123287671232877"/>
    <d v="2044-11-15T00:00:00"/>
    <n v="301"/>
    <n v="287"/>
    <d v="2021-01-19T00:00:00"/>
    <s v="Mt. Pleasant Chiropractic &amp; Rehab Llc"/>
    <s v="Racine, WI 53406"/>
    <n v="53406"/>
    <x v="15"/>
    <x v="36"/>
    <s v="Q"/>
    <s v=""/>
    <s v=""/>
    <x v="7"/>
    <n v="0.03"/>
  </r>
  <r>
    <n v="305704.11"/>
    <n v="9687085000"/>
    <s v="Actual"/>
    <s v="Long Maturity"/>
    <n v="402"/>
    <x v="560"/>
    <n v="350318.5"/>
    <x v="65"/>
    <d v="2017-08-25T00:00:00"/>
    <n v="39.912328767123284"/>
    <d v="2043-06-15T00:00:00"/>
    <n v="310"/>
    <n v="270"/>
    <d v="2020-12-21T00:00:00"/>
    <s v="Gates Enterprises LLC"/>
    <s v="Wallace, ID 83873"/>
    <n v="83873"/>
    <x v="17"/>
    <x v="4"/>
    <s v="Q"/>
    <s v=""/>
    <s v=""/>
    <x v="0"/>
    <n v="0"/>
  </r>
  <r>
    <n v="309410.11"/>
    <n v="3935217008"/>
    <s v="Actual"/>
    <s v="Long Maturity"/>
    <n v="402"/>
    <x v="561"/>
    <n v="183584.1"/>
    <x v="11"/>
    <d v="2019-09-03T00:00:00"/>
    <n v="15.484931506849314"/>
    <d v="2044-10-15T00:00:00"/>
    <n v="301"/>
    <n v="286"/>
    <d v="2020-12-17T00:00:00"/>
    <s v="LN Gelato LLC and Nigel Langstone"/>
    <s v="Wilmington, NC 28401"/>
    <n v="28401"/>
    <x v="6"/>
    <x v="86"/>
    <s v="Q"/>
    <s v=""/>
    <s v=""/>
    <x v="2"/>
    <n v="0.03"/>
  </r>
  <r>
    <n v="310750.11"/>
    <n v="4020467009"/>
    <s v="Actual"/>
    <s v="Long Maturity"/>
    <n v="402"/>
    <x v="562"/>
    <n v="295133.01"/>
    <x v="14"/>
    <d v="2019-10-18T00:00:00"/>
    <n v="14.038356164383561"/>
    <d v="2044-11-15T00:00:00"/>
    <n v="301"/>
    <n v="287"/>
    <d v="2020-12-18T00:00:00"/>
    <s v="Awakening Potential, LLC"/>
    <s v="Deland, FL 32724"/>
    <n v="32724"/>
    <x v="1"/>
    <x v="0"/>
    <s v="Q"/>
    <s v=""/>
    <s v=""/>
    <x v="0"/>
    <n v="0.03"/>
  </r>
  <r>
    <n v="311959.11"/>
    <n v="3890107005"/>
    <s v="Actual"/>
    <s v="Long Maturity"/>
    <n v="402"/>
    <x v="563"/>
    <n v="2484473.15"/>
    <x v="13"/>
    <d v="2019-08-19T00:00:00"/>
    <n v="15.978082191780823"/>
    <d v="2045-09-15T00:00:00"/>
    <n v="313"/>
    <n v="297"/>
    <d v="2020-12-17T00:00:00"/>
    <s v="Great White Express, LLC"/>
    <s v="Spring Hill, TN 37174"/>
    <n v="37174"/>
    <x v="30"/>
    <x v="16"/>
    <s v="Q"/>
    <s v=""/>
    <s v=""/>
    <x v="3"/>
    <n v="0.03"/>
  </r>
  <r>
    <n v="312159.11"/>
    <n v="4098747010"/>
    <s v="Actual"/>
    <s v="Long Maturity"/>
    <n v="402"/>
    <x v="564"/>
    <n v="202836.48000000001"/>
    <x v="11"/>
    <d v="2019-11-18T00:00:00"/>
    <n v="13.019178082191781"/>
    <d v="2034-12-15T00:00:00"/>
    <n v="181"/>
    <n v="168"/>
    <d v="2020-12-18T00:00:00"/>
    <s v="Phuong Tran Inc"/>
    <s v="Mentor, OH 44060"/>
    <n v="44060"/>
    <x v="9"/>
    <x v="170"/>
    <s v="Q"/>
    <s v=""/>
    <s v=""/>
    <x v="1"/>
    <n v="0.03"/>
  </r>
  <r>
    <n v="303369.11"/>
    <n v="8714105006"/>
    <s v="Actual"/>
    <s v="Long Maturity"/>
    <n v="402"/>
    <x v="565"/>
    <n v="2906851.94"/>
    <x v="66"/>
    <d v="2016-12-20T00:00:00"/>
    <n v="47.901369863013699"/>
    <d v="2037-01-15T00:00:00"/>
    <n v="241"/>
    <n v="193"/>
    <d v="2020-12-16T00:00:00"/>
    <s v="PCWH FL-Mandarin, LLC"/>
    <s v="Jacksonville, FL 32257"/>
    <n v="32257"/>
    <x v="1"/>
    <x v="16"/>
    <s v="Q"/>
    <s v=""/>
    <s v=""/>
    <x v="3"/>
    <n v="0"/>
  </r>
  <r>
    <n v="303888.11"/>
    <n v="9783105004"/>
    <s v="Actual"/>
    <s v="Long Maturity"/>
    <n v="402"/>
    <x v="566"/>
    <n v="82078.09"/>
    <x v="13"/>
    <d v="2017-09-20T00:00:00"/>
    <n v="38.633333333333333"/>
    <d v="2042-10-15T00:00:00"/>
    <n v="301"/>
    <n v="262"/>
    <d v="2020-12-09T00:00:00"/>
    <s v="Trends &amp; Trims, LLC"/>
    <s v="Rockaway Beach, MO 65740"/>
    <n v="65740"/>
    <x v="28"/>
    <x v="46"/>
    <s v="Q"/>
    <s v=""/>
    <s v=""/>
    <x v="2"/>
    <n v="0"/>
  </r>
  <r>
    <n v="306899.11"/>
    <n v="1457587009"/>
    <s v="Actual"/>
    <s v="Long Maturity"/>
    <n v="402"/>
    <x v="567"/>
    <n v="999069.34"/>
    <x v="18"/>
    <d v="2017-12-14T00:00:00"/>
    <n v="36.098630136986301"/>
    <d v="2043-08-15T00:00:00"/>
    <n v="308"/>
    <n v="272"/>
    <d v="2020-12-16T00:00:00"/>
    <s v="JT Real Estate, LLC dba Performance Powdercoating"/>
    <s v="St. Louis, MO 63134"/>
    <n v="63134"/>
    <x v="28"/>
    <x v="171"/>
    <s v="Q"/>
    <s v=""/>
    <s v=""/>
    <x v="1"/>
    <n v="0"/>
  </r>
  <r>
    <n v="307944.11"/>
    <n v="9521355009"/>
    <s v="Actual"/>
    <s v="Long Maturity"/>
    <n v="402"/>
    <x v="568"/>
    <n v="369961.89"/>
    <x v="24"/>
    <d v="2017-06-13T00:00:00"/>
    <n v="42.3"/>
    <d v="2042-07-15T00:00:00"/>
    <n v="301"/>
    <n v="259"/>
    <d v="2020-12-22T00:00:00"/>
    <s v="135 Farnsworth Avenue LLC &amp; Old Town Bar LLC"/>
    <s v="Bordentown, NJ 08505"/>
    <n v="8505"/>
    <x v="13"/>
    <x v="3"/>
    <s v="Q"/>
    <s v=""/>
    <s v=""/>
    <x v="1"/>
    <n v="0"/>
  </r>
  <r>
    <n v="309517.11"/>
    <n v="3969987003"/>
    <s v="Actual"/>
    <s v="Long Maturity"/>
    <n v="402"/>
    <x v="569"/>
    <n v="3664005.58"/>
    <x v="13"/>
    <d v="2019-09-19T00:00:00"/>
    <n v="14.991780821917807"/>
    <d v="2044-10-15T00:00:00"/>
    <n v="301"/>
    <n v="286"/>
    <d v="2020-12-18T00:00:00"/>
    <s v="ANK Gainesville LLC"/>
    <s v="Gainesville, FL 32605"/>
    <n v="32605"/>
    <x v="1"/>
    <x v="20"/>
    <s v="Q"/>
    <s v=""/>
    <s v=""/>
    <x v="4"/>
    <n v="0.03"/>
  </r>
  <r>
    <n v="309770.11"/>
    <n v="2665867009"/>
    <s v="Actual"/>
    <s v="Long Maturity"/>
    <n v="402"/>
    <x v="570"/>
    <n v="3279017.15"/>
    <x v="23"/>
    <d v="2018-06-19T00:00:00"/>
    <n v="29.063013698630137"/>
    <d v="2044-10-15T00:00:00"/>
    <n v="316"/>
    <n v="286"/>
    <d v="2020-11-19T00:00:00"/>
    <s v="OAS Investments LLC"/>
    <s v="Tomball, TX 77377"/>
    <n v="77377"/>
    <x v="0"/>
    <x v="20"/>
    <s v="Q"/>
    <s v=""/>
    <s v=""/>
    <x v="2"/>
    <n v="0.01"/>
  </r>
  <r>
    <n v="310178.11"/>
    <n v="2645037010"/>
    <s v="Actual"/>
    <s v="Long Maturity"/>
    <n v="402"/>
    <x v="571"/>
    <n v="1712124.14"/>
    <x v="23"/>
    <d v="2018-06-15T00:00:00"/>
    <n v="30.049315068493151"/>
    <d v="2044-07-15T00:00:00"/>
    <n v="313"/>
    <n v="283"/>
    <d v="2020-12-15T00:00:00"/>
    <s v="Guzik Investments LLC"/>
    <s v="Spring Hill, FL 34609"/>
    <n v="34609"/>
    <x v="1"/>
    <x v="16"/>
    <s v="Q"/>
    <s v=""/>
    <s v=""/>
    <x v="2"/>
    <n v="0.01"/>
  </r>
  <r>
    <n v="310240.11"/>
    <n v="4105527002"/>
    <s v="Actual"/>
    <s v="Long Maturity"/>
    <n v="402"/>
    <x v="572"/>
    <n v="2807441.68"/>
    <x v="21"/>
    <d v="2019-12-19T00:00:00"/>
    <n v="12.164383561643836"/>
    <d v="2045-01-15T00:00:00"/>
    <n v="301"/>
    <n v="289"/>
    <d v="2020-12-23T00:00:00"/>
    <s v="PRALAX, LLC"/>
    <s v="Lexington, SC 29072"/>
    <n v="29072"/>
    <x v="22"/>
    <x v="20"/>
    <s v="Q"/>
    <s v=""/>
    <s v=""/>
    <x v="6"/>
    <n v="0.03"/>
  </r>
  <r>
    <n v="310361.11"/>
    <n v="4141757009"/>
    <s v="Actual"/>
    <s v="Long Maturity"/>
    <n v="402"/>
    <x v="573"/>
    <n v="378691.11"/>
    <x v="12"/>
    <d v="2019-12-19T00:00:00"/>
    <n v="12.098630136986301"/>
    <d v="2045-01-15T00:00:00"/>
    <n v="301"/>
    <n v="289"/>
    <d v="2020-12-21T00:00:00"/>
    <s v="Discovered Homes Investment Inc."/>
    <s v="Sugar Land, TX 77479"/>
    <n v="77479"/>
    <x v="0"/>
    <x v="172"/>
    <s v="Q"/>
    <s v=""/>
    <s v=""/>
    <x v="5"/>
    <n v="0.03"/>
  </r>
  <r>
    <n v="310694.11"/>
    <n v="3165187004"/>
    <s v="Actual"/>
    <s v="Long Maturity"/>
    <n v="402"/>
    <x v="574"/>
    <n v="459534.35"/>
    <x v="2"/>
    <d v="2019-02-20T00:00:00"/>
    <n v="22.126027397260273"/>
    <d v="2045-02-15T00:00:00"/>
    <n v="312"/>
    <n v="290"/>
    <d v="2020-12-24T00:00:00"/>
    <s v="Bavard Entertainment, Inc."/>
    <s v="Atlanta, GA 30331"/>
    <n v="30331"/>
    <x v="2"/>
    <x v="67"/>
    <s v="Q"/>
    <s v=""/>
    <s v=""/>
    <x v="1"/>
    <n v="0.03"/>
  </r>
  <r>
    <n v="310772.11"/>
    <n v="3896827010"/>
    <s v="Actual"/>
    <s v="Long Maturity"/>
    <n v="402"/>
    <x v="575"/>
    <n v="3667541.7"/>
    <x v="19"/>
    <d v="2019-09-18T00:00:00"/>
    <n v="15.123287671232877"/>
    <d v="2044-10-15T00:00:00"/>
    <n v="301"/>
    <n v="286"/>
    <d v="2020-12-21T00:00:00"/>
    <s v="Wahe Sadguru LLC"/>
    <s v="Sacramento, CA 95823"/>
    <n v="95823"/>
    <x v="10"/>
    <x v="20"/>
    <s v="Q"/>
    <s v=""/>
    <s v=""/>
    <x v="7"/>
    <n v="0.03"/>
  </r>
  <r>
    <n v="311268.11"/>
    <n v="4295667009"/>
    <s v="Actual"/>
    <s v="Long Maturity"/>
    <n v="402"/>
    <x v="576"/>
    <n v="1987587.74"/>
    <x v="13"/>
    <d v="2020-03-20T00:00:00"/>
    <n v="8.7123287671232887"/>
    <d v="2045-04-15T00:00:00"/>
    <n v="301"/>
    <n v="292"/>
    <d v="2020-12-10T00:00:00"/>
    <s v="GCHB Enterprises, LLC"/>
    <s v="Huntington Beach, CA 92649"/>
    <n v="92649"/>
    <x v="10"/>
    <x v="114"/>
    <s v="Q"/>
    <s v=""/>
    <s v=""/>
    <x v="3"/>
    <n v="0.05"/>
  </r>
  <r>
    <n v="311318.11"/>
    <n v="3561987010"/>
    <s v="Actual"/>
    <s v="Long Maturity"/>
    <n v="402"/>
    <x v="577"/>
    <n v="1807871.25"/>
    <x v="15"/>
    <d v="2019-03-19T00:00:00"/>
    <n v="21.041095890410958"/>
    <d v="2045-03-15T00:00:00"/>
    <n v="312"/>
    <n v="291"/>
    <d v="2020-12-18T00:00:00"/>
    <s v="Washed Up, LLC"/>
    <s v="Omaha, NE 68154"/>
    <n v="68154"/>
    <x v="43"/>
    <x v="4"/>
    <s v="Q"/>
    <s v=""/>
    <s v=""/>
    <x v="0"/>
    <n v="0.03"/>
  </r>
  <r>
    <n v="311322.11"/>
    <n v="4143107006"/>
    <s v="Actual"/>
    <s v="Long Maturity"/>
    <n v="402"/>
    <x v="578"/>
    <n v="1231522.28"/>
    <x v="4"/>
    <d v="2019-12-19T00:00:00"/>
    <n v="12"/>
    <d v="2045-04-15T00:00:00"/>
    <n v="304"/>
    <n v="292"/>
    <d v="2020-12-18T00:00:00"/>
    <s v="SRP Surya Hospitality LLC"/>
    <s v="Fairborn, OH 45324"/>
    <n v="45324"/>
    <x v="9"/>
    <x v="20"/>
    <s v="Q"/>
    <s v=""/>
    <s v=""/>
    <x v="2"/>
    <n v="0.05"/>
  </r>
  <r>
    <n v="306161.11"/>
    <n v="9622535003"/>
    <s v="Actual"/>
    <s v="Long Maturity"/>
    <n v="402"/>
    <x v="579"/>
    <n v="629150.74"/>
    <x v="32"/>
    <d v="2017-08-21T00:00:00"/>
    <n v="40.133333333333333"/>
    <d v="2043-06-15T00:00:00"/>
    <n v="310"/>
    <n v="270"/>
    <d v="2020-12-25T00:00:00"/>
    <s v="680 Broadway Realty LLC"/>
    <s v="Long Branch, NJ 07740"/>
    <n v="7740"/>
    <x v="13"/>
    <x v="3"/>
    <s v="Q"/>
    <s v=""/>
    <s v=""/>
    <x v="3"/>
    <n v="0"/>
  </r>
  <r>
    <n v="307413.11"/>
    <n v="9470185005"/>
    <s v="Actual"/>
    <s v="Long Maturity"/>
    <n v="402"/>
    <x v="580"/>
    <n v="920887.4"/>
    <x v="36"/>
    <d v="2017-06-23T00:00:00"/>
    <n v="41.983561643835614"/>
    <d v="2042-07-15T00:00:00"/>
    <n v="301"/>
    <n v="259"/>
    <d v="2020-12-21T00:00:00"/>
    <s v="Anna &amp; Ashish Investments Inc. &amp; Alina &amp; Rayan Inc. &amp; Sameer &amp; Sahir I"/>
    <s v="Lewisville, TX 75057"/>
    <n v="75057"/>
    <x v="0"/>
    <x v="27"/>
    <s v="Q"/>
    <s v=""/>
    <s v=""/>
    <x v="3"/>
    <n v="0"/>
  </r>
  <r>
    <n v="308949.11"/>
    <n v="3854317001"/>
    <s v="Actual"/>
    <s v="Long Maturity"/>
    <n v="402"/>
    <x v="581"/>
    <n v="2059449.62"/>
    <x v="18"/>
    <d v="2019-07-22T00:00:00"/>
    <n v="17.063013698630137"/>
    <d v="2044-08-15T00:00:00"/>
    <n v="301"/>
    <n v="284"/>
    <d v="2020-12-22T00:00:00"/>
    <s v="Springpike Hotels LLC"/>
    <s v="Miamisburg, OH 45342"/>
    <n v="45342"/>
    <x v="9"/>
    <x v="20"/>
    <s v="Q"/>
    <s v=""/>
    <s v=""/>
    <x v="3"/>
    <n v="0.03"/>
  </r>
  <r>
    <n v="310288.11"/>
    <n v="4164227006"/>
    <s v="Actual"/>
    <s v="Long Maturity"/>
    <n v="402"/>
    <x v="582"/>
    <n v="438994.87"/>
    <x v="13"/>
    <d v="2019-12-23T00:00:00"/>
    <n v="11.766666666666666"/>
    <d v="2045-01-15T00:00:00"/>
    <n v="301"/>
    <n v="289"/>
    <d v="2020-12-16T00:00:00"/>
    <s v="Parshwa LLC"/>
    <s v="Atco, NJ 08004"/>
    <n v="8004"/>
    <x v="13"/>
    <x v="20"/>
    <s v="Q"/>
    <s v=""/>
    <s v=""/>
    <x v="6"/>
    <n v="0.05"/>
  </r>
  <r>
    <n v="310748.11"/>
    <n v="3896207001"/>
    <s v="Actual"/>
    <s v="Long Maturity"/>
    <n v="402"/>
    <x v="583"/>
    <n v="1151083.43"/>
    <x v="56"/>
    <d v="2019-08-21T00:00:00"/>
    <n v="16.043835616438358"/>
    <d v="2044-11-15T00:00:00"/>
    <n v="303"/>
    <n v="287"/>
    <d v="2020-12-21T00:00:00"/>
    <s v="Jim O Services LLC"/>
    <s v="Plano, TX 75023"/>
    <n v="75023"/>
    <x v="0"/>
    <x v="18"/>
    <s v="Q"/>
    <s v=""/>
    <s v=""/>
    <x v="2"/>
    <n v="0.03"/>
  </r>
  <r>
    <n v="310757.11"/>
    <n v="4000387001"/>
    <s v="Actual"/>
    <s v="Long Maturity"/>
    <n v="402"/>
    <x v="584"/>
    <n v="840935.7"/>
    <x v="56"/>
    <d v="2019-10-07T00:00:00"/>
    <n v="14.531506849315068"/>
    <d v="2044-11-15T00:00:00"/>
    <n v="301"/>
    <n v="287"/>
    <d v="2020-12-22T00:00:00"/>
    <s v="Victoria's Retirement Home ALF IN"/>
    <s v="Lauderhill, FL 33313"/>
    <n v="33313"/>
    <x v="1"/>
    <x v="15"/>
    <s v="Q"/>
    <s v=""/>
    <s v=""/>
    <x v="2"/>
    <n v="0.03"/>
  </r>
  <r>
    <n v="310759.11"/>
    <n v="4000157002"/>
    <s v="Actual"/>
    <s v="Long Maturity"/>
    <n v="402"/>
    <x v="585"/>
    <n v="676068.95"/>
    <x v="56"/>
    <d v="2019-10-07T00:00:00"/>
    <n v="14.531506849315068"/>
    <d v="2044-11-15T00:00:00"/>
    <n v="301"/>
    <n v="287"/>
    <d v="2020-12-22T00:00:00"/>
    <s v="Victoria Gardens Home ALF Inc."/>
    <s v="Lauderhill, FL 33309"/>
    <n v="33309"/>
    <x v="1"/>
    <x v="15"/>
    <s v="Q"/>
    <s v=""/>
    <s v=""/>
    <x v="2"/>
    <n v="0.03"/>
  </r>
  <r>
    <n v="310889.11"/>
    <n v="3711787005"/>
    <s v="Actual"/>
    <s v="Long Maturity"/>
    <n v="402"/>
    <x v="586"/>
    <n v="3084904.71"/>
    <x v="4"/>
    <d v="2019-05-14T00:00:00"/>
    <n v="19.200000000000003"/>
    <d v="2044-06-15T00:00:00"/>
    <n v="301"/>
    <n v="282"/>
    <d v="2020-12-18T00:00:00"/>
    <s v="Cleveland Hotel Suites, LLC"/>
    <s v="Independence, OH 44131"/>
    <n v="44131"/>
    <x v="9"/>
    <x v="20"/>
    <s v="Q"/>
    <s v=""/>
    <s v=""/>
    <x v="5"/>
    <n v="0.03"/>
  </r>
  <r>
    <n v="311969.11"/>
    <n v="2936967007"/>
    <s v="Actual"/>
    <s v="Long Maturity"/>
    <n v="402"/>
    <x v="587"/>
    <n v="464512.55"/>
    <x v="64"/>
    <d v="2018-09-20T00:00:00"/>
    <n v="27.057534246575344"/>
    <d v="2034-07-15T00:00:00"/>
    <n v="190"/>
    <n v="163"/>
    <d v="2020-12-21T00:00:00"/>
    <s v="Speedway Petroleum Inc. dba Speedway Truck Stop"/>
    <s v="Palestine, TX 75801"/>
    <n v="75801"/>
    <x v="0"/>
    <x v="4"/>
    <s v="Q"/>
    <s v=""/>
    <s v=""/>
    <x v="3"/>
    <n v="0.01"/>
  </r>
  <r>
    <n v="308624.11"/>
    <n v="3747927001"/>
    <s v="Actual"/>
    <s v="Long Maturity"/>
    <n v="402"/>
    <x v="588"/>
    <n v="204608.22"/>
    <x v="15"/>
    <d v="2019-06-05T00:00:00"/>
    <n v="18.533333333333335"/>
    <d v="2044-07-15T00:00:00"/>
    <n v="301"/>
    <n v="283"/>
    <d v="2020-12-21T00:00:00"/>
    <s v="Jamestown Quick Stop LLC and Maddison Park LLC"/>
    <s v="Hudsonville, MI 49426"/>
    <n v="49426"/>
    <x v="8"/>
    <x v="51"/>
    <s v="Q"/>
    <s v=""/>
    <s v=""/>
    <x v="1"/>
    <n v="0.03"/>
  </r>
  <r>
    <n v="308957.11"/>
    <n v="3848897004"/>
    <s v="Actual"/>
    <s v="Long Maturity"/>
    <n v="402"/>
    <x v="589"/>
    <n v="521878.01"/>
    <x v="25"/>
    <d v="2019-07-22T00:00:00"/>
    <n v="17.030136986301368"/>
    <d v="2044-08-15T00:00:00"/>
    <n v="301"/>
    <n v="284"/>
    <d v="2020-12-21T00:00:00"/>
    <s v="Garay Holdings, LLC"/>
    <s v="Downingtown, PA 19355"/>
    <n v="19355"/>
    <x v="11"/>
    <x v="173"/>
    <s v="Q"/>
    <s v=""/>
    <s v=""/>
    <x v="0"/>
    <n v="0.03"/>
  </r>
  <r>
    <n v="309742.11"/>
    <n v="3993227009"/>
    <s v="Actual"/>
    <s v="Long Maturity"/>
    <n v="402"/>
    <x v="590"/>
    <n v="689605.59"/>
    <x v="18"/>
    <d v="2019-10-21T00:00:00"/>
    <n v="14.038356164383561"/>
    <d v="2044-11-15T00:00:00"/>
    <n v="301"/>
    <n v="287"/>
    <d v="2020-12-21T00:00:00"/>
    <s v="Shipwreck PNW LLC"/>
    <s v="Olympia, WA 98502"/>
    <n v="98502"/>
    <x v="14"/>
    <x v="3"/>
    <s v="Q"/>
    <s v=""/>
    <s v=""/>
    <x v="3"/>
    <n v="0.03"/>
  </r>
  <r>
    <n v="311760.11"/>
    <n v="3449797208"/>
    <s v="Actual"/>
    <s v="Long Maturity"/>
    <n v="402"/>
    <x v="591"/>
    <n v="540776.16"/>
    <x v="11"/>
    <d v="2020-05-05T00:00:00"/>
    <n v="7.3333333333333339"/>
    <d v="2045-06-15T00:00:00"/>
    <n v="301"/>
    <n v="294"/>
    <d v="2020-12-15T00:00:00"/>
    <s v="Picone Management, LLC"/>
    <s v="Jackson, NJ 08527"/>
    <n v="8527"/>
    <x v="13"/>
    <x v="8"/>
    <s v="Q"/>
    <s v=""/>
    <s v=""/>
    <x v="1"/>
    <n v="0.05"/>
  </r>
  <r>
    <n v="311994.11"/>
    <n v="7337517906"/>
    <s v="Actual"/>
    <s v="Long Maturity"/>
    <n v="402"/>
    <x v="592"/>
    <n v="3594090.73"/>
    <x v="13"/>
    <d v="2020-07-15T00:00:00"/>
    <n v="5.2273972602739729"/>
    <d v="2045-08-15T00:00:00"/>
    <n v="301"/>
    <n v="296"/>
    <d v="2020-12-21T00:00:00"/>
    <s v="Safety Harbor Industrial Complex LLC"/>
    <s v="Safety Harbor, FL 34695"/>
    <n v="34695"/>
    <x v="1"/>
    <x v="174"/>
    <s v="Q"/>
    <s v=""/>
    <s v=""/>
    <x v="3"/>
    <n v="0.05"/>
  </r>
  <r>
    <n v="307765.11"/>
    <n v="1113107001"/>
    <s v="Actual"/>
    <s v="Long Maturity"/>
    <n v="402"/>
    <x v="593"/>
    <n v="1180991.7"/>
    <x v="18"/>
    <d v="2017-11-15T00:00:00"/>
    <n v="37.150684931506845"/>
    <d v="2043-09-15T00:00:00"/>
    <n v="310"/>
    <n v="273"/>
    <d v="2020-12-19T00:00:00"/>
    <s v="Spark Montessori LLC"/>
    <s v="Chicago, IL 60618"/>
    <n v="60618"/>
    <x v="3"/>
    <x v="175"/>
    <s v="Q"/>
    <s v=""/>
    <s v=""/>
    <x v="0"/>
    <n v="0"/>
  </r>
  <r>
    <n v="309205.11"/>
    <n v="3507337002"/>
    <s v="Actual"/>
    <s v="Long Maturity"/>
    <n v="402"/>
    <x v="594"/>
    <n v="301043.75"/>
    <x v="18"/>
    <d v="2019-02-07T00:00:00"/>
    <n v="22.915068493150685"/>
    <d v="2044-03-15T00:00:00"/>
    <n v="301"/>
    <n v="279"/>
    <d v="2021-01-04T00:00:00"/>
    <s v="AJG Prop, LLC; AJ Seafood Inc."/>
    <s v="Marine City, MI 48039"/>
    <n v="48039"/>
    <x v="8"/>
    <x v="3"/>
    <s v="Q"/>
    <s v=""/>
    <s v=""/>
    <x v="3"/>
    <n v="0.03"/>
  </r>
  <r>
    <n v="310064.11"/>
    <n v="2660537005"/>
    <s v="Actual"/>
    <s v="Long Maturity"/>
    <n v="402"/>
    <x v="595"/>
    <n v="170125.73"/>
    <x v="20"/>
    <d v="2018-06-13T00:00:00"/>
    <n v="29.654794520547945"/>
    <d v="2034-01-15T00:00:00"/>
    <n v="187"/>
    <n v="157"/>
    <d v="2020-12-01T00:00:00"/>
    <s v="670 Broadway LLC "/>
    <s v="El Centro , CA 92243"/>
    <n v="92243"/>
    <x v="10"/>
    <x v="165"/>
    <s v="Q"/>
    <s v=""/>
    <s v=""/>
    <x v="4"/>
    <n v="0.01"/>
  </r>
  <r>
    <n v="311491.11"/>
    <n v="4276937001"/>
    <s v="Actual"/>
    <s v="Long Maturity"/>
    <n v="402"/>
    <x v="596"/>
    <n v="1007119.55"/>
    <x v="18"/>
    <d v="2020-04-29T00:00:00"/>
    <n v="7.0684931506849313"/>
    <d v="2045-05-15T00:00:00"/>
    <n v="301"/>
    <n v="293"/>
    <d v="2020-11-30T00:00:00"/>
    <s v="Kind and Joyful Childcare, LLC"/>
    <s v="Madison, WI 53719"/>
    <n v="53719"/>
    <x v="15"/>
    <x v="0"/>
    <s v="Q"/>
    <s v=""/>
    <s v=""/>
    <x v="0"/>
    <n v="0.05"/>
  </r>
  <r>
    <n v="311601.11"/>
    <n v="2639327007"/>
    <s v="Actual"/>
    <s v="Long Maturity"/>
    <n v="402"/>
    <x v="597"/>
    <n v="801936.63"/>
    <x v="23"/>
    <d v="2018-06-22T00:00:00"/>
    <n v="30.016438356164386"/>
    <d v="2043-07-15T00:00:00"/>
    <n v="301"/>
    <n v="271"/>
    <d v="2020-12-21T00:00:00"/>
    <s v="Namaste Plaza Roe Inc."/>
    <s v="Henrietta, NY 14623"/>
    <n v="14623"/>
    <x v="16"/>
    <x v="74"/>
    <s v="Q"/>
    <s v=""/>
    <s v=""/>
    <x v="0"/>
    <n v="0.01"/>
  </r>
  <r>
    <n v="312168.11"/>
    <n v="1173928107"/>
    <s v="Actual"/>
    <s v="Long Maturity"/>
    <n v="402"/>
    <x v="598"/>
    <n v="699835.87"/>
    <x v="18"/>
    <d v="2020-08-05T00:00:00"/>
    <n v="4.4383561643835616"/>
    <d v="2045-09-15T00:00:00"/>
    <n v="301"/>
    <n v="297"/>
    <d v="2020-12-18T00:00:00"/>
    <s v="Pinedale Global Investment LLC"/>
    <s v="Pinedale, WY 82941"/>
    <n v="82941"/>
    <x v="44"/>
    <x v="20"/>
    <s v="Q"/>
    <s v=""/>
    <s v=""/>
    <x v="0"/>
    <n v="0.05"/>
  </r>
  <r>
    <n v="309183.11"/>
    <n v="3788817010"/>
    <s v="Actual"/>
    <s v="Long Maturity"/>
    <n v="402"/>
    <x v="599"/>
    <n v="2776229.28"/>
    <x v="13"/>
    <d v="2019-07-03T00:00:00"/>
    <n v="16.997260273972604"/>
    <d v="2044-08-15T00:00:00"/>
    <n v="301"/>
    <n v="284"/>
    <d v="2020-12-01T00:00:00"/>
    <s v="Bachan Singh Ghangas LLC dba Bachan ARCO"/>
    <s v="Bakersfield, CA 93313"/>
    <n v="93313"/>
    <x v="10"/>
    <x v="4"/>
    <s v="Q"/>
    <s v=""/>
    <s v=""/>
    <x v="5"/>
    <n v="0.03"/>
  </r>
  <r>
    <n v="310894.11"/>
    <n v="4243367000"/>
    <s v="Actual"/>
    <s v="Long Maturity"/>
    <n v="402"/>
    <x v="600"/>
    <n v="2843132.5"/>
    <x v="13"/>
    <d v="2020-02-24T00:00:00"/>
    <n v="9.9616438356164387"/>
    <d v="2045-03-15T00:00:00"/>
    <n v="301"/>
    <n v="291"/>
    <d v="2020-12-23T00:00:00"/>
    <s v="Fairview Hotels LLC dba Red Roof Binghampton"/>
    <s v="Johnson City, NY 13790"/>
    <n v="13790"/>
    <x v="16"/>
    <x v="20"/>
    <s v="Q"/>
    <s v=""/>
    <s v=""/>
    <x v="3"/>
    <n v="0.05"/>
  </r>
  <r>
    <n v="311596.11"/>
    <n v="3956977001"/>
    <s v="Actual"/>
    <s v="Long Maturity"/>
    <n v="402"/>
    <x v="601"/>
    <n v="503631.49"/>
    <x v="2"/>
    <d v="2019-09-25T00:00:00"/>
    <n v="14.761643835616438"/>
    <d v="2044-10-15T00:00:00"/>
    <n v="301"/>
    <n v="286"/>
    <d v="2020-12-17T00:00:00"/>
    <s v="RNH  Food Inc."/>
    <s v="Smyrna, GA 30082"/>
    <n v="30082"/>
    <x v="2"/>
    <x v="4"/>
    <s v="Q"/>
    <s v=""/>
    <s v=""/>
    <x v="1"/>
    <n v="0.03"/>
  </r>
  <r>
    <n v="311792.11"/>
    <n v="4006987005"/>
    <s v="Actual"/>
    <s v="Long Maturity"/>
    <n v="402"/>
    <x v="602"/>
    <n v="1194833.94"/>
    <x v="4"/>
    <d v="2019-10-30T00:00:00"/>
    <n v="13.610958904109589"/>
    <d v="2045-04-15T00:00:00"/>
    <n v="306"/>
    <n v="292"/>
    <d v="2020-12-17T00:00:00"/>
    <s v="Elker LLC &amp; Jeremy W Parker DMD, PLLC"/>
    <s v="Diberville, MS 39540"/>
    <n v="39540"/>
    <x v="23"/>
    <x v="6"/>
    <s v="Q"/>
    <s v=""/>
    <s v=""/>
    <x v="2"/>
    <n v="0.03"/>
  </r>
  <r>
    <n v="311921.11"/>
    <n v="1979008003"/>
    <s v="Actual"/>
    <s v="Long Maturity"/>
    <n v="402"/>
    <x v="603"/>
    <n v="317817.84000000003"/>
    <x v="11"/>
    <d v="2020-07-10T00:00:00"/>
    <n v="5.2602739726027394"/>
    <d v="2045-08-15T00:00:00"/>
    <n v="301"/>
    <n v="296"/>
    <d v="2020-12-17T00:00:00"/>
    <s v="Bright Path Investments, LLC EPC Drop of Love, LLC OC"/>
    <s v="Orlando, FL 32809"/>
    <n v="32809"/>
    <x v="1"/>
    <x v="0"/>
    <s v="Q"/>
    <s v=""/>
    <s v=""/>
    <x v="1"/>
    <n v="0.05"/>
  </r>
  <r>
    <n v="312036.11"/>
    <n v="3240158101"/>
    <s v="Actual"/>
    <s v="Long Maturity"/>
    <n v="402"/>
    <x v="604"/>
    <n v="344844.55"/>
    <x v="18"/>
    <d v="2020-07-28T00:00:00"/>
    <n v="4.6684931506849319"/>
    <d v="2045-08-15T00:00:00"/>
    <n v="301"/>
    <n v="296"/>
    <d v="2020-12-17T00:00:00"/>
    <s v="Ryan Tire &amp; Petroleum, Inc / Kevin Ryan"/>
    <s v="Fort Myers, FL 33907"/>
    <n v="33907"/>
    <x v="1"/>
    <x v="176"/>
    <s v="Q"/>
    <s v=""/>
    <s v=""/>
    <x v="0"/>
    <n v="0.05"/>
  </r>
  <r>
    <n v="312145.11"/>
    <n v="4062837000"/>
    <s v="Actual"/>
    <s v="Long Maturity"/>
    <n v="402"/>
    <x v="605"/>
    <n v="583682.15"/>
    <x v="11"/>
    <d v="2019-11-21T00:00:00"/>
    <n v="13.019178082191781"/>
    <d v="2039-12-15T00:00:00"/>
    <n v="241"/>
    <n v="228"/>
    <d v="2020-12-21T00:00:00"/>
    <s v="Heavenly Assisted Living Inc"/>
    <s v="Fredericksburg, VA 22405"/>
    <n v="22405"/>
    <x v="29"/>
    <x v="15"/>
    <s v="Q"/>
    <s v=""/>
    <s v=""/>
    <x v="1"/>
    <n v="0.03"/>
  </r>
  <r>
    <n v="312148.11"/>
    <n v="4043357003"/>
    <s v="Actual"/>
    <s v="Long Maturity"/>
    <n v="402"/>
    <x v="606"/>
    <n v="238144.8"/>
    <x v="11"/>
    <d v="2019-10-22T00:00:00"/>
    <n v="14.038356164383561"/>
    <d v="2039-11-15T00:00:00"/>
    <n v="241"/>
    <n v="227"/>
    <d v="2020-12-22T00:00:00"/>
    <s v="Shaffer Healthcare Enterprises"/>
    <s v="Bonita Springs, FL 34134"/>
    <n v="34134"/>
    <x v="1"/>
    <x v="48"/>
    <s v="Q"/>
    <s v=""/>
    <s v=""/>
    <x v="1"/>
    <n v="0.03"/>
  </r>
  <r>
    <n v="312169.11"/>
    <n v="3659438210"/>
    <s v="Actual"/>
    <s v="Long Maturity"/>
    <n v="402"/>
    <x v="607"/>
    <n v="839444.05"/>
    <x v="13"/>
    <d v="2020-08-07T00:00:00"/>
    <n v="4.3726027397260276"/>
    <d v="2045-09-15T00:00:00"/>
    <n v="301"/>
    <n v="297"/>
    <d v="2020-12-18T00:00:00"/>
    <s v="Morning Star 2020 Corp &amp; San Marvelous Ventures LLC dba Rise N Stop #2"/>
    <s v="San Marcos, TX 78666"/>
    <n v="78666"/>
    <x v="0"/>
    <x v="4"/>
    <s v="Q"/>
    <s v=""/>
    <s v=""/>
    <x v="3"/>
    <n v="0.05"/>
  </r>
  <r>
    <n v="312170.11"/>
    <n v="3656528207"/>
    <s v="Actual"/>
    <s v="Long Maturity"/>
    <n v="402"/>
    <x v="608"/>
    <n v="991322.08"/>
    <x v="13"/>
    <d v="2020-08-07T00:00:00"/>
    <n v="4.3726027397260276"/>
    <d v="2045-09-15T00:00:00"/>
    <n v="301"/>
    <n v="297"/>
    <d v="2020-12-18T00:00:00"/>
    <s v="Rising Star Ventures Corp &amp; Budaful Ventures LLC dba Rise N Stop #1"/>
    <s v="Buda, TX 78610"/>
    <n v="78610"/>
    <x v="0"/>
    <x v="4"/>
    <s v="Q"/>
    <s v=""/>
    <s v=""/>
    <x v="3"/>
    <n v="0.05"/>
  </r>
  <r>
    <n v="307221.11"/>
    <n v="9165745000"/>
    <s v="Actual"/>
    <s v="Long Maturity"/>
    <n v="402"/>
    <x v="609"/>
    <n v="2781185.43"/>
    <x v="22"/>
    <d v="2017-03-24T00:00:00"/>
    <n v="46.126027397260273"/>
    <d v="2043-04-15T00:00:00"/>
    <n v="313"/>
    <n v="268"/>
    <d v="2021-01-25T00:00:00"/>
    <s v="Ishine Woodlands 9, LLC"/>
    <s v="Hudson, WI 54016"/>
    <n v="54016"/>
    <x v="15"/>
    <x v="16"/>
    <s v="Q"/>
    <s v=""/>
    <s v=""/>
    <x v="1"/>
    <n v="0"/>
  </r>
  <r>
    <n v="310615.11"/>
    <n v="4172347007"/>
    <s v="Actual"/>
    <s v="Long Maturity"/>
    <n v="402"/>
    <x v="610"/>
    <n v="183074.98"/>
    <x v="23"/>
    <d v="2020-01-24T00:00:00"/>
    <n v="11.013698630136986"/>
    <d v="2045-02-15T00:00:00"/>
    <n v="301"/>
    <n v="290"/>
    <d v="2020-12-24T00:00:00"/>
    <s v="MLH Enteprises Inc."/>
    <s v="Fortville, IN 46040"/>
    <n v="46040"/>
    <x v="39"/>
    <x v="177"/>
    <s v="Q"/>
    <s v=""/>
    <s v=""/>
    <x v="2"/>
    <n v="0.05"/>
  </r>
  <r>
    <n v="311241.11"/>
    <n v="4240427010"/>
    <s v="Actual"/>
    <s v="Long Maturity"/>
    <n v="402"/>
    <x v="611"/>
    <n v="389559.47"/>
    <x v="15"/>
    <d v="2020-02-25T00:00:00"/>
    <n v="9.9287671232876722"/>
    <d v="2045-03-15T00:00:00"/>
    <n v="301"/>
    <n v="291"/>
    <d v="2020-12-23T00:00:00"/>
    <s v="VIP Gas LLC"/>
    <s v="Altona, IL 61414"/>
    <n v="61414"/>
    <x v="3"/>
    <x v="4"/>
    <s v="Q"/>
    <s v=""/>
    <s v=""/>
    <x v="0"/>
    <n v="0.05"/>
  </r>
  <r>
    <n v="311515.11"/>
    <n v="3380547008"/>
    <s v="Actual"/>
    <s v="Long Maturity"/>
    <n v="402"/>
    <x v="612"/>
    <n v="726755.16"/>
    <x v="11"/>
    <d v="2019-01-17T00:00:00"/>
    <n v="22.553424657534247"/>
    <d v="2039-02-15T00:00:00"/>
    <n v="241"/>
    <n v="218"/>
    <d v="2020-12-03T00:00:00"/>
    <s v="Armor Distribution Inc."/>
    <s v="Melbourne, FL 32935"/>
    <n v="32935"/>
    <x v="1"/>
    <x v="7"/>
    <s v="Q"/>
    <s v=""/>
    <s v=""/>
    <x v="1"/>
    <n v="0.03"/>
  </r>
  <r>
    <n v="311577.11"/>
    <n v="2391757405"/>
    <s v="Actual"/>
    <s v="Long Maturity"/>
    <n v="402"/>
    <x v="613"/>
    <n v="1399418.01"/>
    <x v="4"/>
    <d v="2020-05-28T00:00:00"/>
    <n v="6.706849315068494"/>
    <d v="2045-06-15T00:00:00"/>
    <n v="301"/>
    <n v="294"/>
    <d v="2020-12-18T00:00:00"/>
    <s v="Carsmetrics RE, LLC &amp; Carsmetrics LLC"/>
    <s v="Charlotte, NC 28273"/>
    <n v="28273"/>
    <x v="6"/>
    <x v="139"/>
    <s v="Q"/>
    <s v=""/>
    <s v=""/>
    <x v="3"/>
    <n v="0.05"/>
  </r>
  <r>
    <n v="311582.11"/>
    <n v="9976817407"/>
    <s v="Actual"/>
    <s v="Long Maturity"/>
    <n v="402"/>
    <x v="614"/>
    <n v="439874.49"/>
    <x v="17"/>
    <d v="2020-05-28T00:00:00"/>
    <n v="6.706849315068494"/>
    <d v="2033-06-15T00:00:00"/>
    <n v="157"/>
    <n v="150"/>
    <d v="2020-12-18T00:00:00"/>
    <s v="Total Corner Inc."/>
    <s v="Newbern, TN 38059"/>
    <n v="38059"/>
    <x v="30"/>
    <x v="51"/>
    <s v="Q"/>
    <s v=""/>
    <s v=""/>
    <x v="1"/>
    <n v="0"/>
  </r>
  <r>
    <n v="311653.11"/>
    <n v="4287817006"/>
    <s v="Actual"/>
    <s v="Long Maturity"/>
    <n v="402"/>
    <x v="615"/>
    <n v="237868.45"/>
    <x v="18"/>
    <d v="2020-06-11T00:00:00"/>
    <n v="6.3333333333333339"/>
    <d v="2045-07-15T00:00:00"/>
    <n v="301"/>
    <n v="295"/>
    <d v="2020-12-21T00:00:00"/>
    <s v="Bagg Realty LLC and AGI Sewer &amp; Drains, Inc."/>
    <s v="Staten Island, NY 10302"/>
    <n v="10302"/>
    <x v="16"/>
    <x v="64"/>
    <s v="Q"/>
    <s v=""/>
    <s v=""/>
    <x v="4"/>
    <n v="0.05"/>
  </r>
  <r>
    <n v="311730.11"/>
    <n v="3549057010"/>
    <s v="Actual"/>
    <s v="Long Maturity"/>
    <n v="402"/>
    <x v="616"/>
    <n v="1504437.38"/>
    <x v="11"/>
    <d v="2019-05-22T00:00:00"/>
    <n v="19.035616438356165"/>
    <d v="2035-06-15T00:00:00"/>
    <n v="193"/>
    <n v="174"/>
    <d v="2020-12-21T00:00:00"/>
    <s v="LENCAT Corporation dba Lightbridge Academy Mountain Lakes"/>
    <s v="Mountain Lakes, NJ  07046"/>
    <n v="7046"/>
    <x v="13"/>
    <x v="0"/>
    <s v="Q"/>
    <s v=""/>
    <s v=""/>
    <x v="1"/>
    <n v="0.03"/>
  </r>
  <r>
    <n v="311774.11"/>
    <n v="3400917206"/>
    <s v="Actual"/>
    <s v="Long Maturity"/>
    <n v="402"/>
    <x v="617"/>
    <n v="197084.55"/>
    <x v="11"/>
    <d v="2020-06-15T00:00:00"/>
    <n v="6.1150684931506856"/>
    <d v="2045-07-15T00:00:00"/>
    <n v="301"/>
    <n v="295"/>
    <d v="2020-12-18T00:00:00"/>
    <s v="TFG Realty Margate LLC"/>
    <s v="Margate, FL 33063"/>
    <n v="33063"/>
    <x v="1"/>
    <x v="27"/>
    <s v="Q"/>
    <s v=""/>
    <s v=""/>
    <x v="1"/>
    <n v="0.05"/>
  </r>
  <r>
    <n v="311895.11"/>
    <n v="2033388005"/>
    <s v="Actual"/>
    <s v="Long Maturity"/>
    <n v="402"/>
    <x v="618"/>
    <n v="2964743.94"/>
    <x v="19"/>
    <d v="2020-06-30T00:00:00"/>
    <n v="5.6999999999999993"/>
    <d v="2045-07-15T00:00:00"/>
    <n v="301"/>
    <n v="295"/>
    <d v="2020-12-21T00:00:00"/>
    <s v="Chinatown Food Services, LLC &amp; Chinatown United Food Services LLC"/>
    <s v="New York, NY 10002"/>
    <n v="10002"/>
    <x v="16"/>
    <x v="27"/>
    <s v="Q"/>
    <s v=""/>
    <s v=""/>
    <x v="5"/>
    <n v="0.05"/>
  </r>
  <r>
    <n v="311909.11"/>
    <n v="3388217204"/>
    <s v="Actual"/>
    <s v="Long Maturity"/>
    <n v="402"/>
    <x v="619"/>
    <n v="2271922.2000000002"/>
    <x v="19"/>
    <d v="2020-05-15T00:00:00"/>
    <n v="6.7726027397260271"/>
    <d v="2045-06-15T00:00:00"/>
    <n v="301"/>
    <n v="294"/>
    <d v="2020-12-07T00:00:00"/>
    <s v="Data-Cal Investments LLC"/>
    <s v="Stephenville, TX 76401"/>
    <n v="76401"/>
    <x v="0"/>
    <x v="4"/>
    <s v="Q"/>
    <s v=""/>
    <s v=""/>
    <x v="5"/>
    <n v="0.05"/>
  </r>
  <r>
    <n v="311912.11"/>
    <n v="8529727005"/>
    <s v="Actual"/>
    <s v="Long Maturity"/>
    <n v="402"/>
    <x v="620"/>
    <n v="926218.08"/>
    <x v="4"/>
    <d v="2020-04-29T00:00:00"/>
    <n v="7.6602739726027398"/>
    <d v="2045-05-15T00:00:00"/>
    <n v="301"/>
    <n v="293"/>
    <d v="2020-12-18T00:00:00"/>
    <s v="Rogers Automotive Industries, LLC. (OC) &amp; Rogers Property Holdings,"/>
    <s v="Winston Salem, NC  27127"/>
    <n v="27127"/>
    <x v="6"/>
    <x v="8"/>
    <s v="Q"/>
    <s v=""/>
    <s v=""/>
    <x v="3"/>
    <n v="0.05"/>
  </r>
  <r>
    <n v="311941.11"/>
    <n v="9791848002"/>
    <s v="Actual"/>
    <s v="Long Maturity"/>
    <n v="402"/>
    <x v="621"/>
    <n v="143142.89000000001"/>
    <x v="17"/>
    <d v="2020-07-10T00:00:00"/>
    <n v="5.2931506849315069"/>
    <d v="2033-08-15T00:00:00"/>
    <n v="157"/>
    <n v="152"/>
    <d v="2020-12-18T00:00:00"/>
    <s v="Stony Gap, LLC"/>
    <s v="Albemarle, NC 28001"/>
    <n v="28001"/>
    <x v="6"/>
    <x v="178"/>
    <s v="Q"/>
    <s v=""/>
    <s v=""/>
    <x v="1"/>
    <n v="0"/>
  </r>
  <r>
    <n v="311972.11"/>
    <n v="3889587001"/>
    <s v="Actual"/>
    <s v="Long Maturity"/>
    <n v="402"/>
    <x v="622"/>
    <n v="1253520.6599999999"/>
    <x v="18"/>
    <d v="2019-10-10T00:00:00"/>
    <n v="14.301369863013701"/>
    <d v="2045-08-15T00:00:00"/>
    <n v="310"/>
    <n v="296"/>
    <d v="2020-12-18T00:00:00"/>
    <s v="S J Enterprises Fox Cities LLC"/>
    <s v="Appleton, WI 54913"/>
    <n v="54913"/>
    <x v="15"/>
    <x v="70"/>
    <s v="Q"/>
    <s v=""/>
    <s v=""/>
    <x v="0"/>
    <n v="0.03"/>
  </r>
  <r>
    <n v="311986.11"/>
    <n v="4162967001"/>
    <s v="Actual"/>
    <s v="Long Maturity"/>
    <n v="402"/>
    <x v="623"/>
    <n v="489782.33"/>
    <x v="13"/>
    <d v="2020-01-09T00:00:00"/>
    <n v="11.408219178082192"/>
    <d v="2045-06-15T00:00:00"/>
    <n v="305"/>
    <n v="294"/>
    <d v="2020-12-21T00:00:00"/>
    <s v="Laser Aesthetics Body &amp; Wellness Center / Ashmore Properties LLC"/>
    <s v="Cordova, TN 38016"/>
    <n v="38016"/>
    <x v="30"/>
    <x v="80"/>
    <s v="Q"/>
    <s v=""/>
    <s v=""/>
    <x v="3"/>
    <n v="0.05"/>
  </r>
  <r>
    <n v="311988.11"/>
    <n v="9368648004"/>
    <s v="Actual"/>
    <s v="Long Maturity"/>
    <n v="402"/>
    <x v="624"/>
    <n v="290438.92"/>
    <x v="13"/>
    <d v="2020-07-22T00:00:00"/>
    <n v="4.8657534246575338"/>
    <d v="2045-08-15T00:00:00"/>
    <n v="301"/>
    <n v="296"/>
    <d v="2020-12-17T00:00:00"/>
    <s v="J3 Management Group LLC"/>
    <s v="Decatur, FL 30035"/>
    <n v="30035"/>
    <x v="1"/>
    <x v="148"/>
    <s v="Q"/>
    <s v=""/>
    <s v=""/>
    <x v="3"/>
    <n v="0.05"/>
  </r>
  <r>
    <n v="311989.11"/>
    <n v="7786898002"/>
    <s v="Actual"/>
    <s v="Long Maturity"/>
    <n v="402"/>
    <x v="625"/>
    <n v="1000251.35"/>
    <x v="13"/>
    <d v="2020-07-15T00:00:00"/>
    <n v="5.1287671232876715"/>
    <d v="2045-08-15T00:00:00"/>
    <n v="301"/>
    <n v="296"/>
    <d v="2020-12-18T00:00:00"/>
    <s v="Torres-Gomez LLC, Skyscrapers Investment Group &amp; JT's Lending Team Inc"/>
    <s v="Granada Hills, CA 91344"/>
    <n v="91344"/>
    <x v="10"/>
    <x v="179"/>
    <s v="Q"/>
    <s v=""/>
    <s v=""/>
    <x v="3"/>
    <n v="0.05"/>
  </r>
  <r>
    <n v="311991.11"/>
    <n v="1714798109"/>
    <s v="Actual"/>
    <s v="Long Maturity"/>
    <n v="402"/>
    <x v="626"/>
    <n v="2911878.48"/>
    <x v="19"/>
    <d v="2020-07-22T00:00:00"/>
    <n v="4.8986301369863012"/>
    <d v="2045-08-15T00:00:00"/>
    <n v="301"/>
    <n v="296"/>
    <d v="2020-12-18T00:00:00"/>
    <s v="Amia Trade Inc"/>
    <s v="Austin, TX 78752"/>
    <n v="78752"/>
    <x v="0"/>
    <x v="55"/>
    <s v="Q"/>
    <s v=""/>
    <s v=""/>
    <x v="4"/>
    <n v="0.05"/>
  </r>
  <r>
    <n v="312018.11"/>
    <n v="4172927004"/>
    <s v="Actual"/>
    <s v="Long Maturity"/>
    <n v="402"/>
    <x v="627"/>
    <n v="1089819.07"/>
    <x v="13"/>
    <d v="2020-01-31T00:00:00"/>
    <n v="10.586301369863014"/>
    <d v="2045-04-15T00:00:00"/>
    <n v="303"/>
    <n v="292"/>
    <d v="2020-12-18T00:00:00"/>
    <s v="The Athena Group LLC and Shepard Law, PLLC"/>
    <s v="Concord, NC 28027"/>
    <n v="28027"/>
    <x v="6"/>
    <x v="37"/>
    <s v="Q"/>
    <s v=""/>
    <s v=""/>
    <x v="3"/>
    <n v="0.05"/>
  </r>
  <r>
    <n v="312061.11"/>
    <n v="3390277003"/>
    <s v="Actual"/>
    <s v="Long Maturity"/>
    <n v="402"/>
    <x v="628"/>
    <n v="498030.24"/>
    <x v="4"/>
    <d v="2019-01-25T00:00:00"/>
    <n v="22.783561643835618"/>
    <d v="2035-02-15T00:00:00"/>
    <n v="193"/>
    <n v="170"/>
    <d v="2020-12-18T00:00:00"/>
    <s v="Indy Inns, LLC"/>
    <s v="Skillman, NJ 08558"/>
    <n v="8558"/>
    <x v="13"/>
    <x v="20"/>
    <s v="Q"/>
    <s v=""/>
    <s v=""/>
    <x v="2"/>
    <n v="0.03"/>
  </r>
  <r>
    <n v="312126.11"/>
    <n v="4873628105"/>
    <s v="Actual"/>
    <s v="Long Maturity"/>
    <n v="402"/>
    <x v="629"/>
    <n v="120607.27"/>
    <x v="13"/>
    <d v="2020-08-06T00:00:00"/>
    <n v="4.5041095890410965"/>
    <d v="2045-09-15T00:00:00"/>
    <n v="301"/>
    <n v="297"/>
    <d v="2020-12-21T00:00:00"/>
    <s v="Masco Metals LLC"/>
    <s v="Memphis, TN 38108"/>
    <n v="38108"/>
    <x v="30"/>
    <x v="180"/>
    <s v="Q"/>
    <s v=""/>
    <s v=""/>
    <x v="3"/>
    <n v="0.05"/>
  </r>
  <r>
    <n v="312175.11"/>
    <n v="4165897010"/>
    <s v="Actual"/>
    <s v="Long Maturity"/>
    <n v="402"/>
    <x v="630"/>
    <n v="315729.83"/>
    <x v="13"/>
    <d v="2020-01-29T00:00:00"/>
    <n v="10.652054794520549"/>
    <d v="2045-07-15T00:00:00"/>
    <n v="306"/>
    <n v="295"/>
    <d v="2020-12-18T00:00:00"/>
    <s v="Ellison Endeavors, LLC"/>
    <s v="Greensboro, NC 27408"/>
    <n v="27408"/>
    <x v="6"/>
    <x v="46"/>
    <s v="Q"/>
    <s v=""/>
    <s v=""/>
    <x v="3"/>
    <n v="0.05"/>
  </r>
  <r>
    <n v="312357.11"/>
    <n v="4296737008"/>
    <s v="Actual"/>
    <s v="Long Maturity"/>
    <n v="402"/>
    <x v="631"/>
    <n v="2974013.34"/>
    <x v="19"/>
    <d v="2020-03-23T00:00:00"/>
    <n v="8.9753424657534246"/>
    <d v="2037-04-15T00:00:00"/>
    <n v="205"/>
    <n v="196"/>
    <d v="2020-12-21T00:00:00"/>
    <s v="LimCross Ventures, LLC"/>
    <s v="Tulsa, OK 74133"/>
    <n v="74133"/>
    <x v="32"/>
    <x v="146"/>
    <s v="Q"/>
    <s v=""/>
    <s v=""/>
    <x v="6"/>
    <n v="0.05"/>
  </r>
  <r>
    <n v="307574.11"/>
    <n v="1993597005"/>
    <s v="Actual"/>
    <s v="Long Maturity"/>
    <n v="402"/>
    <x v="632"/>
    <n v="164992.18"/>
    <x v="67"/>
    <d v="2018-01-25T00:00:00"/>
    <n v="35.112328767123287"/>
    <d v="2040-02-15T00:00:00"/>
    <n v="265"/>
    <n v="230"/>
    <d v="2020-12-28T00:00:00"/>
    <s v="San Antonio Trading Group LLC &amp; South Texas Trading Inc."/>
    <s v="San Antonio, TX 78254"/>
    <n v="78254"/>
    <x v="0"/>
    <x v="27"/>
    <s v="Q"/>
    <s v=""/>
    <s v=""/>
    <x v="3"/>
    <n v="0.01"/>
  </r>
  <r>
    <n v="308823.11"/>
    <n v="2582897001"/>
    <s v="Actual"/>
    <s v="Long Maturity"/>
    <n v="402"/>
    <x v="633"/>
    <n v="3656096.56"/>
    <x v="38"/>
    <d v="2018-07-30T00:00:00"/>
    <n v="27.912328767123284"/>
    <d v="2044-08-15T00:00:00"/>
    <n v="313"/>
    <n v="284"/>
    <d v="2020-11-25T00:00:00"/>
    <s v="Fox Jacksonville LLC"/>
    <s v="Jacksonville, FL 32246"/>
    <n v="32246"/>
    <x v="1"/>
    <x v="20"/>
    <s v="Q"/>
    <s v=""/>
    <s v=""/>
    <x v="6"/>
    <n v="0.01"/>
  </r>
  <r>
    <n v="309163.11"/>
    <n v="3862317001"/>
    <s v="Actual"/>
    <s v="Long Maturity"/>
    <n v="402"/>
    <x v="634"/>
    <n v="656113.78"/>
    <x v="19"/>
    <d v="2019-07-25T00:00:00"/>
    <n v="17"/>
    <d v="2044-08-15T00:00:00"/>
    <n v="301"/>
    <n v="284"/>
    <d v="2020-12-25T00:00:00"/>
    <s v="Gil Yong Park_x000a_DBA: Park's Transmission Service"/>
    <s v="Long Beach, CA 90813"/>
    <n v="90813"/>
    <x v="10"/>
    <x v="8"/>
    <s v="Q"/>
    <s v=""/>
    <s v=""/>
    <x v="6"/>
    <n v="0.03"/>
  </r>
  <r>
    <n v="309986.11"/>
    <n v="4113507007"/>
    <s v="Actual"/>
    <s v="Long Maturity"/>
    <n v="402"/>
    <x v="635"/>
    <n v="445805.93"/>
    <x v="19"/>
    <d v="2019-11-27T00:00:00"/>
    <n v="13.033333333333331"/>
    <d v="2044-12-15T00:00:00"/>
    <n v="301"/>
    <n v="288"/>
    <d v="2020-12-28T00:00:00"/>
    <s v="J &amp; S 2019 Inc."/>
    <s v="Estacada, OR 97023"/>
    <n v="97023"/>
    <x v="21"/>
    <x v="28"/>
    <s v="Q"/>
    <s v=""/>
    <s v=""/>
    <x v="7"/>
    <n v="0.03"/>
  </r>
  <r>
    <n v="310043.11"/>
    <n v="4038727002"/>
    <s v="Actual"/>
    <s v="Long Maturity"/>
    <n v="402"/>
    <x v="636"/>
    <n v="1376195.33"/>
    <x v="18"/>
    <d v="2019-11-25T00:00:00"/>
    <n v="13.019178082191781"/>
    <d v="2034-12-15T00:00:00"/>
    <n v="181"/>
    <n v="168"/>
    <d v="2020-12-25T00:00:00"/>
    <s v="JPS Signs LLC"/>
    <s v="Erie, PA 16506"/>
    <n v="16506"/>
    <x v="11"/>
    <x v="77"/>
    <s v="Q"/>
    <s v=""/>
    <s v=""/>
    <x v="0"/>
    <n v="0.03"/>
  </r>
  <r>
    <n v="310564.11"/>
    <n v="3974647000"/>
    <s v="Actual"/>
    <s v="Long Maturity"/>
    <n v="402"/>
    <x v="637"/>
    <n v="145128.03"/>
    <x v="18"/>
    <d v="2019-09-25T00:00:00"/>
    <n v="15.123287671232877"/>
    <d v="2044-10-15T00:00:00"/>
    <n v="301"/>
    <n v="286"/>
    <d v="2020-12-28T00:00:00"/>
    <s v="Schroeder Family Motorsports Inc"/>
    <s v="Deer Park, WA 99006"/>
    <n v="99006"/>
    <x v="14"/>
    <x v="138"/>
    <s v="Q"/>
    <s v=""/>
    <s v=""/>
    <x v="4"/>
    <n v="0.03"/>
  </r>
  <r>
    <n v="310747.11"/>
    <n v="4037237006"/>
    <s v="Actual"/>
    <s v="Long Maturity"/>
    <n v="402"/>
    <x v="638"/>
    <n v="253362.46"/>
    <x v="45"/>
    <d v="2019-10-22T00:00:00"/>
    <n v="14.2"/>
    <d v="2044-11-15T00:00:00"/>
    <n v="301"/>
    <n v="287"/>
    <d v="2020-12-28T00:00:00"/>
    <s v="MNS &amp; S Property Inc"/>
    <s v="Dalworthington Gardens, TX 76013"/>
    <n v="76013"/>
    <x v="0"/>
    <x v="3"/>
    <s v="Q"/>
    <s v=""/>
    <s v=""/>
    <x v="6"/>
    <n v="0.03"/>
  </r>
  <r>
    <n v="310932.11"/>
    <n v="2999817005"/>
    <s v="Actual"/>
    <s v="Long Maturity"/>
    <n v="402"/>
    <x v="639"/>
    <n v="215806.47"/>
    <x v="11"/>
    <d v="2018-10-25T00:00:00"/>
    <n v="26.136986301369859"/>
    <d v="2038-11-15T00:00:00"/>
    <n v="241"/>
    <n v="215"/>
    <d v="2020-12-28T00:00:00"/>
    <s v="Back to Life Family Chiropractic LLC"/>
    <s v="Grove City, OH 43123"/>
    <n v="43123"/>
    <x v="9"/>
    <x v="36"/>
    <s v="Q"/>
    <s v=""/>
    <s v=""/>
    <x v="1"/>
    <n v="0.01"/>
  </r>
  <r>
    <n v="310942.11"/>
    <n v="4112847002"/>
    <s v="Actual"/>
    <s v="Long Maturity"/>
    <n v="402"/>
    <x v="640"/>
    <n v="178623.35999999999"/>
    <x v="19"/>
    <d v="2019-12-27T00:00:00"/>
    <n v="11.967123287671233"/>
    <d v="2045-01-15T00:00:00"/>
    <n v="301"/>
    <n v="289"/>
    <d v="2020-12-25T00:00:00"/>
    <s v="Mary Elizabeth Realty Inc."/>
    <s v="Gloversville, NY 12078"/>
    <n v="12078"/>
    <x v="16"/>
    <x v="120"/>
    <s v="Q"/>
    <s v=""/>
    <s v=""/>
    <x v="5"/>
    <n v="0.05"/>
  </r>
  <r>
    <n v="311739.11"/>
    <n v="4429097806"/>
    <s v="Actual"/>
    <s v="Long Maturity"/>
    <n v="402"/>
    <x v="641"/>
    <n v="1819311.63"/>
    <x v="19"/>
    <d v="2020-06-09T00:00:00"/>
    <n v="6.5095890410958903"/>
    <d v="2045-07-15T00:00:00"/>
    <n v="301"/>
    <n v="295"/>
    <d v="2020-12-24T00:00:00"/>
    <s v="Shrida LLC"/>
    <s v="Beaufort, SC 29906"/>
    <n v="29906"/>
    <x v="22"/>
    <x v="20"/>
    <s v="Q"/>
    <s v=""/>
    <s v=""/>
    <x v="4"/>
    <n v="0.05"/>
  </r>
  <r>
    <n v="311797.11"/>
    <n v="7129837805"/>
    <s v="Actual"/>
    <s v="Long Maturity"/>
    <n v="402"/>
    <x v="642"/>
    <n v="327065.67"/>
    <x v="19"/>
    <d v="2020-06-10T00:00:00"/>
    <n v="6.4767123287671229"/>
    <d v="2045-07-15T00:00:00"/>
    <n v="301"/>
    <n v="295"/>
    <d v="2020-12-24T00:00:00"/>
    <s v="Red Top LLC dba Red Top Food Mart"/>
    <s v="Temple, GA 30179"/>
    <n v="30179"/>
    <x v="2"/>
    <x v="28"/>
    <s v="Q"/>
    <s v=""/>
    <s v=""/>
    <x v="5"/>
    <n v="0.05"/>
  </r>
  <r>
    <n v="311821.11"/>
    <n v="2916657000"/>
    <s v="Actual"/>
    <s v="Long Maturity"/>
    <n v="402"/>
    <x v="643"/>
    <n v="358305.04"/>
    <x v="23"/>
    <d v="2019-04-02T00:00:00"/>
    <n v="20.533333333333331"/>
    <d v="2045-01-15T00:00:00"/>
    <n v="309"/>
    <n v="289"/>
    <d v="2020-12-18T00:00:00"/>
    <s v="Kwil Holdings, LLC"/>
    <s v="Gainesville, TX 76240"/>
    <n v="76240"/>
    <x v="0"/>
    <x v="14"/>
    <s v="Q"/>
    <s v=""/>
    <s v=""/>
    <x v="1"/>
    <n v="0.03"/>
  </r>
  <r>
    <n v="311916.11"/>
    <n v="3446967205"/>
    <s v="Actual"/>
    <s v="Long Maturity"/>
    <n v="402"/>
    <x v="644"/>
    <n v="153009"/>
    <x v="11"/>
    <d v="2020-06-25T00:00:00"/>
    <n v="6.0164383561643842"/>
    <d v="2045-07-15T00:00:00"/>
    <n v="301"/>
    <n v="295"/>
    <d v="2020-12-25T00:00:00"/>
    <s v="Wiggles &amp; Giggles Kiddie Academy"/>
    <s v="Cleveland, OH 44120"/>
    <n v="44120"/>
    <x v="9"/>
    <x v="0"/>
    <s v="Q"/>
    <s v=""/>
    <s v=""/>
    <x v="0"/>
    <n v="0.05"/>
  </r>
  <r>
    <n v="311990.11"/>
    <n v="3661627407"/>
    <s v="Actual"/>
    <s v="Long Maturity"/>
    <n v="402"/>
    <x v="645"/>
    <n v="373423.67"/>
    <x v="13"/>
    <d v="2020-07-08T00:00:00"/>
    <n v="5.3917808219178083"/>
    <d v="2045-08-15T00:00:00"/>
    <n v="301"/>
    <n v="296"/>
    <d v="2020-12-19T00:00:00"/>
    <s v="DMDGarner Holdings LLC &amp; Ernest A Garner Jr DMD PLLC dba Gentle Dental"/>
    <s v="Salisbury, NC 28144"/>
    <n v="28144"/>
    <x v="6"/>
    <x v="6"/>
    <s v="Q"/>
    <s v=""/>
    <s v=""/>
    <x v="3"/>
    <n v="0.05"/>
  </r>
  <r>
    <n v="312058.11"/>
    <n v="3036868105"/>
    <s v="Actual"/>
    <s v="Long Maturity"/>
    <n v="402"/>
    <x v="646"/>
    <n v="140260.78"/>
    <x v="4"/>
    <d v="2020-07-16T00:00:00"/>
    <n v="5.4575342465753423"/>
    <d v="2045-08-15T00:00:00"/>
    <n v="301"/>
    <n v="296"/>
    <d v="2020-12-29T00:00:00"/>
    <s v="Arizona Dream Team I LLC"/>
    <s v="Phoenix, AZ 85053"/>
    <n v="85053"/>
    <x v="5"/>
    <x v="181"/>
    <s v="Q"/>
    <s v=""/>
    <s v=""/>
    <x v="2"/>
    <n v="0.05"/>
  </r>
  <r>
    <n v="312178.11"/>
    <n v="7628827905"/>
    <s v="Actual"/>
    <s v="Long Maturity"/>
    <n v="402"/>
    <x v="647"/>
    <n v="2525908"/>
    <x v="19"/>
    <d v="2020-08-05T00:00:00"/>
    <n v="4.6356164383561644"/>
    <d v="2045-09-15T00:00:00"/>
    <n v="301"/>
    <n v="297"/>
    <d v="2020-12-24T00:00:00"/>
    <s v="PAD Capital Group LLC"/>
    <s v="Corpus Christi, TX 78408"/>
    <n v="78408"/>
    <x v="0"/>
    <x v="20"/>
    <s v="Q"/>
    <s v=""/>
    <s v=""/>
    <x v="4"/>
    <n v="0.05"/>
  </r>
  <r>
    <n v="309802.11"/>
    <n v="3952207007"/>
    <s v="Actual"/>
    <s v="Long Maturity"/>
    <n v="402"/>
    <x v="648"/>
    <n v="493400.3"/>
    <x v="13"/>
    <d v="2019-09-26T00:00:00"/>
    <n v="15.287671232876711"/>
    <d v="2044-10-15T00:00:00"/>
    <n v="301"/>
    <n v="286"/>
    <d v="2021-01-03T00:00:00"/>
    <s v="Ekdant Hospitality LLC"/>
    <s v="Decatur, TX 76234"/>
    <n v="76234"/>
    <x v="0"/>
    <x v="20"/>
    <s v="Q"/>
    <s v=""/>
    <s v=""/>
    <x v="6"/>
    <n v="0.03"/>
  </r>
  <r>
    <n v="310101.11"/>
    <n v="2876697006"/>
    <s v="Actual"/>
    <s v="Long Maturity"/>
    <n v="402"/>
    <x v="649"/>
    <n v="117534.53"/>
    <x v="50"/>
    <d v="2019-05-23T00:00:00"/>
    <n v="19.528767123287672"/>
    <d v="2034-07-15T00:00:00"/>
    <n v="182"/>
    <n v="163"/>
    <d v="2021-01-06T00:00:00"/>
    <s v="Jessica Averitt LLC"/>
    <s v="Whitestown, IN 46075"/>
    <n v="46075"/>
    <x v="39"/>
    <x v="3"/>
    <s v="Q"/>
    <s v=""/>
    <s v=""/>
    <x v="0"/>
    <n v="0.03"/>
  </r>
  <r>
    <n v="310742.11"/>
    <n v="4038957001"/>
    <s v="Actual"/>
    <s v="Long Maturity"/>
    <n v="402"/>
    <x v="650"/>
    <n v="315033.90000000002"/>
    <x v="10"/>
    <d v="2019-10-28T00:00:00"/>
    <n v="12.986301369863014"/>
    <d v="2044-11-15T00:00:00"/>
    <n v="301"/>
    <n v="287"/>
    <d v="2020-11-26T00:00:00"/>
    <s v="Expertech Solutions LLC"/>
    <s v="Albany, OR 97322"/>
    <n v="97322"/>
    <x v="21"/>
    <x v="182"/>
    <s v="Q"/>
    <s v=""/>
    <s v=""/>
    <x v="4"/>
    <n v="0.03"/>
  </r>
  <r>
    <n v="311416.11"/>
    <n v="2364767010"/>
    <s v="Actual"/>
    <s v="Long Maturity"/>
    <n v="402"/>
    <x v="651"/>
    <n v="824332.95"/>
    <x v="13"/>
    <d v="2018-07-27T00:00:00"/>
    <n v="28.043835616438354"/>
    <d v="2044-02-15T00:00:00"/>
    <n v="307"/>
    <n v="278"/>
    <d v="2020-11-26T00:00:00"/>
    <s v="Premier Investment Solutions Inc."/>
    <s v="Zillah, WA 98953"/>
    <n v="98953"/>
    <x v="14"/>
    <x v="32"/>
    <s v="Q"/>
    <s v=""/>
    <s v=""/>
    <x v="5"/>
    <n v="0.01"/>
  </r>
  <r>
    <n v="312027.11"/>
    <n v="3510067005"/>
    <s v="Actual"/>
    <s v="Long Maturity"/>
    <n v="402"/>
    <x v="652"/>
    <n v="695213.32"/>
    <x v="19"/>
    <d v="2019-07-26T00:00:00"/>
    <n v="17.030136986301368"/>
    <d v="2044-08-15T00:00:00"/>
    <n v="301"/>
    <n v="284"/>
    <d v="2020-12-25T00:00:00"/>
    <s v="Starpony Properties LLC"/>
    <s v="Cincinnati, OH 45277"/>
    <n v="45277"/>
    <x v="9"/>
    <x v="114"/>
    <s v="Q"/>
    <s v=""/>
    <s v=""/>
    <x v="4"/>
    <n v="0.03"/>
  </r>
  <r>
    <n v="308086.11"/>
    <n v="9577245010"/>
    <s v="Actual"/>
    <s v="Long Maturity"/>
    <n v="402"/>
    <x v="653"/>
    <n v="2509428.7599999998"/>
    <x v="68"/>
    <d v="2017-06-28T00:00:00"/>
    <n v="41.030136986301372"/>
    <d v="2042-08-15T00:00:00"/>
    <n v="302"/>
    <n v="260"/>
    <d v="2020-11-27T00:00:00"/>
    <s v="Harbor Marine Product, Inc"/>
    <s v="Maywood, CA 90270"/>
    <n v="90270"/>
    <x v="10"/>
    <x v="183"/>
    <s v="Q"/>
    <s v=""/>
    <s v=""/>
    <x v="8"/>
    <n v="0"/>
  </r>
  <r>
    <n v="308798.11"/>
    <n v="1337597007"/>
    <s v="Actual"/>
    <s v="Long Maturity"/>
    <n v="402"/>
    <x v="654"/>
    <n v="1908170.25"/>
    <x v="30"/>
    <d v="2018-09-27T00:00:00"/>
    <n v="27.057534246575344"/>
    <d v="2044-04-15T00:00:00"/>
    <n v="307"/>
    <n v="280"/>
    <d v="2020-12-28T00:00:00"/>
    <s v="L &amp; S Enterprise Solutions LLC"/>
    <s v="Saint Cloud, FL 34772"/>
    <n v="34772"/>
    <x v="1"/>
    <x v="23"/>
    <s v="Q"/>
    <s v=""/>
    <s v=""/>
    <x v="5"/>
    <n v="0.01"/>
  </r>
  <r>
    <n v="309084.11"/>
    <n v="3802197000"/>
    <s v="Actual"/>
    <s v="Long Maturity"/>
    <n v="402"/>
    <x v="655"/>
    <n v="2934738.7"/>
    <x v="18"/>
    <d v="2019-06-28T00:00:00"/>
    <n v="16.043835616438358"/>
    <d v="2044-07-15T00:00:00"/>
    <n v="301"/>
    <n v="283"/>
    <d v="2020-10-28T00:00:00"/>
    <s v="JC Hotels LLC"/>
    <s v="Johnson City, TN 37601"/>
    <n v="37601"/>
    <x v="30"/>
    <x v="20"/>
    <s v="Q"/>
    <s v=""/>
    <s v=""/>
    <x v="3"/>
    <n v="0.03"/>
  </r>
  <r>
    <n v="309482.11"/>
    <n v="1628367008"/>
    <s v="Actual"/>
    <s v="Long Maturity"/>
    <n v="402"/>
    <x v="656"/>
    <n v="3599878.41"/>
    <x v="46"/>
    <d v="2018-02-27T00:00:00"/>
    <n v="33.994520547945207"/>
    <d v="2044-03-15T00:00:00"/>
    <n v="313"/>
    <n v="279"/>
    <d v="2020-12-27T00:00:00"/>
    <s v="Lobdell Capital, LLC"/>
    <s v="Tomball, TX 77375"/>
    <n v="77375"/>
    <x v="0"/>
    <x v="7"/>
    <s v="Q"/>
    <s v=""/>
    <s v=""/>
    <x v="7"/>
    <n v="0.01"/>
  </r>
  <r>
    <n v="309635.11"/>
    <n v="2885547009"/>
    <s v="Actual"/>
    <s v="Long Maturity"/>
    <n v="402"/>
    <x v="657"/>
    <n v="305919.78000000003"/>
    <x v="15"/>
    <d v="2018-09-28T00:00:00"/>
    <n v="27.024657534246572"/>
    <d v="2044-07-15T00:00:00"/>
    <n v="310"/>
    <n v="283"/>
    <d v="2020-12-28T00:00:00"/>
    <s v="Auto Pros1, LLC"/>
    <s v="Pinellas Park, FL 33782"/>
    <n v="33782"/>
    <x v="1"/>
    <x v="18"/>
    <s v="Q"/>
    <s v=""/>
    <s v=""/>
    <x v="1"/>
    <n v="0.01"/>
  </r>
  <r>
    <n v="310199.11"/>
    <n v="4118677000"/>
    <s v="Actual"/>
    <s v="Long Maturity"/>
    <n v="402"/>
    <x v="658"/>
    <n v="127650.46"/>
    <x v="19"/>
    <d v="2019-12-02T00:00:00"/>
    <n v="12.953424657534246"/>
    <d v="2045-01-15T00:00:00"/>
    <n v="301"/>
    <n v="289"/>
    <d v="2020-12-30T00:00:00"/>
    <s v="Vine Psychiatric Associates"/>
    <s v="Centreville, VA 20121"/>
    <n v="20121"/>
    <x v="29"/>
    <x v="184"/>
    <s v="Q"/>
    <s v=""/>
    <s v=""/>
    <x v="7"/>
    <n v="0.03"/>
  </r>
  <r>
    <n v="310770.11"/>
    <n v="3993897000"/>
    <s v="Actual"/>
    <s v="Long Maturity"/>
    <n v="402"/>
    <x v="659"/>
    <n v="585779.17000000004"/>
    <x v="14"/>
    <d v="2019-09-30T00:00:00"/>
    <n v="14.958904109589042"/>
    <d v="2044-10-15T00:00:00"/>
    <n v="301"/>
    <n v="286"/>
    <d v="2020-12-28T00:00:00"/>
    <s v="Pleasant Escape Senior Living, LLC"/>
    <s v="Logansport, IN 46947"/>
    <n v="46947"/>
    <x v="39"/>
    <x v="15"/>
    <s v="Q"/>
    <s v=""/>
    <s v=""/>
    <x v="0"/>
    <n v="0.03"/>
  </r>
  <r>
    <n v="310774.11"/>
    <n v="3970077009"/>
    <s v="Actual"/>
    <s v="Long Maturity"/>
    <n v="402"/>
    <x v="660"/>
    <n v="160273.42000000001"/>
    <x v="3"/>
    <d v="2019-09-27T00:00:00"/>
    <n v="14.926027397260274"/>
    <d v="2044-10-15T00:00:00"/>
    <n v="301"/>
    <n v="286"/>
    <d v="2020-12-24T00:00:00"/>
    <s v="Healthy Family Dentistry, P.A."/>
    <s v="Coconut Creek, FL 33073"/>
    <n v="33073"/>
    <x v="1"/>
    <x v="6"/>
    <s v="Q"/>
    <s v=""/>
    <s v=""/>
    <x v="1"/>
    <n v="0.03"/>
  </r>
  <r>
    <n v="311323.11"/>
    <n v="4235977006"/>
    <s v="Actual"/>
    <s v="Long Maturity"/>
    <n v="402"/>
    <x v="661"/>
    <n v="1195381.51"/>
    <x v="13"/>
    <d v="2020-02-27T00:00:00"/>
    <n v="9.8958904109589056"/>
    <d v="2045-03-15T00:00:00"/>
    <n v="301"/>
    <n v="291"/>
    <d v="2020-12-24T00:00:00"/>
    <s v="Flaming Grill of Manchester Inc."/>
    <s v="Manchester, CT 06042"/>
    <n v="6042"/>
    <x v="36"/>
    <x v="3"/>
    <s v="Q"/>
    <s v=""/>
    <s v=""/>
    <x v="3"/>
    <n v="0.05"/>
  </r>
  <r>
    <n v="311597.11"/>
    <n v="3140987208"/>
    <s v="Actual"/>
    <s v="Long Maturity"/>
    <n v="402"/>
    <x v="662"/>
    <n v="152062.21"/>
    <x v="18"/>
    <d v="2020-05-12T00:00:00"/>
    <n v="7.0027397260273982"/>
    <d v="2045-06-15T00:00:00"/>
    <n v="301"/>
    <n v="294"/>
    <d v="2020-12-11T00:00:00"/>
    <s v="M&amp;R Doyle Holdings Inc."/>
    <s v="Oklahoma City, OK 73139"/>
    <n v="73139"/>
    <x v="32"/>
    <x v="90"/>
    <s v="Q"/>
    <s v=""/>
    <s v=""/>
    <x v="2"/>
    <n v="0.05"/>
  </r>
  <r>
    <n v="312053.11"/>
    <n v="3693437000"/>
    <s v="Actual"/>
    <s v="Long Maturity"/>
    <n v="402"/>
    <x v="663"/>
    <n v="1081857.6499999999"/>
    <x v="13"/>
    <d v="2019-04-29T00:00:00"/>
    <n v="20.054794520547944"/>
    <d v="2045-02-15T00:00:00"/>
    <n v="310"/>
    <n v="290"/>
    <d v="2020-12-29T00:00:00"/>
    <s v="CGW Group LLC"/>
    <s v="Aubrey, TX  76227"/>
    <n v="76227"/>
    <x v="0"/>
    <x v="16"/>
    <s v="Q"/>
    <s v=""/>
    <s v=""/>
    <x v="3"/>
    <n v="0.03"/>
  </r>
  <r>
    <n v="312134.11"/>
    <n v="4122507009"/>
    <s v="Actual"/>
    <s v="Long Maturity"/>
    <n v="402"/>
    <x v="664"/>
    <n v="2248068.98"/>
    <x v="4"/>
    <d v="2019-11-27T00:00:00"/>
    <n v="13.052054794520549"/>
    <d v="2044-12-15T00:00:00"/>
    <n v="301"/>
    <n v="288"/>
    <d v="2020-12-28T00:00:00"/>
    <s v="Cre8ive Beginnings of Illinois Holdings Inc. "/>
    <s v="Springfield, IL 62704"/>
    <n v="62704"/>
    <x v="3"/>
    <x v="15"/>
    <s v="Q"/>
    <s v=""/>
    <s v=""/>
    <x v="2"/>
    <n v="0.03"/>
  </r>
  <r>
    <n v="312164.11"/>
    <n v="4120997001"/>
    <s v="Actual"/>
    <s v="Long Maturity"/>
    <n v="402"/>
    <x v="665"/>
    <n v="171785.05"/>
    <x v="11"/>
    <d v="2019-11-27T00:00:00"/>
    <n v="13.052054794520549"/>
    <d v="2034-12-15T00:00:00"/>
    <n v="181"/>
    <n v="168"/>
    <d v="2020-12-28T00:00:00"/>
    <s v="Russtic Inspirations Inc"/>
    <s v="Monett, MO 65708"/>
    <n v="65708"/>
    <x v="28"/>
    <x v="185"/>
    <s v="Q"/>
    <s v=""/>
    <s v=""/>
    <x v="1"/>
    <n v="0.03"/>
  </r>
  <r>
    <n v="308784.11"/>
    <n v="2485247003"/>
    <s v="Actual"/>
    <s v="Long Maturity"/>
    <n v="402"/>
    <x v="666"/>
    <n v="1286240.26"/>
    <x v="6"/>
    <d v="2018-08-29T00:00:00"/>
    <n v="29.063013698630137"/>
    <d v="2038-09-15T00:00:00"/>
    <n v="241"/>
    <n v="213"/>
    <d v="2021-01-29T00:00:00"/>
    <s v="Krazy Donuts LLC"/>
    <s v="Katy, TX 77493"/>
    <n v="77493"/>
    <x v="0"/>
    <x v="86"/>
    <s v="Q"/>
    <s v=""/>
    <s v=""/>
    <x v="3"/>
    <n v="0.01"/>
  </r>
  <r>
    <n v="308892.11"/>
    <n v="3691057000"/>
    <s v="Actual"/>
    <s v="Long Maturity"/>
    <n v="402"/>
    <x v="667"/>
    <n v="350211.62"/>
    <x v="42"/>
    <d v="2019-05-29T00:00:00"/>
    <n v="18.049315068493151"/>
    <d v="2044-06-15T00:00:00"/>
    <n v="301"/>
    <n v="282"/>
    <d v="2020-11-28T00:00:00"/>
    <s v="O'Brien &amp; Company LLC"/>
    <s v="Dundee, OR 97115"/>
    <n v="97115"/>
    <x v="21"/>
    <x v="186"/>
    <s v="Q"/>
    <s v=""/>
    <s v=""/>
    <x v="4"/>
    <n v="0.03"/>
  </r>
  <r>
    <n v="308934.11"/>
    <n v="3628207005"/>
    <s v="Actual"/>
    <s v="Long Maturity"/>
    <n v="402"/>
    <x v="668"/>
    <n v="117275.11"/>
    <x v="4"/>
    <d v="2019-03-29T00:00:00"/>
    <n v="21.041095890410958"/>
    <d v="2044-04-15T00:00:00"/>
    <n v="301"/>
    <n v="280"/>
    <d v="2020-12-28T00:00:00"/>
    <s v="Nomad Deli and Catering Company, LLC"/>
    <s v="Richmond, VA 23222"/>
    <n v="23222"/>
    <x v="29"/>
    <x v="23"/>
    <s v="Q"/>
    <s v=""/>
    <s v=""/>
    <x v="4"/>
    <n v="0.03"/>
  </r>
  <r>
    <n v="310363.11"/>
    <n v="4165937009"/>
    <s v="Actual"/>
    <s v="Long Maturity"/>
    <n v="402"/>
    <x v="669"/>
    <n v="214994.14"/>
    <x v="46"/>
    <d v="2019-12-30T00:00:00"/>
    <n v="13.133333333333335"/>
    <d v="2045-01-15T00:00:00"/>
    <n v="301"/>
    <n v="289"/>
    <d v="2021-02-04T00:00:00"/>
    <s v="Shree Kanta 1, Inc."/>
    <s v="Waleska, GA 30183"/>
    <n v="30183"/>
    <x v="2"/>
    <x v="3"/>
    <s v="Q"/>
    <s v=""/>
    <s v=""/>
    <x v="7"/>
    <n v="0.03"/>
  </r>
  <r>
    <n v="310764.11"/>
    <n v="3973107000"/>
    <s v="Actual"/>
    <s v="Long Maturity"/>
    <n v="402"/>
    <x v="670"/>
    <n v="3658297.84"/>
    <x v="11"/>
    <d v="2019-10-01T00:00:00"/>
    <n v="15.813698630136987"/>
    <d v="2044-11-15T00:00:00"/>
    <n v="301"/>
    <n v="287"/>
    <d v="2021-01-24T00:00:00"/>
    <s v="Shree Hari of Auburn Hills, Inc."/>
    <s v="Auburn Hills, MI 48326"/>
    <n v="48326"/>
    <x v="8"/>
    <x v="20"/>
    <s v="Q"/>
    <s v=""/>
    <s v=""/>
    <x v="3"/>
    <n v="0.03"/>
  </r>
  <r>
    <n v="310771.11"/>
    <n v="4001977003"/>
    <s v="Actual"/>
    <s v="Long Maturity"/>
    <n v="402"/>
    <x v="671"/>
    <n v="536628.18999999994"/>
    <x v="3"/>
    <d v="2019-09-30T00:00:00"/>
    <n v="14.8"/>
    <d v="2044-10-15T00:00:00"/>
    <n v="301"/>
    <n v="286"/>
    <d v="2020-12-24T00:00:00"/>
    <s v="Legacy Early Learning Academy LLC"/>
    <s v="Fair Grove, MO 65648"/>
    <n v="65648"/>
    <x v="28"/>
    <x v="0"/>
    <s v="Q"/>
    <s v=""/>
    <s v=""/>
    <x v="1"/>
    <n v="0.03"/>
  </r>
  <r>
    <n v="311414.11"/>
    <n v="3324617000"/>
    <s v="Actual"/>
    <s v="Long Maturity"/>
    <n v="402"/>
    <x v="672"/>
    <n v="860512.47"/>
    <x v="13"/>
    <d v="2020-04-30T00:00:00"/>
    <n v="7.956164383561644"/>
    <d v="2045-05-15T00:00:00"/>
    <n v="301"/>
    <n v="293"/>
    <d v="2020-12-28T00:00:00"/>
    <s v="Carroll Crew LLC / Pat's Pizza"/>
    <s v="Hampden, ME 04444"/>
    <n v="4444"/>
    <x v="41"/>
    <x v="3"/>
    <s v="Q"/>
    <s v=""/>
    <s v=""/>
    <x v="3"/>
    <n v="0.05"/>
  </r>
  <r>
    <n v="312031.11"/>
    <n v="3449537200"/>
    <s v="Actual"/>
    <s v="Long Maturity"/>
    <n v="402"/>
    <x v="673"/>
    <n v="438780.98"/>
    <x v="4"/>
    <d v="2020-06-30T00:00:00"/>
    <n v="4.9643835616438361"/>
    <d v="2045-07-15T00:00:00"/>
    <n v="301"/>
    <n v="295"/>
    <d v="2020-11-28T00:00:00"/>
    <s v="Montgomery's Service Inc."/>
    <s v="West Seneca, NY 14224"/>
    <n v="14224"/>
    <x v="16"/>
    <x v="187"/>
    <s v="Q"/>
    <s v=""/>
    <s v=""/>
    <x v="2"/>
    <n v="0.05"/>
  </r>
  <r>
    <n v="306901.11"/>
    <n v="9787975004"/>
    <s v="Actual"/>
    <s v="Long Maturity"/>
    <n v="402"/>
    <x v="674"/>
    <n v="2345924.7599999998"/>
    <x v="9"/>
    <d v="2017-09-29T00:00:00"/>
    <n v="38.991780821917814"/>
    <d v="2043-10-15T00:00:00"/>
    <n v="313"/>
    <n v="274"/>
    <d v="2020-12-28T00:00:00"/>
    <s v="Washtopia 2 LLC"/>
    <s v="Nashville, TN 37206"/>
    <n v="37206"/>
    <x v="30"/>
    <x v="16"/>
    <s v="Q"/>
    <s v=""/>
    <s v=""/>
    <x v="3"/>
    <n v="0"/>
  </r>
  <r>
    <n v="308225.11"/>
    <n v="3525617007"/>
    <s v="Actual"/>
    <s v="Long Maturity"/>
    <n v="402"/>
    <x v="675"/>
    <n v="2174733.2799999998"/>
    <x v="19"/>
    <d v="2019-03-28T00:00:00"/>
    <n v="20.033333333333335"/>
    <d v="2044-04-15T00:00:00"/>
    <n v="301"/>
    <n v="280"/>
    <d v="2020-11-29T00:00:00"/>
    <s v="Khushi Hospitality LLC"/>
    <s v="Groton, CT 06340"/>
    <n v="6340"/>
    <x v="36"/>
    <x v="20"/>
    <s v="Q"/>
    <s v=""/>
    <s v=""/>
    <x v="6"/>
    <n v="0.03"/>
  </r>
  <r>
    <n v="308321.11"/>
    <n v="3475357002"/>
    <s v="Actual"/>
    <s v="Long Maturity"/>
    <n v="402"/>
    <x v="676"/>
    <n v="2111157.5699999998"/>
    <x v="41"/>
    <d v="2019-04-09T00:00:00"/>
    <n v="19.666666666666664"/>
    <d v="2044-05-15T00:00:00"/>
    <n v="301"/>
    <n v="281"/>
    <d v="2020-11-29T00:00:00"/>
    <s v="Corning Hotel Co. LLC &amp; Opes Management Inc."/>
    <s v="Corning, NY 14830"/>
    <n v="14830"/>
    <x v="16"/>
    <x v="20"/>
    <s v="Q"/>
    <s v=""/>
    <s v=""/>
    <x v="7"/>
    <n v="0.03"/>
  </r>
  <r>
    <n v="309989.11"/>
    <n v="4079007005"/>
    <s v="Actual"/>
    <s v="Long Maturity"/>
    <n v="402"/>
    <x v="677"/>
    <n v="705016.13"/>
    <x v="13"/>
    <d v="2019-11-25T00:00:00"/>
    <n v="13.066666666666666"/>
    <d v="2044-12-15T00:00:00"/>
    <n v="301"/>
    <n v="288"/>
    <d v="2020-12-27T00:00:00"/>
    <s v="Maruti Hospitality LLC"/>
    <s v="Neptune City, NJ 07753"/>
    <n v="7753"/>
    <x v="13"/>
    <x v="20"/>
    <s v="Q"/>
    <s v=""/>
    <s v=""/>
    <x v="6"/>
    <n v="0.03"/>
  </r>
  <r>
    <n v="310162.11"/>
    <n v="4103807010"/>
    <s v="Actual"/>
    <s v="Long Maturity"/>
    <n v="402"/>
    <x v="678"/>
    <n v="3686911.36"/>
    <x v="21"/>
    <d v="2019-11-27T00:00:00"/>
    <n v="13.578082191780821"/>
    <d v="2045-01-15T00:00:00"/>
    <n v="302"/>
    <n v="289"/>
    <d v="2021-01-13T00:00:00"/>
    <s v="West Sacramento Hospitality LLC"/>
    <s v="West Sacramento, CA 95691"/>
    <n v="95691"/>
    <x v="10"/>
    <x v="20"/>
    <s v="Q"/>
    <s v=""/>
    <s v=""/>
    <x v="6"/>
    <n v="0.03"/>
  </r>
  <r>
    <n v="310315.11"/>
    <n v="2840597009"/>
    <s v="Actual"/>
    <s v="Long Maturity"/>
    <n v="402"/>
    <x v="679"/>
    <n v="1424769.78"/>
    <x v="26"/>
    <d v="2018-11-30T00:00:00"/>
    <n v="24.986301369863014"/>
    <d v="2043-12-15T00:00:00"/>
    <n v="301"/>
    <n v="276"/>
    <d v="2020-12-29T00:00:00"/>
    <s v="Sylvain Funeral Home and Cremation Svcs LLC"/>
    <s v="McDonough, GA 30253"/>
    <n v="30253"/>
    <x v="2"/>
    <x v="78"/>
    <s v="Q"/>
    <s v=""/>
    <s v=""/>
    <x v="3"/>
    <n v="0.01"/>
  </r>
  <r>
    <n v="311343.11"/>
    <n v="4272797010"/>
    <s v="Actual"/>
    <s v="Long Maturity"/>
    <n v="402"/>
    <x v="680"/>
    <n v="3693818.36"/>
    <x v="13"/>
    <d v="2020-03-11T00:00:00"/>
    <n v="8.9753424657534246"/>
    <d v="2045-04-15T00:00:00"/>
    <n v="301"/>
    <n v="292"/>
    <d v="2020-12-09T00:00:00"/>
    <s v="AAASYE Galaxy Investment LLC"/>
    <s v="Dublin, CA 94568"/>
    <n v="94568"/>
    <x v="10"/>
    <x v="20"/>
    <s v="Q"/>
    <s v=""/>
    <s v=""/>
    <x v="3"/>
    <n v="0.05"/>
  </r>
  <r>
    <n v="306465.11"/>
    <n v="9544005001"/>
    <s v="Actual"/>
    <s v="Long Maturity"/>
    <n v="402"/>
    <x v="681"/>
    <n v="864347.33"/>
    <x v="24"/>
    <d v="2017-06-30T00:00:00"/>
    <n v="42.049315068493151"/>
    <d v="2042-11-15T00:00:00"/>
    <n v="305"/>
    <n v="263"/>
    <d v="2020-12-30T00:00:00"/>
    <s v="Tom's Live Market LLC &amp; MKKL Holdings LLC"/>
    <s v="Omaha, NE 68107"/>
    <n v="68107"/>
    <x v="43"/>
    <x v="156"/>
    <s v="Q"/>
    <s v=""/>
    <s v=""/>
    <x v="1"/>
    <n v="0"/>
  </r>
  <r>
    <n v="306891.11"/>
    <n v="2834557001"/>
    <s v="Actual"/>
    <s v="Long Maturity"/>
    <n v="402"/>
    <x v="682"/>
    <n v="146106.37"/>
    <x v="4"/>
    <d v="2018-10-25T00:00:00"/>
    <n v="26.202739726027396"/>
    <d v="2043-11-15T00:00:00"/>
    <n v="301"/>
    <n v="275"/>
    <d v="2020-12-30T00:00:00"/>
    <s v="Brian Dilley dba Buck &amp; Dumb Bass Outdoors"/>
    <s v="Mooresville, IN 46158"/>
    <n v="46158"/>
    <x v="39"/>
    <x v="81"/>
    <s v="Q"/>
    <s v=""/>
    <s v=""/>
    <x v="0"/>
    <n v="0.01"/>
  </r>
  <r>
    <n v="309268.11"/>
    <n v="9813515000"/>
    <s v="Actual"/>
    <s v="Long Maturity"/>
    <n v="402"/>
    <x v="683"/>
    <n v="2131704.52"/>
    <x v="43"/>
    <d v="2018-03-30T00:00:00"/>
    <n v="33.106849315068494"/>
    <d v="2044-03-15T00:00:00"/>
    <n v="312"/>
    <n v="279"/>
    <d v="2020-12-31T00:00:00"/>
    <s v="TJHA Facilities LLC"/>
    <s v="Glendale, AZ 85308"/>
    <n v="85308"/>
    <x v="5"/>
    <x v="15"/>
    <s v="Q"/>
    <s v=""/>
    <s v=""/>
    <x v="2"/>
    <n v="0.01"/>
  </r>
  <r>
    <n v="310673.11"/>
    <n v="4212157004"/>
    <s v="Actual"/>
    <s v="Long Maturity"/>
    <n v="402"/>
    <x v="684"/>
    <n v="2447131.2999999998"/>
    <x v="19"/>
    <d v="2020-01-31T00:00:00"/>
    <n v="10.915068493150685"/>
    <d v="2045-02-15T00:00:00"/>
    <n v="301"/>
    <n v="290"/>
    <d v="2020-12-28T00:00:00"/>
    <s v="Siya Ram LLC"/>
    <s v="Temple, TX 76504"/>
    <n v="76504"/>
    <x v="0"/>
    <x v="20"/>
    <s v="Q"/>
    <s v=""/>
    <s v=""/>
    <x v="5"/>
    <n v="0.05"/>
  </r>
  <r>
    <n v="310867.11"/>
    <n v="3244747004"/>
    <s v="Actual"/>
    <s v="Long Maturity"/>
    <n v="402"/>
    <x v="685"/>
    <n v="1936928.63"/>
    <x v="23"/>
    <d v="2018-12-07T00:00:00"/>
    <n v="24.789041095890411"/>
    <d v="2044-01-15T00:00:00"/>
    <n v="301"/>
    <n v="277"/>
    <d v="2020-12-30T00:00:00"/>
    <s v="Energetix Management Inc."/>
    <s v="Pittsford, NY 14534"/>
    <n v="14534"/>
    <x v="16"/>
    <x v="4"/>
    <s v="Q"/>
    <s v=""/>
    <s v=""/>
    <x v="0"/>
    <n v="0.01"/>
  </r>
  <r>
    <n v="311342.11"/>
    <n v="4271427002"/>
    <s v="Actual"/>
    <s v="Long Maturity"/>
    <n v="402"/>
    <x v="686"/>
    <n v="580142.99"/>
    <x v="23"/>
    <d v="2020-03-31T00:00:00"/>
    <n v="9.008219178082193"/>
    <d v="2045-04-15T00:00:00"/>
    <n v="301"/>
    <n v="292"/>
    <d v="2020-12-30T00:00:00"/>
    <s v="214 Mallory Ave Partners LLC"/>
    <s v="Chesilhurst, NJ 08089"/>
    <n v="8089"/>
    <x v="13"/>
    <x v="50"/>
    <s v="Q"/>
    <s v=""/>
    <s v=""/>
    <x v="2"/>
    <n v="0.05"/>
  </r>
  <r>
    <n v="311399.11"/>
    <n v="4249047010"/>
    <s v="Actual"/>
    <s v="Long Maturity"/>
    <n v="402"/>
    <x v="687"/>
    <n v="332675.74"/>
    <x v="4"/>
    <d v="2020-03-02T00:00:00"/>
    <n v="8.9753424657534246"/>
    <d v="2045-04-15T00:00:00"/>
    <n v="301"/>
    <n v="292"/>
    <d v="2020-11-30T00:00:00"/>
    <s v="Formula Automotive Group"/>
    <s v="Tujunga, CA 91042"/>
    <n v="91042"/>
    <x v="10"/>
    <x v="8"/>
    <s v="Q"/>
    <s v=""/>
    <s v=""/>
    <x v="5"/>
    <n v="0.05"/>
  </r>
  <r>
    <n v="311608.11"/>
    <n v="4298497001"/>
    <s v="Actual"/>
    <s v="Long Maturity"/>
    <n v="402"/>
    <x v="688"/>
    <n v="742234.46"/>
    <x v="4"/>
    <d v="2020-04-30T00:00:00"/>
    <n v="7.0356164383561648"/>
    <d v="2045-05-15T00:00:00"/>
    <n v="301"/>
    <n v="293"/>
    <d v="2020-11-30T00:00:00"/>
    <s v="Bartlebuss Enterprises LLC"/>
    <s v="Portland, OR 97217"/>
    <n v="97217"/>
    <x v="21"/>
    <x v="1"/>
    <s v="Q"/>
    <s v=""/>
    <s v=""/>
    <x v="5"/>
    <n v="0.05"/>
  </r>
  <r>
    <n v="311613.11"/>
    <n v="3962627008"/>
    <s v="Actual"/>
    <s v="Long Maturity"/>
    <n v="402"/>
    <x v="689"/>
    <n v="482580.99"/>
    <x v="18"/>
    <d v="2019-11-01T00:00:00"/>
    <n v="13.742465753424657"/>
    <d v="2045-03-15T00:00:00"/>
    <n v="304"/>
    <n v="291"/>
    <d v="2020-12-23T00:00:00"/>
    <s v="LL Cooper Enterprises, LLC &amp; Cooper LL Management, LLC"/>
    <s v="Locust Grove, GA 30248"/>
    <n v="30248"/>
    <x v="2"/>
    <x v="3"/>
    <s v="Q"/>
    <s v=""/>
    <s v=""/>
    <x v="0"/>
    <n v="0.03"/>
  </r>
  <r>
    <n v="312015.11"/>
    <n v="5317978109"/>
    <s v="Actual"/>
    <s v="Long Maturity"/>
    <n v="402"/>
    <x v="690"/>
    <n v="2822240.86"/>
    <x v="13"/>
    <d v="2020-07-30T00:00:00"/>
    <n v="4.602739726027397"/>
    <d v="2045-08-15T00:00:00"/>
    <n v="301"/>
    <n v="296"/>
    <d v="2020-12-17T00:00:00"/>
    <s v="Shriji Shani Sai"/>
    <s v="Gardendale, AL 35071"/>
    <n v="35071"/>
    <x v="35"/>
    <x v="20"/>
    <s v="Q"/>
    <s v=""/>
    <s v=""/>
    <x v="3"/>
    <n v="0.05"/>
  </r>
  <r>
    <n v="312125.11"/>
    <n v="8108478109"/>
    <s v="Actual"/>
    <s v="Long Maturity"/>
    <n v="402"/>
    <x v="691"/>
    <n v="703943.26"/>
    <x v="15"/>
    <d v="2020-07-31T00:00:00"/>
    <n v="5"/>
    <d v="2036-08-15T00:00:00"/>
    <n v="193"/>
    <n v="188"/>
    <d v="2020-12-30T00:00:00"/>
    <s v="Pride Automorive LLC &amp; JA Ortiz Properties LLC "/>
    <s v="Nixa, MO 65714"/>
    <n v="65714"/>
    <x v="28"/>
    <x v="8"/>
    <s v="Q"/>
    <s v=""/>
    <s v=""/>
    <x v="1"/>
    <n v="0.05"/>
  </r>
  <r>
    <n v="304849.11"/>
    <n v="9334465001"/>
    <s v="Actual"/>
    <s v="Long Maturity"/>
    <n v="402"/>
    <x v="692"/>
    <n v="346588.62"/>
    <x v="22"/>
    <d v="2017-04-04T00:00:00"/>
    <n v="44.38356164383562"/>
    <d v="2037-05-15T00:00:00"/>
    <n v="241"/>
    <n v="197"/>
    <d v="2020-12-14T00:00:00"/>
    <s v="MI Box of Central NH, LLC"/>
    <s v="Merrimack, NH 03054"/>
    <n v="3054"/>
    <x v="42"/>
    <x v="7"/>
    <s v="Q"/>
    <s v=""/>
    <s v=""/>
    <x v="3"/>
    <n v="0"/>
  </r>
  <r>
    <n v="310901.11"/>
    <n v="4202387010"/>
    <s v="Actual"/>
    <s v="Long Maturity"/>
    <n v="402"/>
    <x v="693"/>
    <n v="1261641.94"/>
    <x v="13"/>
    <d v="2020-02-19T00:00:00"/>
    <n v="11.408219178082192"/>
    <d v="2045-03-15T00:00:00"/>
    <n v="301"/>
    <n v="291"/>
    <d v="2021-01-31T00:00:00"/>
    <s v="Canal Property LLC and Rans Joint LLC dba Canal Property"/>
    <s v="Hiouston, TX  77003"/>
    <n v="77003"/>
    <x v="0"/>
    <x v="49"/>
    <s v="Q"/>
    <s v=""/>
    <s v=""/>
    <x v="6"/>
    <n v="0.05"/>
  </r>
  <r>
    <n v="310305.11"/>
    <n v="3554787000"/>
    <s v="Actual"/>
    <s v="Long Maturity"/>
    <n v="402"/>
    <x v="694"/>
    <n v="914180.98"/>
    <x v="47"/>
    <d v="2019-03-29T00:00:00"/>
    <n v="21.073972602739726"/>
    <d v="2044-08-15T00:00:00"/>
    <n v="305"/>
    <n v="284"/>
    <d v="2020-12-29T00:00:00"/>
    <s v="Champion Group Holdings, LLC / A-Dawg Adventures Inc."/>
    <s v="Geneva, IL 60134"/>
    <n v="60134"/>
    <x v="3"/>
    <x v="25"/>
    <s v="Q"/>
    <s v=""/>
    <s v=""/>
    <x v="1"/>
    <n v="0.03"/>
  </r>
  <r>
    <n v="310777.11"/>
    <n v="2632467000"/>
    <s v="Actual"/>
    <s v="Long Maturity"/>
    <n v="402"/>
    <x v="695"/>
    <n v="1416519.71"/>
    <x v="25"/>
    <d v="2019-09-24T00:00:00"/>
    <n v="14.301369863013701"/>
    <d v="2044-10-15T00:00:00"/>
    <n v="301"/>
    <n v="286"/>
    <d v="2020-12-02T00:00:00"/>
    <s v="Beximco Enterprise LLC and Rafrafin Enterprise Inc"/>
    <s v="Princeton, TX 75407"/>
    <n v="75407"/>
    <x v="0"/>
    <x v="23"/>
    <s v="Q"/>
    <s v=""/>
    <s v=""/>
    <x v="5"/>
    <n v="0.03"/>
  </r>
  <r>
    <n v="310003.11"/>
    <n v="4059447000"/>
    <s v="Actual"/>
    <s v="Long Maturity"/>
    <n v="402"/>
    <x v="696"/>
    <n v="1394467.54"/>
    <x v="13"/>
    <d v="2019-11-22T00:00:00"/>
    <n v="13.282191780821917"/>
    <d v="2044-12-15T00:00:00"/>
    <n v="301"/>
    <n v="288"/>
    <d v="2020-12-30T00:00:00"/>
    <s v="P &amp; S Hospitality, LLC"/>
    <s v="Lithonia, GA 30038"/>
    <n v="30038"/>
    <x v="2"/>
    <x v="20"/>
    <s v="Q"/>
    <s v=""/>
    <s v=""/>
    <x v="3"/>
    <n v="0.03"/>
  </r>
  <r>
    <n v="310129.11"/>
    <n v="3407527003"/>
    <s v="Actual"/>
    <s v="Long Maturity"/>
    <n v="402"/>
    <x v="697"/>
    <n v="948943.81"/>
    <x v="2"/>
    <d v="2019-01-15T00:00:00"/>
    <n v="23.605479452054794"/>
    <d v="2045-02-15T00:00:00"/>
    <n v="313"/>
    <n v="290"/>
    <d v="2021-01-02T00:00:00"/>
    <s v="Rincon Collective LLC / Mojave East LLC"/>
    <s v="Cincinnati, OH 45244"/>
    <n v="45244"/>
    <x v="9"/>
    <x v="27"/>
    <s v="Q"/>
    <s v=""/>
    <s v=""/>
    <x v="1"/>
    <n v="0.03"/>
  </r>
  <r>
    <n v="309661.11"/>
    <n v="2387267005"/>
    <s v="Actual"/>
    <s v="Long Maturity"/>
    <n v="402"/>
    <x v="698"/>
    <n v="1991876.23"/>
    <x v="18"/>
    <d v="2018-03-29T00:00:00"/>
    <n v="34.323287671232876"/>
    <d v="2044-04-15T00:00:00"/>
    <n v="313"/>
    <n v="280"/>
    <d v="2021-02-05T00:00:00"/>
    <s v="Radha Raman LLC dba Crystal Inn"/>
    <s v="Houston, TX 77026"/>
    <n v="77026"/>
    <x v="0"/>
    <x v="20"/>
    <s v="Q"/>
    <s v=""/>
    <s v=""/>
    <x v="3"/>
    <n v="0.01"/>
  </r>
  <r>
    <n v="310902.11"/>
    <n v="4210977010"/>
    <s v="Actual"/>
    <s v="Long Maturity"/>
    <n v="402"/>
    <x v="699"/>
    <n v="1184243.74"/>
    <x v="13"/>
    <d v="2020-02-13T00:00:00"/>
    <n v="10.684931506849315"/>
    <d v="2045-03-15T00:00:00"/>
    <n v="301"/>
    <n v="291"/>
    <d v="2021-01-03T00:00:00"/>
    <s v="Yield Hospitality LLC dba Budget Host Inn"/>
    <s v="Houston, TX  77031"/>
    <n v="77031"/>
    <x v="0"/>
    <x v="20"/>
    <s v="Q"/>
    <s v=""/>
    <s v=""/>
    <x v="6"/>
    <n v="0.05"/>
  </r>
  <r>
    <n v="309887.11"/>
    <n v="3975457004"/>
    <s v="Actual"/>
    <s v="Long Maturity"/>
    <n v="402"/>
    <x v="700"/>
    <n v="2307343.5299999998"/>
    <x v="4"/>
    <d v="2019-09-30T00:00:00"/>
    <n v="15.386301369863014"/>
    <d v="2044-10-15T00:00:00"/>
    <n v="301"/>
    <n v="286"/>
    <d v="2021-01-10T00:00:00"/>
    <s v="Gamehendge Inc."/>
    <s v="Spanish Fort, AL 36527"/>
    <n v="36527"/>
    <x v="35"/>
    <x v="3"/>
    <s v="Q"/>
    <s v=""/>
    <s v=""/>
    <x v="2"/>
    <n v="0.03"/>
  </r>
  <r>
    <n v="310058.11"/>
    <n v="3870677004"/>
    <s v="Actual"/>
    <s v="Long Maturity"/>
    <n v="402"/>
    <x v="701"/>
    <n v="114950.86"/>
    <x v="13"/>
    <d v="2019-07-25T00:00:00"/>
    <n v="17.194520547945206"/>
    <d v="2044-08-15T00:00:00"/>
    <n v="301"/>
    <n v="284"/>
    <d v="2020-12-29T00:00:00"/>
    <s v="Camelia E. Antim "/>
    <s v="San Jacinto, CA 92583"/>
    <n v="92583"/>
    <x v="10"/>
    <x v="114"/>
    <s v="Q"/>
    <s v=""/>
    <s v=""/>
    <x v="6"/>
    <n v="0.03"/>
  </r>
  <r>
    <n v="309289.11"/>
    <n v="3691137000"/>
    <s v="Actual"/>
    <s v="Long Maturity"/>
    <n v="402"/>
    <x v="702"/>
    <n v="899144.62"/>
    <x v="11"/>
    <d v="2019-04-26T00:00:00"/>
    <n v="20.646575342465752"/>
    <d v="2034-08-15T00:00:00"/>
    <n v="184"/>
    <n v="164"/>
    <d v="2021-01-13T00:00:00"/>
    <s v="Chuckanut Real Estate Solutions LLC"/>
    <s v="Bellevue, WA 98004"/>
    <n v="98004"/>
    <x v="14"/>
    <x v="188"/>
    <s v="Q"/>
    <s v=""/>
    <s v=""/>
    <x v="1"/>
    <n v="0.03"/>
  </r>
  <r>
    <n v="309756.11"/>
    <n v="4022067000"/>
    <s v="Actual"/>
    <s v="Long Maturity"/>
    <n v="402"/>
    <x v="703"/>
    <n v="257401.27"/>
    <x v="11"/>
    <d v="2019-10-25T00:00:00"/>
    <n v="15.419178082191781"/>
    <d v="2044-11-15T00:00:00"/>
    <n v="301"/>
    <n v="287"/>
    <d v="2021-02-05T00:00:00"/>
    <s v="Architectural Stone South, Inc."/>
    <s v="Carrollton, GA 30117"/>
    <n v="30117"/>
    <x v="2"/>
    <x v="159"/>
    <s v="Q"/>
    <s v=""/>
    <s v=""/>
    <x v="3"/>
    <n v="0.03"/>
  </r>
  <r>
    <n v="311191.11"/>
    <n v="4156427007"/>
    <s v="Actual"/>
    <s v="Long Maturity"/>
    <n v="402"/>
    <x v="704"/>
    <n v="335864.99"/>
    <x v="11"/>
    <d v="2019-12-20T00:00:00"/>
    <n v="13.052054794520549"/>
    <d v="2045-01-15T00:00:00"/>
    <n v="301"/>
    <n v="289"/>
    <d v="2021-01-20T00:00:00"/>
    <s v="Sage Healing Collective S.C."/>
    <s v="St. Charles, IL 60174"/>
    <n v="60174"/>
    <x v="3"/>
    <x v="76"/>
    <s v="Q"/>
    <s v=""/>
    <s v=""/>
    <x v="1"/>
    <n v="0.03"/>
  </r>
  <r>
    <n v="309636.11"/>
    <n v="3189187009"/>
    <s v="Actual"/>
    <s v="Long Maturity"/>
    <n v="402"/>
    <x v="705"/>
    <n v="1502259.36"/>
    <x v="23"/>
    <d v="2018-11-30T00:00:00"/>
    <n v="24.69041095890411"/>
    <d v="2044-10-15T00:00:00"/>
    <n v="311"/>
    <n v="286"/>
    <d v="2020-12-20T00:00:00"/>
    <s v="Splashy's LLC"/>
    <s v="Murfreesboro, TN 37128"/>
    <n v="37128"/>
    <x v="30"/>
    <x v="16"/>
    <s v="Q"/>
    <s v=""/>
    <s v=""/>
    <x v="0"/>
    <n v="0.01"/>
  </r>
  <r>
    <n v="310144.11"/>
    <n v="4130087003"/>
    <s v="Actual"/>
    <s v="Long Maturity"/>
    <n v="402"/>
    <x v="706"/>
    <n v="123127.5"/>
    <x v="4"/>
    <d v="2019-12-06T00:00:00"/>
    <n v="14.533333333333331"/>
    <d v="2045-01-15T00:00:00"/>
    <n v="301"/>
    <n v="289"/>
    <d v="2021-02-22T00:00:00"/>
    <s v="Kaiser Properties LLC"/>
    <s v="Cambridge, VT 05444"/>
    <n v="5444"/>
    <x v="45"/>
    <x v="139"/>
    <s v="Q"/>
    <s v=""/>
    <s v=""/>
    <x v="5"/>
    <n v="0.03"/>
  </r>
  <r>
    <n v="308581.11"/>
    <n v="6208875001"/>
    <s v="Actual"/>
    <s v="Long Maturity"/>
    <n v="402"/>
    <x v="707"/>
    <n v="507301.49"/>
    <x v="20"/>
    <d v="2013-06-14T00:00:00"/>
    <n v="93.567123287671222"/>
    <d v="2033-07-15T00:00:00"/>
    <n v="241"/>
    <n v="151"/>
    <d v="2021-03-30T00:00:00"/>
    <s v="Shivdeep S. Bhinder"/>
    <s v=""/>
    <m/>
    <x v="46"/>
    <x v="146"/>
    <s v="Q"/>
    <s v=""/>
    <s v=""/>
    <x v="4"/>
    <n v="0"/>
  </r>
  <r>
    <n v="308152.11"/>
    <n v="2853337000"/>
    <s v="Actual"/>
    <s v="Long Maturity"/>
    <n v="402"/>
    <x v="708"/>
    <n v="291801.12"/>
    <x v="18"/>
    <d v="2018-10-02T00:00:00"/>
    <n v="27.766666666666669"/>
    <d v="2044-02-15T00:00:00"/>
    <n v="304"/>
    <n v="278"/>
    <d v="2021-01-25T00:00:00"/>
    <s v="J &amp; G Properties LLC"/>
    <s v="Decatur, GA 30033"/>
    <n v="30033"/>
    <x v="2"/>
    <x v="27"/>
    <s v="Q"/>
    <s v=""/>
    <s v=""/>
    <x v="3"/>
    <n v="0.01"/>
  </r>
  <r>
    <n v="311139.11"/>
    <n v="4192767001"/>
    <s v="Actual"/>
    <s v="Short Maturity"/>
    <n v="400"/>
    <x v="709"/>
    <n v="2278415.2400000002"/>
    <x v="13"/>
    <d v="2020-02-27T00:00:00"/>
    <n v="6.2136986301369861"/>
    <d v="2030-03-15T00:00:00"/>
    <n v="121"/>
    <n v="111"/>
    <d v="2020-09-03T00:00:00"/>
    <s v="Dangerous Music Group, LLC"/>
    <s v="New City, NY 10956"/>
    <n v="10956"/>
    <x v="16"/>
    <x v="189"/>
    <s v="Q"/>
    <s v=""/>
    <s v=""/>
    <x v="5"/>
    <n v="0"/>
  </r>
  <r>
    <n v="310709.11"/>
    <n v="4185557010"/>
    <s v="Actual"/>
    <s v="Short Maturity"/>
    <n v="400"/>
    <x v="710"/>
    <n v="291542.59999999998"/>
    <x v="69"/>
    <d v="2020-01-24T00:00:00"/>
    <n v="7.3643835616438356"/>
    <d v="2030-02-15T00:00:00"/>
    <n v="121"/>
    <n v="110"/>
    <d v="2020-09-04T00:00:00"/>
    <s v="EWC LBX LLC"/>
    <s v="Long Beach, CA 90808"/>
    <n v="90808"/>
    <x v="10"/>
    <x v="80"/>
    <s v="Q"/>
    <s v=""/>
    <s v=""/>
    <x v="3"/>
    <n v="0"/>
  </r>
  <r>
    <n v="311042.11"/>
    <n v="4183077004"/>
    <s v="Actual"/>
    <s v="Short Maturity"/>
    <n v="400"/>
    <x v="711"/>
    <n v="2323584.88"/>
    <x v="4"/>
    <d v="2020-01-30T00:00:00"/>
    <n v="7.1999999999999993"/>
    <d v="2030-02-15T00:00:00"/>
    <n v="121"/>
    <n v="110"/>
    <d v="2020-09-05T00:00:00"/>
    <s v="Anytime Fitness"/>
    <s v="Pittsfield, MA 01201"/>
    <n v="1201"/>
    <x v="4"/>
    <x v="1"/>
    <s v="Q"/>
    <s v=""/>
    <s v=""/>
    <x v="4"/>
    <n v="0"/>
  </r>
  <r>
    <n v="311143.11"/>
    <n v="4188987005"/>
    <s v="Actual"/>
    <s v="Short Maturity"/>
    <n v="400"/>
    <x v="712"/>
    <n v="3602427.57"/>
    <x v="4"/>
    <d v="2020-01-21T00:00:00"/>
    <n v="7.4958904109589035"/>
    <d v="2030-02-15T00:00:00"/>
    <n v="121"/>
    <n v="110"/>
    <d v="2020-09-05T00:00:00"/>
    <s v="Four Mile Road LLC"/>
    <s v="Coral Springs, FL 33065"/>
    <n v="33065"/>
    <x v="1"/>
    <x v="190"/>
    <s v="Q"/>
    <s v=""/>
    <s v=""/>
    <x v="4"/>
    <n v="0"/>
  </r>
  <r>
    <n v="311153.11"/>
    <n v="4238247005"/>
    <s v="Actual"/>
    <s v="Short Maturity"/>
    <n v="400"/>
    <x v="713"/>
    <n v="2133586.33"/>
    <x v="13"/>
    <d v="2020-02-28T00:00:00"/>
    <n v="6.2465753424657535"/>
    <d v="2030-03-15T00:00:00"/>
    <n v="121"/>
    <n v="111"/>
    <d v="2020-09-05T00:00:00"/>
    <s v="Spoon Exhibit Services, LLC"/>
    <s v="Macedon, NY 14502"/>
    <n v="14502"/>
    <x v="16"/>
    <x v="159"/>
    <s v="Q"/>
    <s v=""/>
    <s v=""/>
    <x v="5"/>
    <n v="0"/>
  </r>
  <r>
    <n v="311155.11"/>
    <n v="4249327000"/>
    <s v="Actual"/>
    <s v="Short Maturity"/>
    <n v="400"/>
    <x v="714"/>
    <n v="3616248"/>
    <x v="13"/>
    <d v="2020-02-26T00:00:00"/>
    <n v="6.3123287671232866"/>
    <d v="2030-03-15T00:00:00"/>
    <n v="121"/>
    <n v="111"/>
    <d v="2020-09-05T00:00:00"/>
    <s v="Halski Systems, LLC"/>
    <s v="Gainesville, GA 30504"/>
    <n v="30504"/>
    <x v="2"/>
    <x v="52"/>
    <s v="Q"/>
    <s v=""/>
    <s v=""/>
    <x v="5"/>
    <n v="0"/>
  </r>
  <r>
    <n v="310488.11"/>
    <n v="4120717009"/>
    <s v="Actual"/>
    <s v="Short Maturity"/>
    <n v="400"/>
    <x v="715"/>
    <n v="212743.85"/>
    <x v="38"/>
    <d v="2020-01-06T00:00:00"/>
    <n v="11.375342465753425"/>
    <d v="2030-05-15T00:00:00"/>
    <n v="124"/>
    <n v="113"/>
    <d v="2020-12-17T00:00:00"/>
    <s v="CJC PA Holdings LLC dba Uptown Cheapskate"/>
    <s v="State College, PA 16801"/>
    <n v="16801"/>
    <x v="11"/>
    <x v="122"/>
    <s v="Q"/>
    <s v=""/>
    <s v=""/>
    <x v="0"/>
    <n v="0"/>
  </r>
  <r>
    <n v="311034.11"/>
    <n v="3631517005"/>
    <s v="Actual"/>
    <s v="Short Maturity"/>
    <n v="400"/>
    <x v="716"/>
    <n v="970540.84"/>
    <x v="4"/>
    <d v="2019-04-18T00:00:00"/>
    <n v="18.166666666666664"/>
    <d v="2030-05-15T00:00:00"/>
    <n v="133"/>
    <n v="113"/>
    <d v="2020-10-23T00:00:00"/>
    <s v="Chapel Hill Swim School LLC"/>
    <s v="Cary, NC 27518"/>
    <n v="27518"/>
    <x v="6"/>
    <x v="70"/>
    <s v="Q"/>
    <s v=""/>
    <s v=""/>
    <x v="4"/>
    <n v="0"/>
  </r>
  <r>
    <n v="310507.11"/>
    <n v="4152987003"/>
    <s v="Actual"/>
    <s v="Short Maturity"/>
    <n v="400"/>
    <x v="717"/>
    <n v="1597046.45"/>
    <x v="10"/>
    <d v="2019-12-20T00:00:00"/>
    <n v="11.366666666666667"/>
    <d v="2030-01-15T00:00:00"/>
    <n v="121"/>
    <n v="109"/>
    <d v="2020-12-01T00:00:00"/>
    <s v="EnviroTest Acquistition LLC"/>
    <s v="Newburgh, NY 12550"/>
    <n v="12550"/>
    <x v="16"/>
    <x v="191"/>
    <s v="Q"/>
    <s v=""/>
    <s v=""/>
    <x v="5"/>
    <n v="0"/>
  </r>
  <r>
    <n v="311723.11"/>
    <n v="4313367007"/>
    <s v="Actual"/>
    <s v="Short Maturity"/>
    <n v="400"/>
    <x v="718"/>
    <n v="118519.13"/>
    <x v="70"/>
    <d v="2020-04-24T00:00:00"/>
    <n v="7.2986301369863025"/>
    <d v="2030-06-15T00:00:00"/>
    <n v="122"/>
    <n v="114"/>
    <d v="2020-12-02T00:00:00"/>
    <s v="Stirm Wine Company LLC"/>
    <s v="Watsonville, CA 95076"/>
    <n v="95076"/>
    <x v="10"/>
    <x v="14"/>
    <s v="Q"/>
    <s v=""/>
    <s v=""/>
    <x v="12"/>
    <n v="0"/>
  </r>
  <r>
    <n v="312202.11"/>
    <n v="4236237009"/>
    <s v="Actual"/>
    <s v="Short Maturity"/>
    <n v="400"/>
    <x v="719"/>
    <n v="84236.91"/>
    <x v="70"/>
    <d v="2020-04-20T00:00:00"/>
    <n v="7.4301369863013704"/>
    <d v="2030-05-15T00:00:00"/>
    <n v="121"/>
    <n v="113"/>
    <d v="2020-12-02T00:00:00"/>
    <s v="SalonXLounge Prof. LLC"/>
    <s v="Las Vegas, NV 89147"/>
    <n v="89147"/>
    <x v="40"/>
    <x v="46"/>
    <s v="Q"/>
    <s v=""/>
    <s v=""/>
    <x v="12"/>
    <n v="0"/>
  </r>
  <r>
    <n v="310337.11"/>
    <n v="4036907004"/>
    <s v="Actual"/>
    <s v="Short Maturity"/>
    <n v="400"/>
    <x v="720"/>
    <n v="317406.21000000002"/>
    <x v="30"/>
    <d v="2019-12-27T00:00:00"/>
    <n v="11.473972602739725"/>
    <d v="2030-02-15T00:00:00"/>
    <n v="122"/>
    <n v="110"/>
    <d v="2020-12-10T00:00:00"/>
    <s v="Delmay Corporation"/>
    <s v="Hollywood, FL 33020"/>
    <n v="33020"/>
    <x v="1"/>
    <x v="147"/>
    <s v="Q"/>
    <s v=""/>
    <s v=""/>
    <x v="1"/>
    <n v="0"/>
  </r>
  <r>
    <n v="311167.11"/>
    <n v="4124347002"/>
    <s v="Actual"/>
    <s v="Short Maturity"/>
    <n v="400"/>
    <x v="721"/>
    <n v="353562.51"/>
    <x v="4"/>
    <d v="2020-01-06T00:00:00"/>
    <n v="10.126027397260273"/>
    <d v="2030-02-15T00:00:00"/>
    <n v="121"/>
    <n v="110"/>
    <d v="2020-11-09T00:00:00"/>
    <s v="Isocare Medical Extenders Services Inc."/>
    <s v="Hawthorne, CA  90250"/>
    <n v="90250"/>
    <x v="10"/>
    <x v="48"/>
    <s v="Q"/>
    <s v=""/>
    <s v=""/>
    <x v="4"/>
    <n v="0"/>
  </r>
  <r>
    <n v="309160.11"/>
    <n v="3548137008"/>
    <s v="Actual"/>
    <s v="Short Maturity"/>
    <n v="400"/>
    <x v="722"/>
    <n v="88558.75"/>
    <x v="4"/>
    <d v="2019-02-28T00:00:00"/>
    <n v="21.2"/>
    <d v="2030-03-15T00:00:00"/>
    <n v="133"/>
    <n v="111"/>
    <d v="2020-12-06T00:00:00"/>
    <s v="Montessori Kids Universe of Mason"/>
    <s v="Mason, OH 45040"/>
    <n v="45040"/>
    <x v="9"/>
    <x v="175"/>
    <s v="Q"/>
    <s v=""/>
    <s v=""/>
    <x v="0"/>
    <n v="0"/>
  </r>
  <r>
    <n v="310116.11"/>
    <n v="3968637001"/>
    <s v="Actual"/>
    <s v="Short Maturity"/>
    <n v="400"/>
    <x v="723"/>
    <n v="480261.22"/>
    <x v="3"/>
    <d v="2019-12-06T00:00:00"/>
    <n v="12.756164383561645"/>
    <d v="2030-01-15T00:00:00"/>
    <n v="121"/>
    <n v="109"/>
    <d v="2020-12-28T00:00:00"/>
    <s v="Mavi Liquor Supply Inc"/>
    <s v="Carteret, NJ 07008"/>
    <n v="7008"/>
    <x v="13"/>
    <x v="51"/>
    <s v="Q"/>
    <s v=""/>
    <s v=""/>
    <x v="0"/>
    <n v="0"/>
  </r>
  <r>
    <n v="311032.11"/>
    <n v="4237657008"/>
    <s v="Actual"/>
    <s v="Short Maturity"/>
    <n v="400"/>
    <x v="724"/>
    <n v="1264638.82"/>
    <x v="4"/>
    <d v="2020-03-03T00:00:00"/>
    <n v="7.7917808219178077"/>
    <d v="2030-04-15T00:00:00"/>
    <n v="121"/>
    <n v="112"/>
    <d v="2020-10-26T00:00:00"/>
    <s v="303 Highline Corp dba Hudson Market"/>
    <s v="New York, NY 10001"/>
    <n v="10001"/>
    <x v="16"/>
    <x v="74"/>
    <s v="Q"/>
    <s v=""/>
    <s v=""/>
    <x v="4"/>
    <n v="0"/>
  </r>
  <r>
    <n v="312873.11"/>
    <n v="4264747006"/>
    <s v="Actual"/>
    <s v="Short Maturity"/>
    <n v="400"/>
    <x v="725"/>
    <n v="127500"/>
    <x v="35"/>
    <d v="2020-06-03T00:00:00"/>
    <n v="5.7333333333333334"/>
    <d v="2030-07-15T00:00:00"/>
    <n v="121"/>
    <n v="115"/>
    <d v="2020-11-25T00:00:00"/>
    <s v="Everything is Awesome, LLC dba Bricks and Mini Figs"/>
    <s v="Tucson, AZ 85711"/>
    <n v="85711"/>
    <x v="5"/>
    <x v="192"/>
    <s v="Q"/>
    <s v=""/>
    <s v=""/>
    <x v="13"/>
    <n v="0"/>
  </r>
  <r>
    <n v="312317.11"/>
    <n v="1540127905"/>
    <s v="Actual"/>
    <s v="Short Maturity"/>
    <n v="400"/>
    <x v="726"/>
    <n v="121171.68"/>
    <x v="11"/>
    <d v="2020-07-28T00:00:00"/>
    <n v="3.978082191780822"/>
    <d v="2030-08-15T00:00:00"/>
    <n v="121"/>
    <n v="116"/>
    <d v="2020-11-26T00:00:00"/>
    <s v="Marco Island Factory Blinds LLC"/>
    <s v="Marco Island, FL 34145"/>
    <n v="34145"/>
    <x v="1"/>
    <x v="193"/>
    <s v="Q"/>
    <s v=""/>
    <s v=""/>
    <x v="14"/>
    <n v="0"/>
  </r>
  <r>
    <n v="310328.11"/>
    <n v="4143147007"/>
    <s v="Actual"/>
    <s v="Short Maturity"/>
    <n v="400"/>
    <x v="727"/>
    <n v="246646.25"/>
    <x v="30"/>
    <d v="2019-12-20T00:00:00"/>
    <n v="10.323287671232876"/>
    <d v="2030-01-15T00:00:00"/>
    <n v="121"/>
    <n v="109"/>
    <d v="2020-10-29T00:00:00"/>
    <s v="Comfeeti LLC"/>
    <s v="Seattle, WA 98108"/>
    <n v="98108"/>
    <x v="14"/>
    <x v="194"/>
    <s v="Q"/>
    <s v=""/>
    <s v=""/>
    <x v="1"/>
    <n v="0"/>
  </r>
  <r>
    <n v="310610.11"/>
    <n v="4204917007"/>
    <s v="Actual"/>
    <s v="Short Maturity"/>
    <n v="400"/>
    <x v="728"/>
    <n v="300090.59999999998"/>
    <x v="38"/>
    <d v="2020-01-29T00:00:00"/>
    <n v="11.046575342465754"/>
    <d v="2030-02-15T00:00:00"/>
    <n v="121"/>
    <n v="110"/>
    <d v="2020-12-30T00:00:00"/>
    <s v="Parlin Bar &amp; Liquor LLC"/>
    <s v="Parlin, NJ 08859"/>
    <n v="8859"/>
    <x v="13"/>
    <x v="51"/>
    <s v="Q"/>
    <s v=""/>
    <s v=""/>
    <x v="0"/>
    <n v="0"/>
  </r>
  <r>
    <n v="310611.11"/>
    <n v="4206127010"/>
    <s v="Actual"/>
    <s v="Short Maturity"/>
    <n v="400"/>
    <x v="729"/>
    <n v="1010992.63"/>
    <x v="41"/>
    <d v="2020-01-30T00:00:00"/>
    <n v="11.013698630136986"/>
    <d v="2030-02-15T00:00:00"/>
    <n v="121"/>
    <n v="110"/>
    <d v="2020-12-30T00:00:00"/>
    <s v="Shevchenko Monuments LLC"/>
    <s v="Hopelawn, NJ 08861"/>
    <n v="8861"/>
    <x v="13"/>
    <x v="97"/>
    <s v="Q"/>
    <s v=""/>
    <s v=""/>
    <x v="2"/>
    <n v="0"/>
  </r>
  <r>
    <n v="310811.11"/>
    <n v="3923927001"/>
    <s v="Actual"/>
    <s v="Short Maturity"/>
    <n v="400"/>
    <x v="730"/>
    <n v="250957.48"/>
    <x v="41"/>
    <d v="2019-10-21T00:00:00"/>
    <n v="14.367123287671234"/>
    <d v="2030-05-15T00:00:00"/>
    <n v="127"/>
    <n v="113"/>
    <d v="2020-12-31T00:00:00"/>
    <s v="PBP Wings LLC "/>
    <s v="Houston, TX  77053"/>
    <n v="77053"/>
    <x v="0"/>
    <x v="23"/>
    <s v="Q"/>
    <s v=""/>
    <s v=""/>
    <x v="2"/>
    <n v="0"/>
  </r>
  <r>
    <n v="310232.11"/>
    <n v="4132057009"/>
    <s v="Actual"/>
    <s v="Short Maturity"/>
    <n v="400"/>
    <x v="731"/>
    <n v="770409.96"/>
    <x v="38"/>
    <d v="2019-12-17T00:00:00"/>
    <n v="11.473972602739725"/>
    <d v="2030-01-15T00:00:00"/>
    <n v="121"/>
    <n v="109"/>
    <d v="2020-11-30T00:00:00"/>
    <s v="Sandquist Corporation DBA Sound Xperience"/>
    <s v="Jenkintown, PA 19046"/>
    <n v="19046"/>
    <x v="11"/>
    <x v="71"/>
    <s v="Q"/>
    <s v=""/>
    <s v=""/>
    <x v="0"/>
    <n v="0"/>
  </r>
  <r>
    <n v="310533.11"/>
    <n v="4050237000"/>
    <s v="Actual"/>
    <s v="Short Maturity"/>
    <n v="400"/>
    <x v="732"/>
    <n v="305933.64"/>
    <x v="41"/>
    <d v="2019-12-20T00:00:00"/>
    <n v="12.427397260273972"/>
    <d v="2030-01-15T00:00:00"/>
    <n v="121"/>
    <n v="109"/>
    <d v="2021-01-01T00:00:00"/>
    <s v="Brindlesen, LLC"/>
    <s v="Foxborough, MA 02035"/>
    <n v="2035"/>
    <x v="4"/>
    <x v="80"/>
    <s v="Q"/>
    <s v=""/>
    <s v=""/>
    <x v="2"/>
    <n v="0"/>
  </r>
  <r>
    <n v="310296.11"/>
    <n v="4148067006"/>
    <s v="Actual"/>
    <s v="Short Maturity"/>
    <n v="400"/>
    <x v="733"/>
    <n v="314188.59000000003"/>
    <x v="30"/>
    <d v="2019-12-30T00:00:00"/>
    <n v="11.033333333333333"/>
    <d v="2030-01-15T00:00:00"/>
    <n v="121"/>
    <n v="109"/>
    <d v="2020-12-01T00:00:00"/>
    <s v="Vance Ewing LLC"/>
    <s v="St Robert, MO 65584"/>
    <n v="65584"/>
    <x v="28"/>
    <x v="10"/>
    <s v="Q"/>
    <s v=""/>
    <s v=""/>
    <x v="1"/>
    <n v="0"/>
  </r>
  <r>
    <n v="310526.11"/>
    <n v="4186617006"/>
    <s v="Actual"/>
    <s v="Short Maturity"/>
    <n v="400"/>
    <x v="734"/>
    <n v="361223.46"/>
    <x v="10"/>
    <d v="2020-01-15T00:00:00"/>
    <n v="10.553424657534247"/>
    <d v="2030-02-15T00:00:00"/>
    <n v="121"/>
    <n v="110"/>
    <d v="2020-12-01T00:00:00"/>
    <s v="PBY Development, Inc."/>
    <s v="Cupertino, CA 95014"/>
    <n v="95014"/>
    <x v="10"/>
    <x v="123"/>
    <s v="Q"/>
    <s v=""/>
    <s v=""/>
    <x v="5"/>
    <n v="0"/>
  </r>
  <r>
    <n v="310527.11"/>
    <n v="4186607003"/>
    <s v="Actual"/>
    <s v="Short Maturity"/>
    <n v="400"/>
    <x v="735"/>
    <n v="620476.87"/>
    <x v="10"/>
    <d v="2020-01-15T00:00:00"/>
    <n v="10.553424657534247"/>
    <d v="2030-02-15T00:00:00"/>
    <n v="121"/>
    <n v="110"/>
    <d v="2020-12-01T00:00:00"/>
    <s v="PBY Development, Inc."/>
    <s v="Milpitas, CA 95035"/>
    <n v="95035"/>
    <x v="10"/>
    <x v="123"/>
    <s v="Q"/>
    <s v=""/>
    <s v=""/>
    <x v="5"/>
    <n v="0"/>
  </r>
  <r>
    <n v="310577.11"/>
    <n v="4168237006"/>
    <s v="Actual"/>
    <s v="Short Maturity"/>
    <n v="400"/>
    <x v="736"/>
    <n v="350794.23999999999"/>
    <x v="38"/>
    <d v="2019-12-31T00:00:00"/>
    <n v="11.046575342465754"/>
    <d v="2030-01-15T00:00:00"/>
    <n v="121"/>
    <n v="109"/>
    <d v="2020-12-01T00:00:00"/>
    <s v="Victor Bustos, D.M.D., P.L."/>
    <s v="Bradenton, FL 34212"/>
    <n v="34212"/>
    <x v="1"/>
    <x v="6"/>
    <s v="Q"/>
    <s v=""/>
    <s v=""/>
    <x v="0"/>
    <n v="0"/>
  </r>
  <r>
    <n v="310712.11"/>
    <n v="3672307008"/>
    <s v="Actual"/>
    <s v="Short Maturity"/>
    <n v="400"/>
    <x v="737"/>
    <n v="293082.18"/>
    <x v="38"/>
    <d v="2020-01-15T00:00:00"/>
    <n v="10.553424657534247"/>
    <d v="2030-02-15T00:00:00"/>
    <n v="121"/>
    <n v="110"/>
    <d v="2020-12-01T00:00:00"/>
    <s v="Midtown Lash, LLC"/>
    <s v="Sacramento, CA 95811"/>
    <n v="95811"/>
    <x v="10"/>
    <x v="76"/>
    <s v="Q"/>
    <s v=""/>
    <s v=""/>
    <x v="0"/>
    <n v="0"/>
  </r>
  <r>
    <n v="310715.11"/>
    <n v="4189517006"/>
    <s v="Actual"/>
    <s v="Short Maturity"/>
    <n v="400"/>
    <x v="738"/>
    <n v="224446.8"/>
    <x v="69"/>
    <d v="2020-02-10T00:00:00"/>
    <n v="9.6986301369863011"/>
    <d v="2030-03-15T00:00:00"/>
    <n v="121"/>
    <n v="111"/>
    <d v="2020-12-01T00:00:00"/>
    <s v="Wax Castle Rock LLC "/>
    <s v="Castle Rock, CO 80108"/>
    <n v="80108"/>
    <x v="33"/>
    <x v="80"/>
    <s v="Q"/>
    <s v=""/>
    <s v=""/>
    <x v="3"/>
    <n v="0"/>
  </r>
  <r>
    <n v="310808.11"/>
    <n v="4208857010"/>
    <s v="Actual"/>
    <s v="Short Maturity"/>
    <n v="400"/>
    <x v="739"/>
    <n v="52426.16"/>
    <x v="38"/>
    <d v="2020-02-14T00:00:00"/>
    <n v="10.257534246575343"/>
    <d v="2030-03-15T00:00:00"/>
    <n v="121"/>
    <n v="111"/>
    <d v="2020-12-22T00:00:00"/>
    <s v="MLO, Enterprises, LLC  "/>
    <s v="Denham Springs, LA 70726"/>
    <n v="70726"/>
    <x v="20"/>
    <x v="80"/>
    <s v="Q"/>
    <s v=""/>
    <s v=""/>
    <x v="0"/>
    <n v="0"/>
  </r>
  <r>
    <n v="311166.11"/>
    <n v="4205347004"/>
    <s v="Actual"/>
    <s v="Short Maturity"/>
    <n v="400"/>
    <x v="740"/>
    <n v="350018.13"/>
    <x v="13"/>
    <d v="2020-01-28T00:00:00"/>
    <n v="10.126027397260273"/>
    <d v="2030-02-15T00:00:00"/>
    <n v="121"/>
    <n v="110"/>
    <d v="2020-12-01T00:00:00"/>
    <s v="Kalpesh P Solanki dba Best Ontario Inn "/>
    <s v="Ontario, CA 91762"/>
    <n v="91762"/>
    <x v="10"/>
    <x v="20"/>
    <s v="Q"/>
    <s v=""/>
    <s v=""/>
    <x v="5"/>
    <n v="0"/>
  </r>
  <r>
    <n v="310280.11"/>
    <n v="4117867007"/>
    <s v="Actual"/>
    <s v="Short Maturity"/>
    <n v="400"/>
    <x v="741"/>
    <n v="1994086.68"/>
    <x v="30"/>
    <d v="2019-12-20T00:00:00"/>
    <n v="11.408219178082192"/>
    <d v="2030-01-15T00:00:00"/>
    <n v="121"/>
    <n v="109"/>
    <d v="2020-12-01T00:00:00"/>
    <s v="Krystyna's Deli Inc."/>
    <s v="Mount Prospect, IL 60056"/>
    <n v="60056"/>
    <x v="3"/>
    <x v="74"/>
    <s v="Q"/>
    <s v=""/>
    <s v=""/>
    <x v="1"/>
    <n v="0"/>
  </r>
  <r>
    <n v="310282.11"/>
    <n v="4146837008"/>
    <s v="Actual"/>
    <s v="Short Maturity"/>
    <n v="400"/>
    <x v="742"/>
    <n v="699636.47"/>
    <x v="30"/>
    <d v="2019-12-20T00:00:00"/>
    <n v="11.408219178082192"/>
    <d v="2030-01-15T00:00:00"/>
    <n v="121"/>
    <n v="109"/>
    <d v="2020-12-01T00:00:00"/>
    <s v="Acuity Staffing Inc."/>
    <s v="Indianapolis, IN 46241"/>
    <n v="46241"/>
    <x v="39"/>
    <x v="195"/>
    <s v="Q"/>
    <s v=""/>
    <s v=""/>
    <x v="1"/>
    <n v="0"/>
  </r>
  <r>
    <n v="310291.11"/>
    <n v="4098607003"/>
    <s v="Actual"/>
    <s v="Short Maturity"/>
    <n v="400"/>
    <x v="743"/>
    <n v="348771.76"/>
    <x v="41"/>
    <d v="2019-12-27T00:00:00"/>
    <n v="11.133333333333333"/>
    <d v="2030-01-15T00:00:00"/>
    <n v="121"/>
    <n v="109"/>
    <d v="2020-12-01T00:00:00"/>
    <s v="WC Restaurant Enterprises LLC dba Which Wich Superior Sandwiches &amp; Pac"/>
    <s v="Tyler, TX 75703"/>
    <n v="75703"/>
    <x v="0"/>
    <x v="23"/>
    <s v="Q"/>
    <s v=""/>
    <s v=""/>
    <x v="2"/>
    <n v="0"/>
  </r>
  <r>
    <n v="310379.11"/>
    <n v="4118727002"/>
    <s v="Actual"/>
    <s v="Short Maturity"/>
    <n v="400"/>
    <x v="744"/>
    <n v="194716.95"/>
    <x v="5"/>
    <d v="2019-12-03T00:00:00"/>
    <n v="11.967123287671233"/>
    <d v="2030-01-15T00:00:00"/>
    <n v="121"/>
    <n v="109"/>
    <d v="2020-12-01T00:00:00"/>
    <s v="Myung Sushi Inc dba Hapa J's Kitchen &amp; Lounge"/>
    <s v="San Clemente, CA 92672"/>
    <n v="92672"/>
    <x v="10"/>
    <x v="3"/>
    <s v="Q"/>
    <s v=""/>
    <s v=""/>
    <x v="4"/>
    <n v="0"/>
  </r>
  <r>
    <n v="310386.11"/>
    <n v="4163277008"/>
    <s v="Actual"/>
    <s v="Short Maturity"/>
    <n v="400"/>
    <x v="745"/>
    <n v="703199.06"/>
    <x v="69"/>
    <d v="2019-12-23T00:00:00"/>
    <n v="11.30958904109589"/>
    <d v="2030-01-15T00:00:00"/>
    <n v="121"/>
    <n v="109"/>
    <d v="2020-12-01T00:00:00"/>
    <s v="Wildcat Inc, dba Wildcat Wine &amp; Spirits"/>
    <s v="Highlands Ranch, CO 80126"/>
    <n v="80126"/>
    <x v="33"/>
    <x v="51"/>
    <s v="Q"/>
    <s v=""/>
    <s v=""/>
    <x v="3"/>
    <n v="0"/>
  </r>
  <r>
    <n v="310387.11"/>
    <n v="4167867005"/>
    <s v="Actual"/>
    <s v="Short Maturity"/>
    <n v="400"/>
    <x v="746"/>
    <n v="292821.69"/>
    <x v="5"/>
    <d v="2019-12-26T00:00:00"/>
    <n v="11.243835616438357"/>
    <d v="2030-01-15T00:00:00"/>
    <n v="121"/>
    <n v="109"/>
    <d v="2020-12-02T00:00:00"/>
    <s v="Woosouk Joshua Mun dba Sharon Heights Cleaners"/>
    <s v="Menlo Park, CA 94025"/>
    <n v="94025"/>
    <x v="10"/>
    <x v="83"/>
    <s v="Q"/>
    <s v=""/>
    <s v=""/>
    <x v="4"/>
    <n v="0"/>
  </r>
  <r>
    <n v="310553.11"/>
    <n v="4157747000"/>
    <s v="Actual"/>
    <s v="Short Maturity"/>
    <n v="400"/>
    <x v="747"/>
    <n v="262230.24"/>
    <x v="10"/>
    <d v="2019-12-18T00:00:00"/>
    <n v="11.473972602739725"/>
    <d v="2030-01-15T00:00:00"/>
    <n v="121"/>
    <n v="109"/>
    <d v="2020-12-01T00:00:00"/>
    <s v="Prime for the Dime, Inc.and Zalik Inc."/>
    <s v="Brooklyn, NY 11230"/>
    <n v="11230"/>
    <x v="16"/>
    <x v="196"/>
    <s v="Q"/>
    <s v=""/>
    <s v=""/>
    <x v="5"/>
    <n v="0"/>
  </r>
  <r>
    <n v="310718.11"/>
    <n v="4151987001"/>
    <s v="Actual"/>
    <s v="Short Maturity"/>
    <n v="400"/>
    <x v="748"/>
    <n v="172963.86"/>
    <x v="30"/>
    <d v="2020-01-31T00:00:00"/>
    <n v="10.027397260273972"/>
    <d v="2030-02-15T00:00:00"/>
    <n v="121"/>
    <n v="110"/>
    <d v="2020-12-01T00:00:00"/>
    <s v="NOLA Transportation, Inc. "/>
    <s v="Houston, TX 77056"/>
    <n v="77056"/>
    <x v="0"/>
    <x v="114"/>
    <s v="Q"/>
    <s v=""/>
    <s v=""/>
    <x v="1"/>
    <n v="0"/>
  </r>
  <r>
    <n v="310704.11"/>
    <n v="4161957007"/>
    <s v="Actual"/>
    <s v="Short Maturity"/>
    <n v="400"/>
    <x v="749"/>
    <n v="126759.53"/>
    <x v="11"/>
    <d v="2020-01-21T00:00:00"/>
    <n v="10.389041095890411"/>
    <d v="2030-02-15T00:00:00"/>
    <n v="121"/>
    <n v="110"/>
    <d v="2020-12-02T00:00:00"/>
    <s v="Angelfish Enterprises Inc."/>
    <s v="San Diego, CA 92122"/>
    <n v="92122"/>
    <x v="10"/>
    <x v="197"/>
    <s v="Q"/>
    <s v=""/>
    <s v=""/>
    <x v="14"/>
    <n v="0"/>
  </r>
  <r>
    <n v="311712.11"/>
    <n v="4312287005"/>
    <s v="Actual"/>
    <s v="Short Maturity"/>
    <n v="400"/>
    <x v="750"/>
    <n v="81364.98"/>
    <x v="70"/>
    <d v="2020-04-01T00:00:00"/>
    <n v="8.0547945205479454"/>
    <d v="2030-05-15T00:00:00"/>
    <n v="121"/>
    <n v="113"/>
    <d v="2020-12-02T00:00:00"/>
    <s v="Optimal Solutions Inc."/>
    <s v="Santee, CA 92071"/>
    <n v="92071"/>
    <x v="10"/>
    <x v="106"/>
    <s v="Q"/>
    <s v=""/>
    <s v=""/>
    <x v="12"/>
    <n v="0"/>
  </r>
  <r>
    <n v="311722.11"/>
    <n v="4239687010"/>
    <s v="Actual"/>
    <s v="Short Maturity"/>
    <n v="400"/>
    <x v="751"/>
    <n v="107898.16"/>
    <x v="70"/>
    <d v="2020-03-04T00:00:00"/>
    <n v="8.9753424657534246"/>
    <d v="2030-04-15T00:00:00"/>
    <n v="121"/>
    <n v="112"/>
    <d v="2020-12-02T00:00:00"/>
    <s v="Tourmaline Birth &amp; Wellness Collective"/>
    <s v="San Diego, CA 92109"/>
    <n v="92109"/>
    <x v="10"/>
    <x v="101"/>
    <s v="Q"/>
    <s v=""/>
    <s v=""/>
    <x v="12"/>
    <n v="0"/>
  </r>
  <r>
    <n v="311724.11"/>
    <n v="3384837401"/>
    <s v="Actual"/>
    <s v="Short Maturity"/>
    <n v="400"/>
    <x v="752"/>
    <n v="123318.74"/>
    <x v="11"/>
    <d v="2020-05-19T00:00:00"/>
    <n v="6.4767123287671229"/>
    <d v="2030-06-15T00:00:00"/>
    <n v="121"/>
    <n v="114"/>
    <d v="2020-12-02T00:00:00"/>
    <s v="American Specialty Adhesive Products Inc."/>
    <s v="Canoga Park, CA 91304"/>
    <n v="91304"/>
    <x v="10"/>
    <x v="198"/>
    <s v="Q"/>
    <s v=""/>
    <s v=""/>
    <x v="14"/>
    <n v="0"/>
  </r>
  <r>
    <n v="311729.11"/>
    <n v="4326307010"/>
    <s v="Actual"/>
    <s v="Short Maturity"/>
    <n v="400"/>
    <x v="753"/>
    <n v="65643.240000000005"/>
    <x v="70"/>
    <d v="2020-05-28T00:00:00"/>
    <n v="6.1808219178082187"/>
    <d v="2030-07-15T00:00:00"/>
    <n v="122"/>
    <n v="115"/>
    <d v="2020-12-02T00:00:00"/>
    <s v="OB STATS Inc."/>
    <s v="Las Vegas, NV 89144"/>
    <n v="89144"/>
    <x v="40"/>
    <x v="199"/>
    <s v="Q"/>
    <s v=""/>
    <s v=""/>
    <x v="12"/>
    <n v="0"/>
  </r>
  <r>
    <n v="312195.11"/>
    <n v="9933888010"/>
    <s v="Actual"/>
    <s v="Short Maturity"/>
    <n v="400"/>
    <x v="754"/>
    <n v="83229.679999999993"/>
    <x v="11"/>
    <d v="2020-07-16T00:00:00"/>
    <n v="4.5698630136986296"/>
    <d v="2030-08-15T00:00:00"/>
    <n v="121"/>
    <n v="116"/>
    <d v="2020-12-02T00:00:00"/>
    <s v="Wolfgang International LLC"/>
    <s v="Manhattan Beach, CA 90266"/>
    <n v="90266"/>
    <x v="10"/>
    <x v="200"/>
    <s v="Q"/>
    <s v=""/>
    <s v=""/>
    <x v="14"/>
    <n v="0"/>
  </r>
  <r>
    <n v="312197.11"/>
    <n v="3846947002"/>
    <s v="Actual"/>
    <s v="Short Maturity"/>
    <n v="400"/>
    <x v="755"/>
    <n v="176825.18"/>
    <x v="18"/>
    <d v="2019-12-15T00:00:00"/>
    <n v="11.605479452054794"/>
    <d v="2030-01-15T00:00:00"/>
    <n v="121"/>
    <n v="109"/>
    <d v="2020-12-02T00:00:00"/>
    <s v="Tea Leaves &amp; Coffee Company LLC"/>
    <s v="Huntington Beach, CA 92647"/>
    <n v="92647"/>
    <x v="10"/>
    <x v="86"/>
    <s v="Q"/>
    <s v=""/>
    <s v=""/>
    <x v="15"/>
    <n v="0"/>
  </r>
  <r>
    <n v="312199.11"/>
    <n v="9785507405"/>
    <s v="Actual"/>
    <s v="Short Maturity"/>
    <n v="400"/>
    <x v="756"/>
    <n v="99159.52"/>
    <x v="70"/>
    <d v="2020-07-08T00:00:00"/>
    <n v="4.8328767123287673"/>
    <d v="2030-08-15T00:00:00"/>
    <n v="121"/>
    <n v="116"/>
    <d v="2020-12-02T00:00:00"/>
    <s v="The Switchboard Restaurant LLC"/>
    <s v="Oceanside, CA 92054"/>
    <n v="92054"/>
    <x v="10"/>
    <x v="3"/>
    <s v="Q"/>
    <s v=""/>
    <s v=""/>
    <x v="12"/>
    <n v="0"/>
  </r>
  <r>
    <n v="312439.11"/>
    <n v="4116037003"/>
    <s v="Actual"/>
    <s v="Short Maturity"/>
    <n v="400"/>
    <x v="757"/>
    <n v="65233.81"/>
    <x v="15"/>
    <d v="2020-03-17T00:00:00"/>
    <n v="9.0739726027397261"/>
    <d v="2030-04-15T00:00:00"/>
    <n v="121"/>
    <n v="112"/>
    <d v="2020-12-18T00:00:00"/>
    <s v="Bettina Giselle Alvarez"/>
    <s v="McDermitt, NV 89421"/>
    <n v="89421"/>
    <x v="40"/>
    <x v="73"/>
    <s v="Q"/>
    <s v=""/>
    <s v=""/>
    <x v="16"/>
    <n v="0"/>
  </r>
  <r>
    <n v="312440.11"/>
    <n v="1830647100"/>
    <s v="Actual"/>
    <s v="Short Maturity"/>
    <n v="400"/>
    <x v="758"/>
    <n v="86835.62"/>
    <x v="11"/>
    <d v="2020-06-17T00:00:00"/>
    <n v="5.5232876712328771"/>
    <d v="2030-07-15T00:00:00"/>
    <n v="121"/>
    <n v="115"/>
    <d v="2020-12-02T00:00:00"/>
    <s v="Mojdeh Abbasian DDS"/>
    <s v="San Diego, CA 92121"/>
    <n v="92121"/>
    <x v="10"/>
    <x v="6"/>
    <s v="Q"/>
    <s v=""/>
    <s v=""/>
    <x v="14"/>
    <n v="0"/>
  </r>
  <r>
    <n v="312441.11"/>
    <n v="4098757002"/>
    <s v="Actual"/>
    <s v="Short Maturity"/>
    <n v="400"/>
    <x v="759"/>
    <n v="59801.32"/>
    <x v="71"/>
    <d v="2020-03-20T00:00:00"/>
    <n v="8.4493150684931511"/>
    <d v="2030-04-15T00:00:00"/>
    <n v="121"/>
    <n v="112"/>
    <d v="2020-12-02T00:00:00"/>
    <s v="50/50 Juice Lounge LLC"/>
    <s v="Los Angeles, CA 90047"/>
    <n v="90047"/>
    <x v="10"/>
    <x v="86"/>
    <s v="Q"/>
    <s v=""/>
    <s v=""/>
    <x v="17"/>
    <n v="0"/>
  </r>
  <r>
    <n v="312442.11"/>
    <n v="6457757908"/>
    <s v="Actual"/>
    <s v="Short Maturity"/>
    <n v="400"/>
    <x v="760"/>
    <n v="99998.94"/>
    <x v="15"/>
    <d v="2020-07-14T00:00:00"/>
    <n v="4.6356164383561644"/>
    <d v="2030-08-15T00:00:00"/>
    <n v="121"/>
    <n v="116"/>
    <d v="2020-12-02T00:00:00"/>
    <s v="Kingstruction Inc."/>
    <s v="Solana Beach, CA 92075"/>
    <n v="92075"/>
    <x v="10"/>
    <x v="120"/>
    <s v="Q"/>
    <s v=""/>
    <s v=""/>
    <x v="16"/>
    <n v="0"/>
  </r>
  <r>
    <n v="312443.11"/>
    <n v="2986918106"/>
    <s v="Actual"/>
    <s v="Short Maturity"/>
    <n v="400"/>
    <x v="761"/>
    <n v="125122.3"/>
    <x v="11"/>
    <d v="2020-09-02T00:00:00"/>
    <n v="2.9917808219178084"/>
    <d v="2030-10-15T00:00:00"/>
    <n v="121"/>
    <n v="118"/>
    <d v="2020-12-02T00:00:00"/>
    <s v="Logan &amp; Sigsbee LLC"/>
    <s v="San Diego, CA 92113"/>
    <n v="92113"/>
    <x v="10"/>
    <x v="201"/>
    <s v="Q"/>
    <s v=""/>
    <s v=""/>
    <x v="14"/>
    <n v="0"/>
  </r>
  <r>
    <n v="312456.11"/>
    <n v="4156127000"/>
    <s v="Actual"/>
    <s v="Short Maturity"/>
    <n v="400"/>
    <x v="762"/>
    <n v="174192.41"/>
    <x v="70"/>
    <d v="2020-01-30T00:00:00"/>
    <n v="10.093150684931507"/>
    <d v="2030-03-15T00:00:00"/>
    <n v="122"/>
    <n v="111"/>
    <d v="2020-12-02T00:00:00"/>
    <s v="Qualitat Drywall LLC"/>
    <s v="Bonita, CA 91902"/>
    <n v="91902"/>
    <x v="10"/>
    <x v="202"/>
    <s v="Q"/>
    <s v=""/>
    <s v=""/>
    <x v="12"/>
    <n v="0"/>
  </r>
  <r>
    <n v="310699.11"/>
    <n v="4062367001"/>
    <s v="Actual"/>
    <s v="Short Maturity"/>
    <n v="400"/>
    <x v="763"/>
    <n v="125794.67"/>
    <x v="11"/>
    <d v="2019-12-16T00:00:00"/>
    <n v="11.605479452054794"/>
    <d v="2030-02-15T00:00:00"/>
    <n v="122"/>
    <n v="110"/>
    <d v="2020-12-03T00:00:00"/>
    <s v="Hop Secret Brewing Company LLC and Christopher M. Thomas"/>
    <s v="Monrovia, CA 91016"/>
    <n v="91016"/>
    <x v="10"/>
    <x v="12"/>
    <s v="Q"/>
    <s v=""/>
    <s v=""/>
    <x v="14"/>
    <n v="0"/>
  </r>
  <r>
    <n v="311368.11"/>
    <n v="4178807004"/>
    <s v="Actual"/>
    <s v="Short Maturity"/>
    <n v="400"/>
    <x v="764"/>
    <n v="126009.55"/>
    <x v="13"/>
    <d v="2020-01-14T00:00:00"/>
    <n v="10.586301369863014"/>
    <d v="2030-02-15T00:00:00"/>
    <n v="121"/>
    <n v="110"/>
    <d v="2020-12-01T00:00:00"/>
    <s v="Purpose Enterprises, Inc."/>
    <s v="Carmel, IN 46032"/>
    <n v="46032"/>
    <x v="39"/>
    <x v="203"/>
    <s v="Q"/>
    <s v=""/>
    <s v=""/>
    <x v="5"/>
    <n v="0"/>
  </r>
  <r>
    <n v="309588.11"/>
    <n v="3107177003"/>
    <s v="Actual"/>
    <s v="Short Maturity"/>
    <n v="400"/>
    <x v="765"/>
    <n v="251093.4"/>
    <x v="19"/>
    <d v="2018-12-05T00:00:00"/>
    <n v="24.098630136986301"/>
    <d v="2030-01-15T00:00:00"/>
    <n v="133"/>
    <n v="109"/>
    <d v="2020-12-07T00:00:00"/>
    <s v="Saraswati Investments, LLC"/>
    <s v="Amarillo, TX 79124"/>
    <n v="79124"/>
    <x v="0"/>
    <x v="0"/>
    <s v="Q"/>
    <s v=""/>
    <s v=""/>
    <x v="3"/>
    <n v="0"/>
  </r>
  <r>
    <n v="310211.11"/>
    <n v="3794997003"/>
    <s v="Actual"/>
    <s v="Short Maturity"/>
    <n v="400"/>
    <x v="766"/>
    <n v="666961.30000000005"/>
    <x v="38"/>
    <d v="2019-12-17T00:00:00"/>
    <n v="11.638356164383563"/>
    <d v="2030-01-15T00:00:00"/>
    <n v="121"/>
    <n v="109"/>
    <d v="2020-12-05T00:00:00"/>
    <s v="Skylark SL LLC"/>
    <s v="Brookfield, WI 53005"/>
    <n v="53005"/>
    <x v="15"/>
    <x v="10"/>
    <s v="Q"/>
    <s v=""/>
    <s v=""/>
    <x v="0"/>
    <n v="0"/>
  </r>
  <r>
    <n v="310404.11"/>
    <n v="4116337010"/>
    <s v="Actual"/>
    <s v="Short Maturity"/>
    <n v="400"/>
    <x v="767"/>
    <n v="446592.17"/>
    <x v="30"/>
    <d v="2019-12-05T00:00:00"/>
    <n v="12.098630136986301"/>
    <d v="2030-01-15T00:00:00"/>
    <n v="121"/>
    <n v="109"/>
    <d v="2020-12-07T00:00:00"/>
    <s v="CSP &amp; Associates, Inc."/>
    <s v="Lake Elmo, MN 55042"/>
    <n v="55042"/>
    <x v="24"/>
    <x v="39"/>
    <s v="Q"/>
    <s v=""/>
    <s v=""/>
    <x v="1"/>
    <n v="0"/>
  </r>
  <r>
    <n v="310532.11"/>
    <n v="4102157003"/>
    <s v="Actual"/>
    <s v="Short Maturity"/>
    <n v="400"/>
    <x v="768"/>
    <n v="773312.2"/>
    <x v="38"/>
    <d v="2020-01-09T00:00:00"/>
    <n v="10.84931506849315"/>
    <d v="2030-02-15T00:00:00"/>
    <n v="121"/>
    <n v="110"/>
    <d v="2020-12-04T00:00:00"/>
    <s v="South Arkansas Veterinary Hospital Inc., an Arkansas Corporation &amp; Gre"/>
    <s v="Arkadelphia, AR 71923"/>
    <n v="71923"/>
    <x v="25"/>
    <x v="30"/>
    <s v="Q"/>
    <s v=""/>
    <s v=""/>
    <x v="0"/>
    <n v="0"/>
  </r>
  <r>
    <n v="310616.11"/>
    <n v="3153127000"/>
    <s v="Actual"/>
    <s v="Short Maturity"/>
    <n v="400"/>
    <x v="769"/>
    <n v="1475068.58"/>
    <x v="69"/>
    <d v="2020-01-10T00:00:00"/>
    <n v="10.717808219178082"/>
    <d v="2030-02-15T00:00:00"/>
    <n v="121"/>
    <n v="110"/>
    <d v="2020-12-01T00:00:00"/>
    <s v="Urban Air Reynoldsburg LLC"/>
    <s v="Reynoldsburg, OH 43068"/>
    <n v="43068"/>
    <x v="9"/>
    <x v="10"/>
    <s v="Q"/>
    <s v=""/>
    <s v=""/>
    <x v="3"/>
    <n v="0"/>
  </r>
  <r>
    <n v="311046.11"/>
    <n v="4139437008"/>
    <s v="Actual"/>
    <s v="Short Maturity"/>
    <n v="400"/>
    <x v="770"/>
    <n v="1632113.78"/>
    <x v="72"/>
    <d v="2019-12-19T00:00:00"/>
    <n v="11.638356164383563"/>
    <d v="2030-01-15T00:00:00"/>
    <n v="121"/>
    <n v="109"/>
    <d v="2020-12-07T00:00:00"/>
    <s v="Ephlin Insurance Group Inc."/>
    <s v="Bartlett, TN 38133"/>
    <n v="38133"/>
    <x v="30"/>
    <x v="39"/>
    <s v="Q"/>
    <s v=""/>
    <s v=""/>
    <x v="18"/>
    <n v="0"/>
  </r>
  <r>
    <n v="311084.11"/>
    <n v="4175387003"/>
    <s v="Actual"/>
    <s v="Short Maturity"/>
    <n v="400"/>
    <x v="771"/>
    <n v="1589737.75"/>
    <x v="13"/>
    <d v="2020-01-07T00:00:00"/>
    <n v="11.013698630136986"/>
    <d v="2030-02-15T00:00:00"/>
    <n v="121"/>
    <n v="110"/>
    <d v="2020-12-07T00:00:00"/>
    <s v="Institute for Health LLC"/>
    <s v="Fort Mill, SC 29708"/>
    <n v="29708"/>
    <x v="22"/>
    <x v="73"/>
    <s v="Q"/>
    <s v=""/>
    <s v=""/>
    <x v="5"/>
    <n v="0"/>
  </r>
  <r>
    <n v="311165.11"/>
    <n v="4172047000"/>
    <s v="Actual"/>
    <s v="Short Maturity"/>
    <n v="400"/>
    <x v="772"/>
    <n v="35332.36"/>
    <x v="73"/>
    <d v="2020-01-28T00:00:00"/>
    <n v="10.915068493150685"/>
    <d v="2030-02-15T00:00:00"/>
    <n v="121"/>
    <n v="110"/>
    <d v="2020-12-25T00:00:00"/>
    <s v="Deez Trucking LLC "/>
    <s v="Fishkill, NY 12524"/>
    <n v="12524"/>
    <x v="16"/>
    <x v="62"/>
    <s v="Q"/>
    <s v=""/>
    <s v=""/>
    <x v="19"/>
    <n v="0"/>
  </r>
  <r>
    <n v="310828.11"/>
    <n v="4098207001"/>
    <s v="Actual"/>
    <s v="Short Maturity"/>
    <n v="400"/>
    <x v="773"/>
    <n v="2067296.98"/>
    <x v="69"/>
    <d v="2020-02-07T00:00:00"/>
    <n v="9.9287671232876722"/>
    <d v="2030-03-15T00:00:00"/>
    <n v="121"/>
    <n v="111"/>
    <d v="2020-12-05T00:00:00"/>
    <s v="H&amp;S Haddonfield Road LLC"/>
    <s v="Cherry Hill, NJ 08002"/>
    <n v="8002"/>
    <x v="13"/>
    <x v="80"/>
    <s v="Q"/>
    <s v=""/>
    <s v=""/>
    <x v="3"/>
    <n v="0"/>
  </r>
  <r>
    <n v="310614.11"/>
    <n v="4117817003"/>
    <s v="Actual"/>
    <s v="Short Maturity"/>
    <n v="400"/>
    <x v="774"/>
    <n v="759193.66"/>
    <x v="69"/>
    <d v="2020-01-08T00:00:00"/>
    <n v="11.013698630136986"/>
    <d v="2030-02-15T00:00:00"/>
    <n v="121"/>
    <n v="110"/>
    <d v="2020-12-08T00:00:00"/>
    <s v="Moulton Financial Group LLC"/>
    <s v="Carmel, IN 46032"/>
    <n v="46032"/>
    <x v="39"/>
    <x v="137"/>
    <s v="Q"/>
    <s v=""/>
    <s v=""/>
    <x v="3"/>
    <n v="0"/>
  </r>
  <r>
    <n v="310324.11"/>
    <n v="4111577002"/>
    <s v="Actual"/>
    <s v="Short Maturity"/>
    <n v="400"/>
    <x v="775"/>
    <n v="253432.06"/>
    <x v="41"/>
    <d v="2019-12-09T00:00:00"/>
    <n v="12.032876712328768"/>
    <d v="2030-07-15T00:00:00"/>
    <n v="127"/>
    <n v="115"/>
    <d v="2020-12-09T00:00:00"/>
    <s v="Politically Not Correct IT LLC"/>
    <s v="Soldotna, AK 99669"/>
    <n v="99669"/>
    <x v="26"/>
    <x v="204"/>
    <s v="Q"/>
    <s v=""/>
    <s v=""/>
    <x v="2"/>
    <n v="0"/>
  </r>
  <r>
    <n v="310382.11"/>
    <n v="4104927002"/>
    <s v="Actual"/>
    <s v="Short Maturity"/>
    <n v="400"/>
    <x v="776"/>
    <n v="165099.35"/>
    <x v="5"/>
    <d v="2019-11-22T00:00:00"/>
    <n v="12.591780821917808"/>
    <d v="2030-01-15T00:00:00"/>
    <n v="122"/>
    <n v="109"/>
    <d v="2020-12-09T00:00:00"/>
    <s v="RM Two Twenty Inc, dba Fuji Ya"/>
    <s v="Burbank, CA 91502"/>
    <n v="91502"/>
    <x v="10"/>
    <x v="3"/>
    <s v="Q"/>
    <s v=""/>
    <s v=""/>
    <x v="4"/>
    <n v="0"/>
  </r>
  <r>
    <n v="310710.11"/>
    <n v="3623627003"/>
    <s v="Actual"/>
    <s v="Short Maturity"/>
    <n v="400"/>
    <x v="777"/>
    <n v="237774.92"/>
    <x v="38"/>
    <d v="2020-01-13T00:00:00"/>
    <n v="10.882191780821918"/>
    <d v="2030-02-15T00:00:00"/>
    <n v="121"/>
    <n v="110"/>
    <d v="2020-12-09T00:00:00"/>
    <s v="EWC of Burlington, LLC "/>
    <s v="Burlington, NC 27215"/>
    <n v="27215"/>
    <x v="6"/>
    <x v="80"/>
    <s v="Q"/>
    <s v=""/>
    <s v=""/>
    <x v="0"/>
    <n v="0"/>
  </r>
  <r>
    <n v="312200.11"/>
    <n v="4260707008"/>
    <s v="Actual"/>
    <s v="Short Maturity"/>
    <n v="400"/>
    <x v="778"/>
    <n v="164375.5"/>
    <x v="15"/>
    <d v="2020-06-29T00:00:00"/>
    <n v="5.4246575342465748"/>
    <d v="2030-08-15T00:00:00"/>
    <n v="122"/>
    <n v="116"/>
    <d v="2020-12-11T00:00:00"/>
    <s v="Delgado ML Corp."/>
    <s v="El Cajon, CA 92020"/>
    <n v="92020"/>
    <x v="10"/>
    <x v="38"/>
    <s v="Q"/>
    <s v=""/>
    <s v=""/>
    <x v="16"/>
    <n v="0"/>
  </r>
  <r>
    <n v="309743.11"/>
    <n v="3774337007"/>
    <s v="Actual"/>
    <s v="Short Maturity"/>
    <n v="400"/>
    <x v="779"/>
    <n v="1406007.45"/>
    <x v="69"/>
    <d v="2019-06-14T00:00:00"/>
    <n v="17.063013698630137"/>
    <d v="2030-01-15T00:00:00"/>
    <n v="127"/>
    <n v="109"/>
    <d v="2020-11-14T00:00:00"/>
    <s v="Gravity Parks LLC"/>
    <s v="Knoxville, TN 37922"/>
    <n v="37922"/>
    <x v="30"/>
    <x v="10"/>
    <s v="Q"/>
    <s v=""/>
    <s v=""/>
    <x v="3"/>
    <n v="0"/>
  </r>
  <r>
    <n v="310663.11"/>
    <n v="4132447008"/>
    <s v="Actual"/>
    <s v="Short Maturity"/>
    <n v="400"/>
    <x v="780"/>
    <n v="503572.24"/>
    <x v="10"/>
    <d v="2019-12-16T00:00:00"/>
    <n v="11.967123287671233"/>
    <d v="2030-01-15T00:00:00"/>
    <n v="121"/>
    <n v="109"/>
    <d v="2020-12-14T00:00:00"/>
    <s v="IDISI Renaissance, Inc."/>
    <s v="Nashville, TN 37209"/>
    <n v="37209"/>
    <x v="30"/>
    <x v="205"/>
    <s v="Q"/>
    <s v=""/>
    <s v=""/>
    <x v="5"/>
    <n v="0"/>
  </r>
  <r>
    <n v="312316.11"/>
    <n v="1924958107"/>
    <s v="Actual"/>
    <s v="Short Maturity"/>
    <n v="400"/>
    <x v="781"/>
    <n v="118201.22"/>
    <x v="34"/>
    <d v="2020-08-18T00:00:00"/>
    <n v="3.9123287671232876"/>
    <d v="2030-09-15T00:00:00"/>
    <n v="121"/>
    <n v="117"/>
    <d v="2020-12-15T00:00:00"/>
    <s v="CGJE LLC dba Honeycutt Family Practice"/>
    <s v="Altamonte Springs, FL 32714"/>
    <n v="32714"/>
    <x v="1"/>
    <x v="73"/>
    <s v="Q"/>
    <s v=""/>
    <s v=""/>
    <x v="20"/>
    <n v="0"/>
  </r>
  <r>
    <n v="310617.11"/>
    <n v="4142347006"/>
    <s v="Actual"/>
    <s v="Short Maturity"/>
    <n v="400"/>
    <x v="782"/>
    <n v="2474475.5"/>
    <x v="69"/>
    <d v="2020-01-17T00:00:00"/>
    <n v="11.013698630136986"/>
    <d v="2030-02-15T00:00:00"/>
    <n v="121"/>
    <n v="110"/>
    <d v="2020-12-17T00:00:00"/>
    <s v="Integral Recoveries Inc"/>
    <s v="Englewood, CO 80110"/>
    <n v="80110"/>
    <x v="33"/>
    <x v="206"/>
    <s v="Q"/>
    <s v=""/>
    <s v=""/>
    <x v="3"/>
    <n v="0"/>
  </r>
  <r>
    <n v="310618.11"/>
    <n v="4157947001"/>
    <s v="Actual"/>
    <s v="Short Maturity"/>
    <n v="400"/>
    <x v="783"/>
    <n v="627299.07999999996"/>
    <x v="38"/>
    <d v="2020-01-17T00:00:00"/>
    <n v="10.027397260273972"/>
    <d v="2030-02-15T00:00:00"/>
    <n v="121"/>
    <n v="110"/>
    <d v="2020-11-17T00:00:00"/>
    <s v="Dawson Management Group"/>
    <s v="Indianapolis, IN 46256"/>
    <n v="46256"/>
    <x v="39"/>
    <x v="114"/>
    <s v="Q"/>
    <s v=""/>
    <s v=""/>
    <x v="0"/>
    <n v="0"/>
  </r>
  <r>
    <n v="310327.11"/>
    <n v="4096477008"/>
    <s v="Actual"/>
    <s v="Short Maturity"/>
    <n v="400"/>
    <x v="784"/>
    <n v="886804.49"/>
    <x v="38"/>
    <d v="2019-12-18T00:00:00"/>
    <n v="12.032876712328768"/>
    <d v="2030-01-15T00:00:00"/>
    <n v="121"/>
    <n v="109"/>
    <d v="2020-12-18T00:00:00"/>
    <s v="AA Greece LLC"/>
    <s v="Rochester, NY 14626"/>
    <n v="14626"/>
    <x v="16"/>
    <x v="86"/>
    <s v="Q"/>
    <s v=""/>
    <s v=""/>
    <x v="0"/>
    <n v="0"/>
  </r>
  <r>
    <n v="310408.11"/>
    <n v="4118317008"/>
    <s v="Actual"/>
    <s v="Short Maturity"/>
    <n v="400"/>
    <x v="785"/>
    <n v="378727.28"/>
    <x v="30"/>
    <d v="2019-12-02T00:00:00"/>
    <n v="12.493150684931507"/>
    <d v="2030-01-15T00:00:00"/>
    <n v="121"/>
    <n v="109"/>
    <d v="2020-12-16T00:00:00"/>
    <s v="CAV Partners LLC"/>
    <s v="Las Vegas, NV 89109"/>
    <n v="89109"/>
    <x v="40"/>
    <x v="88"/>
    <s v="Q"/>
    <s v=""/>
    <s v=""/>
    <x v="1"/>
    <n v="0"/>
  </r>
  <r>
    <n v="310607.11"/>
    <n v="3300707009"/>
    <s v="Actual"/>
    <s v="Short Maturity"/>
    <n v="400"/>
    <x v="786"/>
    <n v="218286.15"/>
    <x v="38"/>
    <d v="2020-01-25T00:00:00"/>
    <n v="10.882191780821918"/>
    <d v="2030-02-15T00:00:00"/>
    <n v="121"/>
    <n v="110"/>
    <d v="2020-12-21T00:00:00"/>
    <s v="PSG Metuchen S1, LLC"/>
    <s v="Metuchen, NJ 08840"/>
    <n v="8840"/>
    <x v="13"/>
    <x v="76"/>
    <s v="Q"/>
    <s v=""/>
    <s v=""/>
    <x v="0"/>
    <n v="0"/>
  </r>
  <r>
    <n v="309487.11"/>
    <n v="3884217007"/>
    <s v="Actual"/>
    <s v="Short Maturity"/>
    <n v="400"/>
    <x v="787"/>
    <n v="212053.75"/>
    <x v="13"/>
    <d v="2019-08-02T00:00:00"/>
    <n v="16.533333333333331"/>
    <d v="2030-01-15T00:00:00"/>
    <n v="125"/>
    <n v="109"/>
    <d v="2020-12-18T00:00:00"/>
    <s v="Masslex LLC"/>
    <s v="Lexington, MA 02420"/>
    <n v="2420"/>
    <x v="4"/>
    <x v="3"/>
    <s v="Q"/>
    <s v=""/>
    <s v=""/>
    <x v="2"/>
    <n v="0"/>
  </r>
  <r>
    <n v="311490.11"/>
    <n v="3164147208"/>
    <s v="Actual"/>
    <s v="Short Maturity"/>
    <n v="400"/>
    <x v="788"/>
    <n v="180160.67"/>
    <x v="74"/>
    <d v="2020-05-19T00:00:00"/>
    <n v="7.0666666666666664"/>
    <d v="2030-06-15T00:00:00"/>
    <n v="121"/>
    <n v="114"/>
    <d v="2020-12-21T00:00:00"/>
    <s v="CMC Pharmaceuticals, Inc."/>
    <s v="Solon, OH 44139"/>
    <n v="44139"/>
    <x v="9"/>
    <x v="207"/>
    <s v="Q"/>
    <s v=""/>
    <s v=""/>
    <x v="16"/>
    <n v="0"/>
  </r>
  <r>
    <n v="310651.11"/>
    <n v="4142127010"/>
    <s v="Actual"/>
    <s v="Short Maturity"/>
    <n v="400"/>
    <x v="789"/>
    <n v="605862.18000000005"/>
    <x v="30"/>
    <d v="2020-01-24T00:00:00"/>
    <n v="10.980821917808219"/>
    <d v="2030-02-15T00:00:00"/>
    <n v="121"/>
    <n v="110"/>
    <d v="2020-12-23T00:00:00"/>
    <s v="Environmental Services Inc."/>
    <s v="Portland, OR 97202"/>
    <n v="97202"/>
    <x v="21"/>
    <x v="208"/>
    <s v="Q"/>
    <s v=""/>
    <s v=""/>
    <x v="1"/>
    <n v="0"/>
  </r>
  <r>
    <n v="311418.11"/>
    <n v="4282817007"/>
    <s v="Actual"/>
    <s v="Short Maturity"/>
    <n v="400"/>
    <x v="790"/>
    <n v="564521.72"/>
    <x v="4"/>
    <d v="2020-03-23T00:00:00"/>
    <n v="9.008219178082193"/>
    <d v="2030-04-15T00:00:00"/>
    <n v="121"/>
    <n v="112"/>
    <d v="2020-12-22T00:00:00"/>
    <s v="SBCR Spirits Inc."/>
    <s v="Trumbull, CT 06611"/>
    <n v="6611"/>
    <x v="36"/>
    <x v="51"/>
    <s v="Q"/>
    <s v=""/>
    <s v=""/>
    <x v="4"/>
    <n v="0"/>
  </r>
  <r>
    <n v="310225.11"/>
    <n v="4108447008"/>
    <s v="Actual"/>
    <s v="Short Maturity"/>
    <n v="400"/>
    <x v="791"/>
    <n v="360393.23"/>
    <x v="38"/>
    <d v="2019-12-11T00:00:00"/>
    <n v="12.394520547945206"/>
    <d v="2030-01-15T00:00:00"/>
    <n v="121"/>
    <n v="109"/>
    <d v="2020-12-22T00:00:00"/>
    <s v="Lance Enterprises, Incorporated"/>
    <s v="San Carlos, CA 94070"/>
    <n v="94070"/>
    <x v="10"/>
    <x v="1"/>
    <s v="Q"/>
    <s v=""/>
    <s v=""/>
    <x v="0"/>
    <n v="0"/>
  </r>
  <r>
    <n v="310524.11"/>
    <n v="4186447003"/>
    <s v="Actual"/>
    <s v="Short Maturity"/>
    <n v="400"/>
    <x v="792"/>
    <n v="3634203.96"/>
    <x v="75"/>
    <d v="2020-01-14T00:00:00"/>
    <n v="11.243835616438357"/>
    <d v="2030-02-15T00:00:00"/>
    <n v="121"/>
    <n v="110"/>
    <d v="2020-12-21T00:00:00"/>
    <s v="Karlsburger Foods, Inc."/>
    <s v="Monticello, MN 55362"/>
    <n v="55362"/>
    <x v="24"/>
    <x v="178"/>
    <s v="Q"/>
    <s v=""/>
    <s v=""/>
    <x v="5"/>
    <n v="0"/>
  </r>
  <r>
    <n v="310325.11"/>
    <n v="4098027006"/>
    <s v="Actual"/>
    <s v="Short Maturity"/>
    <n v="400"/>
    <x v="793"/>
    <n v="927966.55"/>
    <x v="38"/>
    <d v="2019-12-31T00:00:00"/>
    <n v="11.868493150684932"/>
    <d v="2030-01-15T00:00:00"/>
    <n v="121"/>
    <n v="109"/>
    <d v="2020-12-26T00:00:00"/>
    <s v="Dennis Piper &amp; Associates P.C. "/>
    <s v="Pittsburgh, PA 15238"/>
    <n v="15238"/>
    <x v="11"/>
    <x v="60"/>
    <s v="Q"/>
    <s v=""/>
    <s v=""/>
    <x v="0"/>
    <n v="0"/>
  </r>
  <r>
    <n v="310829.11"/>
    <n v="4206897007"/>
    <s v="Actual"/>
    <s v="Short Maturity"/>
    <n v="400"/>
    <x v="794"/>
    <n v="238081.01"/>
    <x v="41"/>
    <d v="2020-01-29T00:00:00"/>
    <n v="11.145205479452054"/>
    <d v="2030-02-15T00:00:00"/>
    <n v="121"/>
    <n v="110"/>
    <d v="2021-01-02T00:00:00"/>
    <s v="MCWS Law PLLC"/>
    <s v="Black Diamond, WA 98010"/>
    <n v="98010"/>
    <x v="14"/>
    <x v="37"/>
    <s v="Q"/>
    <s v=""/>
    <s v=""/>
    <x v="2"/>
    <n v="0"/>
  </r>
  <r>
    <n v="310326.11"/>
    <n v="4104587007"/>
    <s v="Actual"/>
    <s v="Short Maturity"/>
    <n v="400"/>
    <x v="795"/>
    <n v="429643.45"/>
    <x v="3"/>
    <d v="2019-12-06T00:00:00"/>
    <n v="14.597260273972605"/>
    <d v="2030-01-15T00:00:00"/>
    <n v="121"/>
    <n v="109"/>
    <d v="2021-02-22T00:00:00"/>
    <s v="JB Adams Designs LLC"/>
    <s v="Indianapolis, IN 46268"/>
    <n v="46268"/>
    <x v="39"/>
    <x v="114"/>
    <s v="Q"/>
    <s v=""/>
    <s v=""/>
    <x v="0"/>
    <n v="0"/>
  </r>
  <r>
    <n v="310045.11"/>
    <n v="3845397001"/>
    <s v="Actual"/>
    <s v="Short Maturity"/>
    <n v="400"/>
    <x v="796"/>
    <n v="586211.35"/>
    <x v="5"/>
    <d v="2019-07-29T00:00:00"/>
    <n v="17.81917808219178"/>
    <d v="2030-02-15T00:00:00"/>
    <n v="127"/>
    <n v="110"/>
    <d v="2021-01-21T00:00:00"/>
    <s v="Y &amp; J Company"/>
    <s v="Vancover, WA 98665-8907"/>
    <n v="8907"/>
    <x v="14"/>
    <x v="3"/>
    <s v="Q"/>
    <s v=""/>
    <s v=""/>
    <x v="4"/>
    <n v="0"/>
  </r>
  <r>
    <n v="310365.11"/>
    <n v="4142887004"/>
    <s v="Actual"/>
    <s v="Short Maturity"/>
    <n v="400"/>
    <x v="797"/>
    <n v="497935.57"/>
    <x v="30"/>
    <d v="2019-12-31T00:00:00"/>
    <n v="12.953424657534246"/>
    <d v="2030-01-15T00:00:00"/>
    <n v="121"/>
    <n v="109"/>
    <d v="2021-01-28T00:00:00"/>
    <s v="Bala Fitness of Jerome, LLC"/>
    <s v="Bronx, NY 10452"/>
    <n v="10452"/>
    <x v="16"/>
    <x v="1"/>
    <s v="Q"/>
    <s v=""/>
    <s v=""/>
    <x v="1"/>
    <n v="0"/>
  </r>
  <r>
    <m/>
    <n v="4165647005"/>
    <m/>
    <m/>
    <m/>
    <x v="798"/>
    <n v="658898.30000000005"/>
    <x v="13"/>
    <d v="2019-12-24T00:00:00"/>
    <n v="11.934246575342467"/>
    <d v="2045-01-09T00:00:00"/>
    <n v="304.93333333333334"/>
    <n v="292.99908675799088"/>
    <d v="2020-12-21T00:00:00"/>
    <s v="BARNUEVO GIULIANO"/>
    <s v="Whittier"/>
    <n v="90604"/>
    <x v="10"/>
    <x v="155"/>
    <m/>
    <m/>
    <m/>
    <x v="8"/>
    <n v="0.05"/>
  </r>
  <r>
    <m/>
    <n v="4288767006"/>
    <m/>
    <m/>
    <m/>
    <x v="799"/>
    <n v="885687.89"/>
    <x v="76"/>
    <d v="2020-03-24T00:00:00"/>
    <n v="8.2849315068493148"/>
    <d v="2045-03-24T00:00:00"/>
    <n v="304.36666666666667"/>
    <n v="296.08173515981736"/>
    <d v="2020-12-01T00:00:00"/>
    <s v="LEP2020 LLC "/>
    <s v="Rosemead"/>
    <n v="91770"/>
    <x v="10"/>
    <x v="8"/>
    <m/>
    <m/>
    <m/>
    <x v="21"/>
    <n v="0.05"/>
  </r>
  <r>
    <m/>
    <n v="2820507007"/>
    <m/>
    <m/>
    <m/>
    <x v="800"/>
    <n v="198556.48"/>
    <x v="23"/>
    <d v="2018-08-10T00:00:00"/>
    <n v="27.945205479452056"/>
    <d v="2043-12-14T00:00:00"/>
    <n v="308.56666666666666"/>
    <n v="280.62146118721461"/>
    <d v="2020-12-07T00:00:00"/>
    <s v="44443 16th St LLC"/>
    <s v="Lancaster"/>
    <n v="93534"/>
    <x v="10"/>
    <x v="6"/>
    <m/>
    <m/>
    <m/>
    <x v="22"/>
    <n v="0.01"/>
  </r>
  <r>
    <m/>
    <n v="8477888207"/>
    <m/>
    <m/>
    <m/>
    <x v="801"/>
    <n v="2094000"/>
    <x v="15"/>
    <d v="2020-11-02T00:00:00"/>
    <n v="0.95342465753424666"/>
    <d v="2045-11-05T00:00:00"/>
    <n v="304.46666666666664"/>
    <n v="303.5132420091324"/>
    <d v="2020-12-01T00:00:00"/>
    <s v="Novatek LLC"/>
    <s v="Camarillo"/>
    <n v="93012"/>
    <x v="10"/>
    <x v="209"/>
    <m/>
    <m/>
    <m/>
    <x v="3"/>
    <n v="0.05"/>
  </r>
  <r>
    <m/>
    <n v="3171037208"/>
    <m/>
    <m/>
    <m/>
    <x v="802"/>
    <n v="1045884.53"/>
    <x v="77"/>
    <d v="2020-06-09T00:00:00"/>
    <n v="6.3123287671232866"/>
    <d v="2045-06-09T00:00:00"/>
    <n v="304.36666666666667"/>
    <n v="298.05433789954338"/>
    <d v="2020-12-18T00:00:00"/>
    <s v="205 Coldren LLC"/>
    <s v="Fayette City"/>
    <n v="15438"/>
    <x v="11"/>
    <x v="201"/>
    <m/>
    <m/>
    <m/>
    <x v="2"/>
    <n v="0.05"/>
  </r>
  <r>
    <m/>
    <n v="6283538210"/>
    <m/>
    <m/>
    <m/>
    <x v="803"/>
    <n v="2859836.99"/>
    <x v="4"/>
    <d v="2020-08-19T00:00:00"/>
    <n v="3.419178082191781"/>
    <d v="2045-08-31T00:00:00"/>
    <n v="304.76666666666665"/>
    <n v="301.34748858447489"/>
    <d v="2020-12-01T00:00:00"/>
    <s v="Mid Valley Auto Body and Repair"/>
    <s v="Thousand Oaks"/>
    <n v="91362"/>
    <x v="10"/>
    <x v="8"/>
    <m/>
    <m/>
    <m/>
    <x v="7"/>
    <n v="0.05"/>
  </r>
  <r>
    <m/>
    <n v="7700678202"/>
    <m/>
    <m/>
    <m/>
    <x v="804"/>
    <n v="912759.64"/>
    <x v="11"/>
    <d v="2020-09-03T00:00:00"/>
    <n v="3.1890410958904112"/>
    <d v="2045-09-10T00:00:00"/>
    <n v="304.60000000000002"/>
    <n v="301.41095890410963"/>
    <d v="2020-12-09T00:00:00"/>
    <s v="JJ Liquor"/>
    <s v="Bakersfield"/>
    <n v="93314"/>
    <x v="10"/>
    <x v="28"/>
    <m/>
    <m/>
    <m/>
    <x v="5"/>
    <n v="0.05"/>
  </r>
  <r>
    <m/>
    <n v="8271548204"/>
    <m/>
    <m/>
    <m/>
    <x v="805"/>
    <n v="1870753.3"/>
    <x v="23"/>
    <d v="2020-09-18T00:00:00"/>
    <n v="2.6958904109589041"/>
    <d v="2045-09-25T00:00:00"/>
    <n v="304.60000000000002"/>
    <n v="301.90410958904113"/>
    <d v="2020-12-09T00:00:00"/>
    <s v="Dino Station #3"/>
    <s v="Compton"/>
    <n v="90220"/>
    <x v="10"/>
    <x v="4"/>
    <m/>
    <m/>
    <m/>
    <x v="22"/>
    <n v="0.05"/>
  </r>
  <r>
    <m/>
    <n v="8580418204"/>
    <m/>
    <m/>
    <m/>
    <x v="806"/>
    <n v="516601.45"/>
    <x v="23"/>
    <d v="2020-10-14T00:00:00"/>
    <n v="1.5780821917808217"/>
    <d v="2045-10-14T00:00:00"/>
    <n v="304.36666666666667"/>
    <n v="302.78858447488585"/>
    <d v="2020-12-01T00:00:00"/>
    <s v="Kids R Here Enterprises Inc"/>
    <s v="Spring"/>
    <n v="77373"/>
    <x v="0"/>
    <x v="0"/>
    <m/>
    <m/>
    <m/>
    <x v="22"/>
    <n v="0.05"/>
  </r>
  <r>
    <m/>
    <n v="1340867006"/>
    <m/>
    <m/>
    <m/>
    <x v="807"/>
    <n v="1096586.1000000001"/>
    <x v="11"/>
    <d v="2017-11-14T00:00:00"/>
    <n v="36.821917808219176"/>
    <d v="2043-11-14T00:00:00"/>
    <n v="316.53333333333336"/>
    <n v="279.71141552511421"/>
    <d v="2020-12-08T00:00:00"/>
    <s v="Pacific Foothills LLC and Pacific Horizon Bancorp Inc"/>
    <s v="La Crescenta"/>
    <n v="91214"/>
    <x v="10"/>
    <x v="172"/>
    <m/>
    <m/>
    <m/>
    <x v="5"/>
    <n v="0"/>
  </r>
  <r>
    <m/>
    <n v="4149507009"/>
    <m/>
    <m/>
    <m/>
    <x v="808"/>
    <n v="276714.26"/>
    <x v="11"/>
    <d v="2019-12-18T00:00:00"/>
    <n v="12.591780821917808"/>
    <d v="2044-12-18T00:00:00"/>
    <n v="304.39999999999998"/>
    <n v="291.80821917808214"/>
    <d v="2021-01-04T00:00:00"/>
    <s v="Armando Garcia"/>
    <s v="San Diego"/>
    <n v="92154"/>
    <x v="10"/>
    <x v="68"/>
    <m/>
    <m/>
    <m/>
    <x v="5"/>
    <n v="0.03"/>
  </r>
  <r>
    <m/>
    <n v="4238887009"/>
    <m/>
    <m/>
    <m/>
    <x v="809"/>
    <n v="698400"/>
    <x v="11"/>
    <d v="2020-02-14T00:00:00"/>
    <n v="11.210958904109589"/>
    <d v="2045-02-14T00:00:00"/>
    <n v="304.39999999999998"/>
    <n v="293.18904109589039"/>
    <d v="2021-01-20T00:00:00"/>
    <s v="Left Coast Etcetera LLC &amp; Park-Tours Inc"/>
    <s v="Escondido"/>
    <n v="92025"/>
    <x v="10"/>
    <x v="210"/>
    <m/>
    <m/>
    <m/>
    <x v="5"/>
    <n v="0.05"/>
  </r>
  <r>
    <m/>
    <n v="8353318209"/>
    <m/>
    <m/>
    <m/>
    <x v="598"/>
    <n v="699846.81"/>
    <x v="13"/>
    <d v="2020-09-22T00:00:00"/>
    <n v="2.4328767123287669"/>
    <d v="2045-09-22T00:00:00"/>
    <n v="304.36666666666667"/>
    <n v="301.9337899543379"/>
    <d v="2020-12-05T00:00:00"/>
    <s v="Nela Development 1 LLC"/>
    <s v="Los Angeles"/>
    <n v="90042"/>
    <x v="10"/>
    <x v="22"/>
    <m/>
    <m/>
    <m/>
    <x v="8"/>
    <n v="0.05"/>
  </r>
  <r>
    <m/>
    <n v="8534548207"/>
    <m/>
    <m/>
    <m/>
    <x v="810"/>
    <n v="480629.93"/>
    <x v="11"/>
    <d v="2020-10-06T00:00:00"/>
    <n v="2.0383561643835617"/>
    <d v="2045-10-06T00:00:00"/>
    <n v="304.36666666666667"/>
    <n v="302.3283105022831"/>
    <d v="2020-12-07T00:00:00"/>
    <s v="S and S Trailers LLC"/>
    <s v="Riverside"/>
    <n v="92501"/>
    <x v="10"/>
    <x v="158"/>
    <m/>
    <m/>
    <m/>
    <x v="5"/>
    <n v="0.05"/>
  </r>
  <r>
    <m/>
    <n v="8586908210"/>
    <m/>
    <m/>
    <m/>
    <x v="811"/>
    <n v="1323603.8999999999"/>
    <x v="11"/>
    <d v="2020-10-13T00:00:00"/>
    <n v="1.8082191780821917"/>
    <d v="2045-10-13T00:00:00"/>
    <n v="304.36666666666667"/>
    <n v="302.55844748858448"/>
    <d v="2020-12-07T00:00:00"/>
    <s v="Caliber Car Wash Group Inc."/>
    <s v="Moreno Valley"/>
    <n v="92553"/>
    <x v="10"/>
    <x v="211"/>
    <m/>
    <m/>
    <m/>
    <x v="5"/>
    <n v="0.05"/>
  </r>
  <r>
    <m/>
    <n v="8872138205"/>
    <m/>
    <m/>
    <m/>
    <x v="812"/>
    <n v="455775"/>
    <x v="11"/>
    <d v="2020-10-28T00:00:00"/>
    <n v="1.3150684931506849"/>
    <d v="2045-10-28T00:00:00"/>
    <n v="304.36666666666667"/>
    <n v="303.05159817351597"/>
    <d v="2020-12-07T00:00:00"/>
    <s v="Jonathan L Dabbah"/>
    <s v="San Diego"/>
    <n v="92154"/>
    <x v="10"/>
    <x v="196"/>
    <m/>
    <m/>
    <m/>
    <x v="5"/>
    <n v="0.05"/>
  </r>
  <r>
    <m/>
    <n v="8241738201"/>
    <m/>
    <m/>
    <m/>
    <x v="813"/>
    <n v="218619.73"/>
    <x v="18"/>
    <d v="2020-10-28T00:00:00"/>
    <n v="1.4136986301369863"/>
    <d v="2045-10-28T00:00:00"/>
    <n v="304.36666666666667"/>
    <n v="302.95296803652968"/>
    <d v="2020-12-10T00:00:00"/>
    <s v="Moyers Holdings"/>
    <s v="Spring"/>
    <n v="77380"/>
    <x v="0"/>
    <x v="80"/>
    <m/>
    <m/>
    <m/>
    <x v="6"/>
    <n v="0.05"/>
  </r>
  <r>
    <m/>
    <n v="3555287005"/>
    <m/>
    <m/>
    <m/>
    <x v="814"/>
    <n v="1143473.9099999999"/>
    <x v="18"/>
    <d v="2019-03-20T00:00:00"/>
    <n v="20.712328767123289"/>
    <d v="2044-04-29T00:00:00"/>
    <n v="305.73333333333335"/>
    <n v="285.02100456621008"/>
    <d v="2020-12-09T00:00:00"/>
    <s v="Salem Shell"/>
    <s v="Salem"/>
    <n v="97305"/>
    <x v="21"/>
    <x v="4"/>
    <m/>
    <m/>
    <m/>
    <x v="6"/>
    <n v="0.03"/>
  </r>
  <r>
    <m/>
    <n v="8254798207"/>
    <m/>
    <m/>
    <m/>
    <x v="815"/>
    <n v="256646.54"/>
    <x v="15"/>
    <d v="2020-09-17T00:00:00"/>
    <n v="2.7287671232876711"/>
    <d v="2045-09-17T00:00:00"/>
    <n v="304.36666666666667"/>
    <n v="301.63789954337898"/>
    <d v="2020-12-09T00:00:00"/>
    <s v="MBLL PROPERTY LLC"/>
    <s v="LANSING"/>
    <n v="48911"/>
    <x v="8"/>
    <x v="48"/>
    <m/>
    <m/>
    <m/>
    <x v="3"/>
    <n v="0.05"/>
  </r>
  <r>
    <m/>
    <n v="8842758202"/>
    <m/>
    <m/>
    <m/>
    <x v="816"/>
    <n v="105000"/>
    <x v="23"/>
    <d v="2020-10-29T00:00:00"/>
    <n v="1.2164383561643834"/>
    <d v="2045-10-29T00:00:00"/>
    <n v="304.36666666666667"/>
    <n v="303.15022831050231"/>
    <d v="2020-12-05T00:00:00"/>
    <s v="ARDESHIR RAGHIAN DDS_x000a_PC"/>
    <s v="WINNETKA"/>
    <n v="60093"/>
    <x v="3"/>
    <x v="6"/>
    <m/>
    <m/>
    <m/>
    <x v="22"/>
    <n v="0.05"/>
  </r>
  <r>
    <m/>
    <n v="3700507007"/>
    <m/>
    <m/>
    <m/>
    <x v="817"/>
    <n v="353733.02"/>
    <x v="77"/>
    <d v="2019-05-07T00:00:00"/>
    <n v="20.12054794520548"/>
    <d v="2045-05-07T00:00:00"/>
    <n v="316.56666666666666"/>
    <n v="296.44611872146118"/>
    <d v="2021-01-08T00:00:00"/>
    <s v="Melver Enterprises, Inc."/>
    <s v="Battle Mtn"/>
    <n v="89820"/>
    <x v="40"/>
    <x v="23"/>
    <m/>
    <m/>
    <m/>
    <x v="2"/>
    <n v="0.03"/>
  </r>
  <r>
    <m/>
    <n v="3414427006"/>
    <m/>
    <m/>
    <m/>
    <x v="818"/>
    <n v="2213214.8199999998"/>
    <x v="11"/>
    <d v="2019-05-31T00:00:00"/>
    <n v="19.002739726027396"/>
    <d v="2045-05-31T00:00:00"/>
    <n v="316.56666666666666"/>
    <n v="297.56392694063925"/>
    <d v="2020-12-29T00:00:00"/>
    <s v="VIP Quick Carwash and Lube, Inc."/>
    <s v="Hesperia"/>
    <n v="92345"/>
    <x v="10"/>
    <x v="16"/>
    <m/>
    <m/>
    <m/>
    <x v="5"/>
    <n v="0.03"/>
  </r>
  <r>
    <m/>
    <n v="9173328209"/>
    <m/>
    <m/>
    <m/>
    <x v="819"/>
    <n v="273750"/>
    <x v="11"/>
    <d v="2020-11-24T00:00:00"/>
    <n v="0.92054794520547945"/>
    <d v="2045-11-24T00:00:00"/>
    <n v="304.36666666666667"/>
    <n v="303.44611872146118"/>
    <d v="2020-12-22T00:00:00"/>
    <s v="David &amp; Adriana Enterprises LLC"/>
    <s v="Los Angeles"/>
    <n v="90003"/>
    <x v="10"/>
    <x v="212"/>
    <m/>
    <m/>
    <m/>
    <x v="5"/>
    <n v="0.05"/>
  </r>
  <r>
    <m/>
    <n v="9190498205"/>
    <m/>
    <m/>
    <m/>
    <x v="820"/>
    <n v="2013750"/>
    <x v="18"/>
    <d v="2020-12-01T00:00:00"/>
    <n v="0.69041095890410964"/>
    <d v="2045-12-01T00:00:00"/>
    <n v="304.36666666666667"/>
    <n v="303.67625570776255"/>
    <d v="2020-12-22T00:00:00"/>
    <s v="Sande Corporation"/>
    <s v="Mabank"/>
    <n v="75147"/>
    <x v="0"/>
    <x v="4"/>
    <m/>
    <m/>
    <m/>
    <x v="6"/>
    <n v="0.05"/>
  </r>
  <r>
    <m/>
    <n v="9204498207"/>
    <m/>
    <m/>
    <m/>
    <x v="821"/>
    <n v="1350000"/>
    <x v="11"/>
    <d v="2020-12-02T00:00:00"/>
    <n v="0.65753424657534243"/>
    <d v="2045-12-02T00:00:00"/>
    <n v="304.36666666666667"/>
    <n v="303.70913242009135"/>
    <d v="2020-12-22T00:00:00"/>
    <s v="Tujunga Auto Mall LLC"/>
    <s v="Tujunga"/>
    <n v="91042"/>
    <x v="10"/>
    <x v="213"/>
    <m/>
    <m/>
    <m/>
    <x v="5"/>
    <n v="0.05"/>
  </r>
  <r>
    <m/>
    <n v="9214048205"/>
    <m/>
    <m/>
    <m/>
    <x v="822"/>
    <n v="638250"/>
    <x v="4"/>
    <d v="2020-11-30T00:00:00"/>
    <n v="0.49315068493150682"/>
    <d v="2045-11-30T00:00:00"/>
    <n v="304.36666666666667"/>
    <n v="303.87351598173518"/>
    <d v="2020-12-15T00:00:00"/>
    <s v="Refuge General Store &amp; Hello Liquor"/>
    <s v="Trinidad"/>
    <n v="76163"/>
    <x v="0"/>
    <x v="4"/>
    <m/>
    <m/>
    <m/>
    <x v="7"/>
    <n v="0.05"/>
  </r>
  <r>
    <m/>
    <n v="3393157204"/>
    <m/>
    <m/>
    <m/>
    <x v="823"/>
    <n v="272100"/>
    <x v="23"/>
    <d v="2020-07-07T00:00:00"/>
    <n v="5.5232876712328771"/>
    <d v="2046-01-07T00:00:00"/>
    <n v="310.5"/>
    <n v="304.97671232876712"/>
    <d v="2020-12-22T00:00:00"/>
    <s v="Birch's Communications, LLC"/>
    <s v="Dorothy "/>
    <n v="8317"/>
    <x v="13"/>
    <x v="214"/>
    <m/>
    <m/>
    <m/>
    <x v="22"/>
    <n v="0.05"/>
  </r>
  <r>
    <m/>
    <n v="4131657010"/>
    <m/>
    <m/>
    <m/>
    <x v="824"/>
    <n v="3002320.5"/>
    <x v="4"/>
    <d v="2019-12-17T00:00:00"/>
    <n v="12.098630136986301"/>
    <d v="2044-12-17T00:00:00"/>
    <n v="304.39999999999998"/>
    <n v="292.30136986301369"/>
    <d v="2020-12-19T00:00:00"/>
    <s v="AALIA Hospitality, LLC "/>
    <s v="Milton"/>
    <n v="32583"/>
    <x v="1"/>
    <x v="20"/>
    <m/>
    <m/>
    <m/>
    <x v="7"/>
    <n v="0.03"/>
  </r>
  <r>
    <m/>
    <n v="2694117006"/>
    <m/>
    <m/>
    <m/>
    <x v="825"/>
    <n v="1894330.3"/>
    <x v="15"/>
    <d v="2018-07-02T00:00:00"/>
    <n v="29.966666666666669"/>
    <d v="2045-07-02T00:00:00"/>
    <n v="328.73333333333335"/>
    <n v="298.76666666666665"/>
    <d v="2020-12-31T00:00:00"/>
    <s v="AARKISH REALTY LLC"/>
    <s v="Morris Plains"/>
    <n v="7950"/>
    <x v="13"/>
    <x v="56"/>
    <m/>
    <m/>
    <m/>
    <x v="3"/>
    <n v="0.01"/>
  </r>
  <r>
    <m/>
    <n v="9133398203"/>
    <m/>
    <m/>
    <m/>
    <x v="826"/>
    <n v="1135425"/>
    <x v="23"/>
    <d v="2020-12-04T00:00:00"/>
    <n v="0.62465753424657533"/>
    <d v="2045-12-07T00:00:00"/>
    <n v="304.46666666666664"/>
    <n v="303.84200913242006"/>
    <d v="2020-12-23T00:00:00"/>
    <s v="TCAL 2 LLC"/>
    <s v="Lakewood"/>
    <n v="80226"/>
    <x v="33"/>
    <x v="15"/>
    <m/>
    <m/>
    <m/>
    <x v="22"/>
    <n v="0.05"/>
  </r>
  <r>
    <m/>
    <n v="9150218208"/>
    <m/>
    <m/>
    <m/>
    <x v="827"/>
    <n v="786510"/>
    <x v="11"/>
    <d v="2020-11-30T00:00:00"/>
    <n v="0.75616438356164384"/>
    <d v="2045-12-07T00:00:00"/>
    <n v="304.60000000000002"/>
    <n v="303.84383561643835"/>
    <d v="2020-12-23T00:00:00"/>
    <s v="MDK Design, Inc."/>
    <s v="Los Angeles"/>
    <n v="90015"/>
    <x v="10"/>
    <x v="215"/>
    <m/>
    <m/>
    <m/>
    <x v="5"/>
    <n v="0.05"/>
  </r>
  <r>
    <m/>
    <n v="8344008208"/>
    <m/>
    <m/>
    <m/>
    <x v="828"/>
    <n v="2816250"/>
    <x v="4"/>
    <d v="2020-10-02T00:00:00"/>
    <n v="2.893150684931507"/>
    <d v="2045-10-02T00:00:00"/>
    <n v="304.36666666666667"/>
    <n v="301.47351598173515"/>
    <d v="2020-12-29T00:00:00"/>
    <s v="Hooch Beverages"/>
    <s v="DULUTH"/>
    <n v="30097"/>
    <x v="2"/>
    <x v="51"/>
    <m/>
    <m/>
    <m/>
    <x v="7"/>
    <n v="0.05"/>
  </r>
  <r>
    <m/>
    <n v="9118498200"/>
    <m/>
    <m/>
    <m/>
    <x v="829"/>
    <n v="2250000"/>
    <x v="76"/>
    <d v="2020-12-09T00:00:00"/>
    <n v="0.46027397260273972"/>
    <d v="2045-12-09T00:00:00"/>
    <n v="304.36666666666667"/>
    <n v="303.90639269406392"/>
    <d v="2020-12-23T00:00:00"/>
    <s v="All Seasons Car Wash"/>
    <s v="SNELLVILLE"/>
    <n v="30078"/>
    <x v="2"/>
    <x v="16"/>
    <m/>
    <m/>
    <m/>
    <x v="21"/>
    <n v="0.05"/>
  </r>
  <r>
    <m/>
    <n v="8859608210"/>
    <m/>
    <m/>
    <m/>
    <x v="830"/>
    <n v="335325"/>
    <x v="15"/>
    <d v="2020-11-20T00:00:00"/>
    <n v="1.4794520547945205"/>
    <d v="2045-11-20T00:00:00"/>
    <n v="304.36666666666667"/>
    <n v="302.88721461187214"/>
    <d v="2021-01-04T00:00:00"/>
    <s v="Thompson Family Holdings LLC and South Alabama Smiles LLC"/>
    <s v="Mobile"/>
    <n v="36608"/>
    <x v="35"/>
    <x v="22"/>
    <m/>
    <m/>
    <m/>
    <x v="3"/>
    <n v="0.05"/>
  </r>
  <r>
    <m/>
    <n v="8157358202"/>
    <m/>
    <m/>
    <m/>
    <x v="831"/>
    <n v="3309835.77"/>
    <x v="11"/>
    <d v="2020-09-15T00:00:00"/>
    <n v="3.7479452054794518"/>
    <d v="2045-09-25T00:00:00"/>
    <n v="304.7"/>
    <n v="300.95205479452056"/>
    <d v="2021-01-07T00:00:00"/>
    <s v="Middletown Food N Gas"/>
    <s v="Middletown"/>
    <n v="95461"/>
    <x v="10"/>
    <x v="4"/>
    <m/>
    <m/>
    <m/>
    <x v="5"/>
    <n v="0.05"/>
  </r>
  <r>
    <m/>
    <n v="8345188207"/>
    <m/>
    <m/>
    <m/>
    <x v="832"/>
    <n v="919976.25"/>
    <x v="18"/>
    <d v="2020-09-22T00:00:00"/>
    <n v="2.9917808219178084"/>
    <d v="2045-09-24T00:00:00"/>
    <n v="304.43333333333334"/>
    <n v="301.44155251141552"/>
    <d v="2020-12-22T00:00:00"/>
    <s v="Guest Ranch Motel"/>
    <s v="Cheyenne"/>
    <n v="82001"/>
    <x v="44"/>
    <x v="20"/>
    <m/>
    <m/>
    <m/>
    <x v="6"/>
    <n v="0.05"/>
  </r>
  <r>
    <m/>
    <n v="9219748202"/>
    <m/>
    <m/>
    <m/>
    <x v="821"/>
    <n v="1350000"/>
    <x v="18"/>
    <d v="2020-12-01T00:00:00"/>
    <n v="0.92054794520547945"/>
    <d v="2045-12-15T00:00:00"/>
    <n v="304.83333333333331"/>
    <n v="303.91278538812782"/>
    <d v="2020-12-29T00:00:00"/>
    <s v="La Habra Express LLC (EPC) Canoga Express Wash (OC)"/>
    <s v="La Habra"/>
    <n v="90631"/>
    <x v="10"/>
    <x v="16"/>
    <m/>
    <m/>
    <m/>
    <x v="6"/>
    <n v="0.05"/>
  </r>
  <r>
    <m/>
    <n v="8841158208"/>
    <m/>
    <m/>
    <m/>
    <x v="833"/>
    <n v="3310165.16"/>
    <x v="4"/>
    <d v="2020-10-27T00:00:00"/>
    <n v="2.3671232876712329"/>
    <d v="2045-11-04T00:00:00"/>
    <n v="304.63333333333333"/>
    <n v="302.26621004566209"/>
    <d v="2021-01-07T00:00:00"/>
    <s v="Bloomington Shell"/>
    <s v="Bloomington"/>
    <n v="92316"/>
    <x v="10"/>
    <x v="4"/>
    <m/>
    <m/>
    <m/>
    <x v="7"/>
    <n v="0.05"/>
  </r>
  <r>
    <m/>
    <n v="9223788206"/>
    <m/>
    <m/>
    <m/>
    <x v="834"/>
    <n v="870000"/>
    <x v="4"/>
    <d v="2020-12-10T00:00:00"/>
    <n v="0.62465753424657533"/>
    <d v="2045-12-10T00:00:00"/>
    <n v="304.36666666666667"/>
    <n v="303.74200913242009"/>
    <d v="2020-12-29T00:00:00"/>
    <s v="KAY UNIFORMS"/>
    <s v="Long Beach"/>
    <n v="90806"/>
    <x v="10"/>
    <x v="127"/>
    <m/>
    <m/>
    <m/>
    <x v="7"/>
    <n v="0.05"/>
  </r>
  <r>
    <m/>
    <n v="9382318202"/>
    <m/>
    <m/>
    <m/>
    <x v="835"/>
    <n v="1069500"/>
    <x v="4"/>
    <d v="2020-12-17T00:00:00"/>
    <n v="0.66666666666666663"/>
    <d v="2045-12-17T00:00:00"/>
    <n v="304.36666666666667"/>
    <n v="303.7"/>
    <d v="2021-01-07T00:00:00"/>
    <s v="Allison Springer, INC"/>
    <s v="Upperville"/>
    <n v="20185"/>
    <x v="29"/>
    <x v="76"/>
    <m/>
    <m/>
    <m/>
    <x v="7"/>
    <n v="0.05"/>
  </r>
  <r>
    <m/>
    <n v="1465208203"/>
    <m/>
    <m/>
    <m/>
    <x v="836"/>
    <n v="1665000"/>
    <x v="18"/>
    <d v="2020-12-10T00:00:00"/>
    <n v="0.69041095890410964"/>
    <d v="2045-12-21T00:00:00"/>
    <n v="304.73333333333335"/>
    <n v="304.04292237442922"/>
    <d v="2020-12-31T00:00:00"/>
    <s v="Bai Petro Inc dba  Flag City Arco AMPM"/>
    <s v="Lodi"/>
    <n v="95242"/>
    <x v="10"/>
    <x v="4"/>
    <m/>
    <m/>
    <m/>
    <x v="6"/>
    <n v="0.05"/>
  </r>
  <r>
    <m/>
    <n v="9377238208"/>
    <m/>
    <m/>
    <m/>
    <x v="837"/>
    <n v="3750000"/>
    <x v="4"/>
    <d v="2020-12-23T00:00:00"/>
    <n v="0.29589041095890412"/>
    <d v="2045-12-23T00:00:00"/>
    <n v="304.36666666666667"/>
    <n v="304.07077625570776"/>
    <d v="2021-01-07T00:00:00"/>
    <s v="Legacy Car Wash"/>
    <s v="FRISCO"/>
    <n v="75034"/>
    <x v="0"/>
    <x v="16"/>
    <m/>
    <m/>
    <m/>
    <x v="7"/>
    <n v="0.05"/>
  </r>
  <r>
    <m/>
    <n v="9024798206"/>
    <m/>
    <m/>
    <m/>
    <x v="838"/>
    <n v="2287500"/>
    <x v="4"/>
    <d v="2020-12-15T00:00:00"/>
    <n v="0.75616438356164384"/>
    <d v="2045-12-15T00:00:00"/>
    <n v="304.36666666666667"/>
    <n v="303.61050228310501"/>
    <d v="2021-01-07T00:00:00"/>
    <s v="Marandino's Super Food"/>
    <s v="NEW HARTFORD"/>
    <n v="6057"/>
    <x v="36"/>
    <x v="74"/>
    <m/>
    <m/>
    <m/>
    <x v="7"/>
    <n v="0.05"/>
  </r>
  <r>
    <m/>
    <n v="6399688200"/>
    <m/>
    <m/>
    <m/>
    <x v="839"/>
    <n v="437990.93"/>
    <x v="10"/>
    <d v="2020-09-30T00:00:00"/>
    <n v="2.9917808219178084"/>
    <d v="2040-09-30T00:00:00"/>
    <n v="243.5"/>
    <n v="240.50821917808219"/>
    <d v="2020-12-30T00:00:00"/>
    <s v="SVL POULTRY FARMS LLC"/>
    <s v="IDEAL"/>
    <n v="31041"/>
    <x v="2"/>
    <x v="216"/>
    <m/>
    <m/>
    <m/>
    <x v="22"/>
    <n v="0.05"/>
  </r>
  <r>
    <m/>
    <n v="8459418202"/>
    <m/>
    <m/>
    <m/>
    <x v="840"/>
    <n v="40922.79"/>
    <x v="78"/>
    <d v="2020-10-21T00:00:00"/>
    <n v="1.5452054794520547"/>
    <d v="2040-11-05T00:00:00"/>
    <n v="244"/>
    <n v="242.45479452054795"/>
    <d v="2020-12-07T00:00:00"/>
    <s v="ALBION PEARL  LLC"/>
    <s v="STRONGSVILLE"/>
    <n v="44136"/>
    <x v="9"/>
    <x v="217"/>
    <m/>
    <m/>
    <m/>
    <x v="6"/>
    <n v="0.05"/>
  </r>
  <r>
    <m/>
    <n v="7746348203"/>
    <m/>
    <m/>
    <m/>
    <x v="841"/>
    <n v="806242.25"/>
    <x v="78"/>
    <d v="2020-11-17T00:00:00"/>
    <n v="1.1835616438356165"/>
    <d v="2040-11-17T00:00:00"/>
    <n v="243.5"/>
    <n v="242.31643835616438"/>
    <d v="2020-12-23T00:00:00"/>
    <s v="Ceu Farm"/>
    <s v="MILLEDGEVILLE"/>
    <n v="31061"/>
    <x v="2"/>
    <x v="216"/>
    <m/>
    <m/>
    <m/>
    <x v="6"/>
    <n v="0.05"/>
  </r>
  <r>
    <m/>
    <n v="9345898202"/>
    <m/>
    <m/>
    <m/>
    <x v="842"/>
    <n v="652500"/>
    <x v="78"/>
    <d v="2020-12-08T00:00:00"/>
    <n v="0.49315068493150682"/>
    <d v="2040-12-08T00:00:00"/>
    <n v="243.5"/>
    <n v="243.00684931506851"/>
    <d v="2020-12-23T00:00:00"/>
    <s v="Chin Hill Farm"/>
    <s v="JASPER"/>
    <n v="30143"/>
    <x v="2"/>
    <x v="216"/>
    <m/>
    <m/>
    <m/>
    <x v="6"/>
    <n v="0.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n v="1347879102"/>
    <s v="SMS REAL ESTATE HOLDING LLC  and  COFFEE BAR ATLANTA"/>
    <s v="ATLANTA"/>
    <s v="GA"/>
    <n v="722515"/>
    <s v="Q"/>
    <s v="ACT/365"/>
    <d v="2021-08-16T00:00:00"/>
    <d v="2046-08-16T00:00:00"/>
    <d v="2022-06-30T00:00:00"/>
    <n v="0.02"/>
    <n v="6.7500000000000004E-2"/>
    <n v="3.2050000000000002E-2"/>
    <n v="805158.37"/>
    <n v="805158.37"/>
    <n v="3.9"/>
    <n v="100640.77045815"/>
    <n v="300"/>
    <n v="10.454794520547946"/>
    <n v="289.54520547945208"/>
    <s v="Snack and Nonalcoholic Beverage Bars"/>
    <n v="0.05"/>
    <x v="0"/>
    <x v="0"/>
    <m/>
  </r>
  <r>
    <n v="1356599103"/>
    <s v="Team Straus Motorcycles, Inc."/>
    <s v="Brooklyn"/>
    <s v="NY"/>
    <n v="811490"/>
    <s v="Q"/>
    <s v="ACT/365"/>
    <d v="2021-12-29T00:00:00"/>
    <d v="2047-01-03T00:00:00"/>
    <d v="2022-06-30T00:00:00"/>
    <n v="1.7500000000000002E-2"/>
    <n v="6.5000000000000002E-2"/>
    <n v="2.955E-2"/>
    <n v="398495.3"/>
    <n v="398495.3"/>
    <n v="3.9"/>
    <n v="45924.590848499996"/>
    <n v="300"/>
    <n v="6.0164383561643842"/>
    <n v="293.98356164383563"/>
    <s v="Other Personal and Household Goods Repair and Maintenance"/>
    <n v="0.05"/>
    <x v="0"/>
    <x v="0"/>
    <m/>
  </r>
  <r>
    <n v="1621649107"/>
    <s v="JOLLIFF ENTERPRISES_x000a_INC"/>
    <s v="HUBBARD LAKE"/>
    <s v="MI"/>
    <n v="445110"/>
    <s v="Q"/>
    <s v="ACT/365"/>
    <d v="2022-04-28T00:00:00"/>
    <d v="2038-04-28T00:00:00"/>
    <d v="2022-06-30T00:00:00"/>
    <n v="2.5000000000000001E-2"/>
    <n v="7.2500000000000009E-2"/>
    <n v="3.6049999999999999E-2"/>
    <n v="350240.72"/>
    <n v="350240.72"/>
    <n v="3.75"/>
    <n v="47348.167334999998"/>
    <n v="192"/>
    <n v="2.0712328767123287"/>
    <n v="189.92876712328768"/>
    <s v="Supermarkets and Other Grocery (except Convenience) Stores"/>
    <n v="0.05"/>
    <x v="1"/>
    <x v="0"/>
    <m/>
  </r>
  <r>
    <n v="1676109106"/>
    <s v="HEYBOER LANDSCAPE_x000a_MAINTENANCE"/>
    <s v="CALEDONIA"/>
    <s v="MI"/>
    <n v="561730"/>
    <s v="Q"/>
    <s v="ACT/365"/>
    <d v="2022-04-26T00:00:00"/>
    <d v="2032-04-26T00:00:00"/>
    <d v="2022-06-30T00:00:00"/>
    <n v="2.5000000000000001E-2"/>
    <n v="7.2500000000000009E-2"/>
    <n v="2.3550000000000001E-2"/>
    <n v="480254.54"/>
    <n v="480254.54"/>
    <n v="3"/>
    <n v="33929.983250999998"/>
    <n v="120"/>
    <n v="2.1369863013698627"/>
    <n v="117.86301369863014"/>
    <s v="Landscaping Services"/>
    <n v="0"/>
    <x v="2"/>
    <x v="0"/>
    <m/>
  </r>
  <r>
    <n v="2352599100"/>
    <s v="5840 Geary LLC"/>
    <s v="San Francisco"/>
    <s v="CA"/>
    <n v="531120"/>
    <s v="Q"/>
    <s v="ACT/365"/>
    <d v="2022-03-22T00:00:00"/>
    <d v="2047-04-01T00:00:00"/>
    <d v="2022-06-30T00:00:00"/>
    <n v="7.4999999999999997E-3"/>
    <n v="5.5E-2"/>
    <n v="1.4650000000000002E-2"/>
    <n v="675689.56"/>
    <n v="675689.56"/>
    <n v="3.95"/>
    <n v="39100.46561330001"/>
    <n v="300"/>
    <n v="3.2876712328767121"/>
    <n v="296.71232876712327"/>
    <s v="Lessors of Nonresidential Buildings (except Miniwarehouses)"/>
    <n v="0.05"/>
    <x v="0"/>
    <x v="0"/>
    <m/>
  </r>
  <r>
    <n v="3050849102"/>
    <s v="Buddy's LLC"/>
    <s v="Lake Havasu City"/>
    <s v="AZ"/>
    <n v="811192"/>
    <s v="Q"/>
    <s v="ACT/365"/>
    <d v="2022-01-25T00:00:00"/>
    <d v="2047-01-25T00:00:00"/>
    <d v="2022-06-30T00:00:00"/>
    <n v="1.4999999999999999E-2"/>
    <n v="6.25E-2"/>
    <n v="2.1550000000000003E-2"/>
    <n v="1035642.61"/>
    <n v="1035642.61"/>
    <n v="3.95"/>
    <n v="88156.488069725019"/>
    <n v="300"/>
    <n v="5.1287671232876715"/>
    <n v="294.87123287671233"/>
    <s v="Car Washes"/>
    <n v="0.05"/>
    <x v="0"/>
    <x v="1"/>
    <m/>
  </r>
  <r>
    <n v="3138779110"/>
    <s v="Vincere Management Inc."/>
    <s v="St. Louis"/>
    <s v="MO"/>
    <n v="447110"/>
    <s v="Q"/>
    <s v="ACT/365"/>
    <d v="2022-01-27T00:00:00"/>
    <d v="2047-01-27T00:00:00"/>
    <d v="2022-06-30T00:00:00"/>
    <n v="2.5000000000000001E-2"/>
    <n v="7.2500000000000009E-2"/>
    <n v="3.1550000000000002E-2"/>
    <n v="1672858.07"/>
    <n v="1672858.07"/>
    <n v="3.95"/>
    <n v="208475.75482857501"/>
    <n v="300"/>
    <n v="5.0630136986301366"/>
    <n v="294.93698630136987"/>
    <s v="Gasoline Stations with Convenience Stores"/>
    <n v="0.05"/>
    <x v="0"/>
    <x v="1"/>
    <m/>
  </r>
  <r>
    <n v="3213449106"/>
    <s v="Dunawaste, LLC dba Smash My Trash"/>
    <s v="Macon"/>
    <s v="GA"/>
    <n v="562119"/>
    <s v="Q"/>
    <s v="ACT/365"/>
    <d v="2022-03-07T00:00:00"/>
    <d v="2032-03-07T00:00:00"/>
    <d v="2022-06-30T00:00:00"/>
    <n v="0.02"/>
    <n v="6.7500000000000004E-2"/>
    <n v="1.3650000000000001E-2"/>
    <n v="448875"/>
    <n v="448875"/>
    <n v="3"/>
    <n v="18381.431250000001"/>
    <n v="120"/>
    <n v="3.7808219178082192"/>
    <n v="116.21917808219177"/>
    <s v="Other Waste Collection"/>
    <n v="0"/>
    <x v="2"/>
    <x v="0"/>
    <m/>
  </r>
  <r>
    <n v="3241649104"/>
    <s v="Eaton &amp; Eaton Industries"/>
    <s v="Waukesha"/>
    <s v="WI"/>
    <n v="423910"/>
    <s v="Q"/>
    <s v="ACT/365"/>
    <d v="2022-03-23T00:00:00"/>
    <d v="2032-03-23T00:00:00"/>
    <d v="2022-06-30T00:00:00"/>
    <n v="2.75E-2"/>
    <n v="7.4999999999999997E-2"/>
    <n v="2.605E-2"/>
    <n v="127500"/>
    <n v="127500"/>
    <n v="3"/>
    <n v="9964.125"/>
    <n v="120"/>
    <n v="3.2547945205479452"/>
    <n v="116.74520547945205"/>
    <s v="Sporting and Recreational Goods and Supplies Merchant Wholesalers"/>
    <n v="0"/>
    <x v="2"/>
    <x v="0"/>
    <m/>
  </r>
  <r>
    <n v="3442769101"/>
    <s v="6th Avenue Liquor"/>
    <s v="Aurora"/>
    <s v="CO"/>
    <n v="445320"/>
    <s v="Q"/>
    <s v="ACT/365"/>
    <d v="2022-04-22T00:00:00"/>
    <d v="2032-04-25T00:00:00"/>
    <d v="2022-06-30T00:00:00"/>
    <n v="2.2499999999999999E-2"/>
    <n v="7.0000000000000007E-2"/>
    <n v="2.1049999999999999E-2"/>
    <n v="168440.03"/>
    <n v="168440.03"/>
    <n v="3"/>
    <n v="10636.987894499998"/>
    <n v="120"/>
    <n v="2.2684931506849315"/>
    <n v="117.73150684931507"/>
    <s v="Unknown"/>
    <n v="0"/>
    <x v="2"/>
    <x v="0"/>
    <m/>
  </r>
  <r>
    <n v="3469389105"/>
    <s v="Sunview Café Lewisville"/>
    <s v="Lewisville"/>
    <s v="TX"/>
    <n v="722511"/>
    <s v="Q"/>
    <s v="ACT/365"/>
    <d v="2022-03-08T00:00:00"/>
    <d v="2032-03-09T00:00:00"/>
    <d v="2022-06-30T00:00:00"/>
    <n v="0.02"/>
    <n v="6.7500000000000004E-2"/>
    <n v="1.8550000000000001E-2"/>
    <n v="125882.8"/>
    <n v="125882.8"/>
    <n v="3"/>
    <n v="7005.3778200000006"/>
    <n v="120"/>
    <n v="3.7479452054794518"/>
    <n v="116.25205479452055"/>
    <s v="Full-Service Restaurants"/>
    <n v="0"/>
    <x v="2"/>
    <x v="1"/>
    <m/>
  </r>
  <r>
    <n v="3597899110"/>
    <s v="Char-Kol, LLC"/>
    <s v="Freehold"/>
    <s v="NJ"/>
    <n v="722511"/>
    <s v="Q"/>
    <s v="ACT/365"/>
    <d v="2022-03-23T00:00:00"/>
    <d v="2032-03-23T00:00:00"/>
    <d v="2022-06-30T00:00:00"/>
    <n v="2.75E-2"/>
    <n v="7.4999999999999997E-2"/>
    <n v="2.605E-2"/>
    <n v="124340.95"/>
    <n v="124340.95"/>
    <n v="3"/>
    <n v="9717.2452424999992"/>
    <n v="120"/>
    <n v="3.2547945205479452"/>
    <n v="116.74520547945205"/>
    <s v="Full-Service Restaurants"/>
    <n v="0"/>
    <x v="2"/>
    <x v="1"/>
    <m/>
  </r>
  <r>
    <n v="3628849110"/>
    <s v="HOME CARE_x000a_ASSISTANCE OF"/>
    <s v="HARRISBURG"/>
    <s v="PA"/>
    <n v="621610"/>
    <s v="Q"/>
    <s v="ACT/365"/>
    <d v="2022-04-05T00:00:00"/>
    <d v="2032-04-05T00:00:00"/>
    <d v="2022-06-30T00:00:00"/>
    <n v="2.2499999999999999E-2"/>
    <n v="7.0000000000000007E-2"/>
    <n v="2.1049999999999999E-2"/>
    <n v="262064.03"/>
    <n v="262064.03"/>
    <n v="3"/>
    <n v="16549.343494499997"/>
    <n v="120"/>
    <n v="2.8273972602739725"/>
    <n v="117.17260273972603"/>
    <s v="Home Health Care Services"/>
    <n v="0"/>
    <x v="2"/>
    <x v="0"/>
    <m/>
  </r>
  <r>
    <n v="3644509102"/>
    <s v="Golden Chick"/>
    <s v="Aubrey"/>
    <s v="TX"/>
    <n v="722513"/>
    <s v="Q"/>
    <s v="ACT/365"/>
    <d v="2022-03-23T00:00:00"/>
    <d v="2032-03-24T00:00:00"/>
    <d v="2022-06-30T00:00:00"/>
    <n v="2.2499999999999999E-2"/>
    <n v="7.0000000000000007E-2"/>
    <n v="1.6150000000000001E-2"/>
    <n v="508802.72"/>
    <n v="508802.72"/>
    <n v="3"/>
    <n v="24651.491784000002"/>
    <n v="120"/>
    <n v="3.2547945205479452"/>
    <n v="116.74520547945205"/>
    <s v="Limited-Service Restaurants"/>
    <n v="0"/>
    <x v="2"/>
    <x v="0"/>
    <m/>
  </r>
  <r>
    <n v="3679459100"/>
    <s v="AmericInn by Wyndham (Idaho)"/>
    <s v="Hailey"/>
    <s v="ID"/>
    <n v="721110"/>
    <s v="Q"/>
    <s v="ACT/365"/>
    <d v="2022-03-29T00:00:00"/>
    <d v="2047-03-31T00:00:00"/>
    <d v="2022-06-30T00:00:00"/>
    <n v="1.2500000000000001E-2"/>
    <n v="0.06"/>
    <n v="1.9050000000000001E-2"/>
    <n v="3588463.02"/>
    <n v="3588463.02"/>
    <n v="3.5"/>
    <n v="239260.77185850003"/>
    <n v="300"/>
    <n v="3.0575342465753428"/>
    <n v="296.94246575342464"/>
    <s v="Hotels (except Casino Hotels) and Motels"/>
    <n v="0.05"/>
    <x v="0"/>
    <x v="1"/>
    <m/>
  </r>
  <r>
    <n v="3683039106"/>
    <s v="Blue Ox II, LLC dba  MY HRScreens"/>
    <s v="Ridgelenad"/>
    <s v="MS"/>
    <n v="561644"/>
    <s v="Q"/>
    <s v="ACT/365"/>
    <d v="2022-06-01T00:00:00"/>
    <d v="2032-06-01T00:00:00"/>
    <d v="2022-06-30T00:00:00"/>
    <n v="0.02"/>
    <n v="6.7500000000000004E-2"/>
    <n v="1.3650000000000001E-2"/>
    <n v="345000"/>
    <n v="345000"/>
    <n v="3"/>
    <n v="14127.75"/>
    <n v="120"/>
    <n v="0.95342465753424666"/>
    <n v="119.04657534246576"/>
    <s v="Unknown"/>
    <n v="0"/>
    <x v="2"/>
    <x v="0"/>
    <m/>
  </r>
  <r>
    <n v="3691499104"/>
    <s v="A&amp;D CLEANING_x000a_SERVICES LLC"/>
    <s v="THE COLONY"/>
    <s v="TX"/>
    <n v="561720"/>
    <s v="Q"/>
    <s v="ACT/365"/>
    <d v="2022-04-04T00:00:00"/>
    <d v="2032-04-04T00:00:00"/>
    <d v="2022-06-30T00:00:00"/>
    <n v="2.2499999999999999E-2"/>
    <n v="7.0000000000000007E-2"/>
    <n v="2.1049999999999999E-2"/>
    <n v="179632.44"/>
    <n v="179632.44"/>
    <n v="3"/>
    <n v="11343.788586000001"/>
    <n v="120"/>
    <n v="2.8602739726027395"/>
    <n v="117.13972602739726"/>
    <s v="Janitorial Services"/>
    <n v="0"/>
    <x v="2"/>
    <x v="0"/>
    <m/>
  </r>
  <r>
    <n v="3707519103"/>
    <s v="BLACKMORE REALTY_x000a_LLC"/>
    <s v="PERRY"/>
    <s v="OH"/>
    <n v="332999"/>
    <s v="Q"/>
    <s v="ACT/365"/>
    <d v="2022-04-01T00:00:00"/>
    <d v="2039-04-01T00:00:00"/>
    <d v="2022-06-30T00:00:00"/>
    <n v="2.5000000000000001E-2"/>
    <n v="7.2500000000000009E-2"/>
    <n v="3.0549999999999997E-2"/>
    <n v="2509783.61"/>
    <n v="2509783.61"/>
    <n v="3"/>
    <n v="230021.66785649999"/>
    <n v="204"/>
    <n v="2.9589041095890409"/>
    <n v="201.04109589041096"/>
    <s v="All Other Miscellaneous Fabricated Metal Product Manufacturing"/>
    <n v="0.05"/>
    <x v="1"/>
    <x v="0"/>
    <m/>
  </r>
  <r>
    <n v="3709619102"/>
    <s v="Flanagan Partners, LLC"/>
    <s v="Hudson"/>
    <s v="MA"/>
    <n v="713940"/>
    <s v="Q"/>
    <s v="ACT/365"/>
    <d v="2022-04-11T00:00:00"/>
    <d v="2032-04-11T00:00:00"/>
    <d v="2022-06-30T00:00:00"/>
    <n v="0.02"/>
    <n v="6.7500000000000004E-2"/>
    <n v="1.3650000000000001E-2"/>
    <n v="369418.52"/>
    <n v="369418.52"/>
    <n v="3"/>
    <n v="15127.688394000001"/>
    <n v="120"/>
    <n v="2.6301369863013697"/>
    <n v="117.36986301369863"/>
    <s v="Fitness and Recreational Sports Centers"/>
    <n v="0"/>
    <x v="2"/>
    <x v="0"/>
    <m/>
  </r>
  <r>
    <n v="3804889100"/>
    <s v="Tak Hospitality LLC"/>
    <s v="San Antonio"/>
    <s v="TX"/>
    <n v="423510"/>
    <s v="Q"/>
    <s v="ACT/365"/>
    <d v="2022-04-15T00:00:00"/>
    <d v="2047-04-15T00:00:00"/>
    <d v="2022-06-30T00:00:00"/>
    <n v="1.2500000000000001E-2"/>
    <n v="0.06"/>
    <n v="2.3050000000000001E-2"/>
    <n v="3750000"/>
    <n v="3750000"/>
    <n v="2.75"/>
    <n v="237703.125"/>
    <n v="300"/>
    <n v="2.4986301369863013"/>
    <n v="297.50136986301368"/>
    <s v="Metal Service Centers and Other Metal Merchant Wholesalers"/>
    <n v="0.05"/>
    <x v="0"/>
    <x v="0"/>
    <m/>
  </r>
  <r>
    <n v="3814579105"/>
    <s v="Ignite Foodservice Soltuions Corp dba Pro-Pacific Agents, Inc."/>
    <s v="Denver"/>
    <s v="CO"/>
    <n v="423440"/>
    <s v="Q"/>
    <s v="ACT/365"/>
    <d v="2022-06-13T00:00:00"/>
    <d v="2032-06-13T00:00:00"/>
    <d v="2022-06-30T00:00:00"/>
    <n v="2.5000000000000001E-2"/>
    <n v="7.2500000000000009E-2"/>
    <n v="2.3550000000000001E-2"/>
    <n v="258750"/>
    <n v="258750"/>
    <n v="3"/>
    <n v="18280.6875"/>
    <n v="120"/>
    <n v="0.55890410958904113"/>
    <n v="119.44109589041096"/>
    <s v="Other Commercial Equipment Merchant Wholesalers"/>
    <n v="0"/>
    <x v="2"/>
    <x v="0"/>
    <m/>
  </r>
  <r>
    <n v="3820809109"/>
    <s v="SHREEJI LOGISTIC LLC"/>
    <s v="EVERGREEN PARK"/>
    <s v="IL"/>
    <n v="561990"/>
    <s v="Q"/>
    <s v="ACT/365"/>
    <d v="2022-04-14T00:00:00"/>
    <d v="2032-04-14T00:00:00"/>
    <d v="2022-06-30T00:00:00"/>
    <n v="0.02"/>
    <n v="6.7500000000000004E-2"/>
    <n v="1.3650000000000001E-2"/>
    <n v="447218.37"/>
    <n v="447218.37"/>
    <n v="3"/>
    <n v="18313.592251499998"/>
    <n v="120"/>
    <n v="2.5315068493150683"/>
    <n v="117.46849315068494"/>
    <s v="All Other Support Services"/>
    <n v="0"/>
    <x v="2"/>
    <x v="0"/>
    <m/>
  </r>
  <r>
    <n v="3833789104"/>
    <s v="Uptown Bar (GP)"/>
    <s v="Baltimore"/>
    <s v="MD"/>
    <n v="445320"/>
    <s v="Q"/>
    <s v="ACT/365"/>
    <d v="2022-05-19T00:00:00"/>
    <d v="2038-05-24T00:00:00"/>
    <d v="2022-06-30T00:00:00"/>
    <n v="0.02"/>
    <n v="6.7500000000000004E-2"/>
    <n v="2.6150000000000003E-2"/>
    <n v="412500"/>
    <n v="412500"/>
    <n v="3.75"/>
    <n v="40450.781250000007"/>
    <n v="192"/>
    <n v="1.3808219178082193"/>
    <n v="190.61917808219178"/>
    <s v="Unknown"/>
    <n v="0.05"/>
    <x v="1"/>
    <x v="0"/>
    <m/>
  </r>
  <r>
    <n v="3849319108"/>
    <s v="Don Titos Mexican Grill, LLC "/>
    <s v="Dracut"/>
    <s v="MA"/>
    <n v="722511"/>
    <s v="Q"/>
    <s v="ACT/365"/>
    <d v="2022-05-25T00:00:00"/>
    <d v="2032-05-25T00:00:00"/>
    <d v="2022-06-30T00:00:00"/>
    <n v="2.75E-2"/>
    <n v="7.4999999999999997E-2"/>
    <n v="2.605E-2"/>
    <n v="184500"/>
    <n v="184500"/>
    <n v="3"/>
    <n v="14418.674999999999"/>
    <n v="120"/>
    <n v="1.1835616438356165"/>
    <n v="118.81643835616438"/>
    <s v="Full-Service Restaurants"/>
    <n v="0"/>
    <x v="2"/>
    <x v="1"/>
    <m/>
  </r>
  <r>
    <n v="3853099106"/>
    <s v="RR ENGINEERING LLC"/>
    <s v="FORT MYERS"/>
    <s v="FL"/>
    <n v="541330"/>
    <s v="Q"/>
    <s v="ACT/365"/>
    <d v="2022-04-15T00:00:00"/>
    <d v="2032-04-15T00:00:00"/>
    <d v="2022-06-30T00:00:00"/>
    <n v="2.5000000000000001E-2"/>
    <n v="7.2500000000000009E-2"/>
    <n v="1.865E-2"/>
    <n v="619506.67000000004"/>
    <n v="619506.67000000004"/>
    <n v="3"/>
    <n v="34661.398186500002"/>
    <n v="120"/>
    <n v="2.4986301369863013"/>
    <n v="117.50136986301369"/>
    <s v="Engineering Services"/>
    <n v="0"/>
    <x v="2"/>
    <x v="0"/>
    <m/>
  </r>
  <r>
    <n v="3853539107"/>
    <s v="STARNER ENTERPRISES_x000a_INC"/>
    <s v="MOUNT PERRY"/>
    <s v="OH"/>
    <n v="484110"/>
    <s v="Q"/>
    <s v="ACT/365"/>
    <d v="2022-04-20T00:00:00"/>
    <d v="2032-04-20T00:00:00"/>
    <d v="2022-06-30T00:00:00"/>
    <n v="2.5000000000000001E-2"/>
    <n v="7.2500000000000009E-2"/>
    <n v="1.865E-2"/>
    <n v="681750"/>
    <n v="681750"/>
    <n v="3"/>
    <n v="38143.912499999999"/>
    <n v="120"/>
    <n v="2.3342465753424659"/>
    <n v="117.66575342465754"/>
    <s v="General Freight Trucking, Local"/>
    <n v="0"/>
    <x v="2"/>
    <x v="0"/>
    <m/>
  </r>
  <r>
    <n v="3854259108"/>
    <s v="BLUE SKIES LOGISTICS_x000a_CORP"/>
    <s v="OKEMOS"/>
    <s v="MI"/>
    <n v="561990"/>
    <s v="Q"/>
    <s v="ACT/365"/>
    <d v="2022-04-29T00:00:00"/>
    <d v="2032-04-29T00:00:00"/>
    <d v="2022-06-30T00:00:00"/>
    <n v="2.5000000000000001E-2"/>
    <n v="7.2500000000000009E-2"/>
    <n v="3.0549999999999997E-2"/>
    <n v="834000"/>
    <n v="834000"/>
    <n v="3"/>
    <n v="76436.099999999991"/>
    <n v="120"/>
    <n v="2.0383561643835617"/>
    <n v="117.96164383561644"/>
    <s v="All Other Support Services"/>
    <n v="0"/>
    <x v="2"/>
    <x v="0"/>
    <m/>
  </r>
  <r>
    <n v="3863429102"/>
    <s v="Desert Moon"/>
    <s v="Las Vegas"/>
    <s v="NV"/>
    <n v="721110"/>
    <s v="Q"/>
    <s v="ACT/365"/>
    <d v="2022-04-19T00:00:00"/>
    <d v="2047-04-19T00:00:00"/>
    <d v="2022-06-30T00:00:00"/>
    <n v="1.4999999999999999E-2"/>
    <n v="6.25E-2"/>
    <n v="2.5550000000000003E-2"/>
    <n v="2100000"/>
    <n v="2100000"/>
    <n v="3.9"/>
    <n v="209254.50000000003"/>
    <n v="300"/>
    <n v="2.3671232876712329"/>
    <n v="297.63287671232877"/>
    <s v="Hotels (except Casino Hotels) and Motels"/>
    <n v="0.05"/>
    <x v="0"/>
    <x v="1"/>
    <m/>
  </r>
  <r>
    <n v="3871729109"/>
    <s v="4099TTN HOLDINGS LLC"/>
    <s v="NAPLES"/>
    <s v="FL"/>
    <n v="811490"/>
    <s v="Q"/>
    <s v="ACT/365"/>
    <d v="2022-04-20T00:00:00"/>
    <d v="2032-04-20T00:00:00"/>
    <d v="2022-06-30T00:00:00"/>
    <n v="2.5000000000000001E-2"/>
    <n v="7.2500000000000009E-2"/>
    <n v="3.0549999999999997E-2"/>
    <n v="894750"/>
    <n v="894750"/>
    <n v="3"/>
    <n v="82003.837499999994"/>
    <n v="120"/>
    <n v="2.3342465753424659"/>
    <n v="117.66575342465754"/>
    <s v="Other Personal and Household Goods Repair and Maintenance"/>
    <n v="0"/>
    <x v="2"/>
    <x v="0"/>
    <m/>
  </r>
  <r>
    <n v="3873619104"/>
    <s v="CY&amp;HELEN INC"/>
    <s v="FORT MYERS"/>
    <s v="FL"/>
    <n v="561730"/>
    <s v="Q"/>
    <s v="ACT/365"/>
    <d v="2022-04-22T00:00:00"/>
    <d v="2032-04-22T00:00:00"/>
    <d v="2022-06-30T00:00:00"/>
    <n v="2.5000000000000001E-2"/>
    <n v="7.2500000000000009E-2"/>
    <n v="1.865E-2"/>
    <n v="636750"/>
    <n v="636750"/>
    <n v="3"/>
    <n v="35626.162499999999"/>
    <n v="120"/>
    <n v="2.2684931506849315"/>
    <n v="117.73150684931507"/>
    <s v="Landscaping Services"/>
    <n v="0"/>
    <x v="2"/>
    <x v="0"/>
    <m/>
  </r>
  <r>
    <n v="3888379107"/>
    <s v="EGM Properties LLC EPC to Eden General Market LLC "/>
    <s v="Eden"/>
    <s v="VT"/>
    <n v="457110"/>
    <s v="Q"/>
    <s v="ACT/365"/>
    <d v="2022-04-29T00:00:00"/>
    <d v="2038-04-29T00:00:00"/>
    <d v="2022-06-30T00:00:00"/>
    <n v="2.75E-2"/>
    <n v="7.4999999999999997E-2"/>
    <n v="3.3049999999999996E-2"/>
    <n v="938775"/>
    <n v="938775"/>
    <n v="3.75"/>
    <n v="116349.42656249998"/>
    <n v="192"/>
    <n v="2.0383561643835617"/>
    <n v="189.96164383561643"/>
    <s v="Unknown"/>
    <n v="0.05"/>
    <x v="1"/>
    <x v="0"/>
    <m/>
  </r>
  <r>
    <n v="3889199103"/>
    <s v="Whiskey Business Ventures LLC"/>
    <s v="Springfield"/>
    <s v="MO"/>
    <n v="445310"/>
    <s v="Q"/>
    <s v="ACT/365"/>
    <d v="2022-04-25T00:00:00"/>
    <d v="2032-04-25T00:00:00"/>
    <d v="2022-06-30T00:00:00"/>
    <n v="0.02"/>
    <n v="6.7500000000000004E-2"/>
    <n v="2.5550000000000003E-2"/>
    <n v="1408992.85"/>
    <n v="1408992.85"/>
    <n v="3"/>
    <n v="107999.30195250003"/>
    <n v="120"/>
    <n v="2.1698630136986301"/>
    <n v="117.83013698630137"/>
    <s v="Beer, Wine, and Liquor Stores"/>
    <n v="0"/>
    <x v="2"/>
    <x v="0"/>
    <m/>
  </r>
  <r>
    <n v="3889549101"/>
    <s v="9island LLC; P&amp;M Foods LLC "/>
    <s v="St Louis"/>
    <s v="MO"/>
    <n v="722511"/>
    <s v="Q"/>
    <s v="ACT/365"/>
    <d v="2022-06-01T00:00:00"/>
    <d v="2047-06-01T00:00:00"/>
    <d v="2022-06-30T00:00:00"/>
    <n v="2.75E-2"/>
    <n v="7.4999999999999997E-2"/>
    <n v="3.465E-2"/>
    <n v="535500"/>
    <n v="535500"/>
    <n v="3.95"/>
    <n v="73292.546249999999"/>
    <n v="300"/>
    <n v="0.95342465753424666"/>
    <n v="299.04657534246576"/>
    <s v="Full-Service Restaurants"/>
    <n v="0.05"/>
    <x v="0"/>
    <x v="1"/>
    <m/>
  </r>
  <r>
    <n v="3894129109"/>
    <s v="IMP ENTERPRISES INC"/>
    <s v="Carrollton"/>
    <s v="TX"/>
    <n v="441120"/>
    <s v="Q"/>
    <s v="ACT/365"/>
    <d v="2022-04-29T00:00:00"/>
    <d v="2032-05-04T00:00:00"/>
    <d v="2022-06-30T00:00:00"/>
    <n v="2.5000000000000001E-2"/>
    <n v="7.2500000000000009E-2"/>
    <n v="1.865E-2"/>
    <n v="510550.04"/>
    <n v="510550.04"/>
    <n v="3"/>
    <n v="28565.274737999996"/>
    <n v="120"/>
    <n v="2.0383561643835617"/>
    <n v="117.96164383561644"/>
    <s v="Used Car Dealers"/>
    <n v="0"/>
    <x v="2"/>
    <x v="0"/>
    <m/>
  </r>
  <r>
    <n v="3905119102"/>
    <s v="JARENT LLC"/>
    <s v="PENSACOLA"/>
    <s v="FL"/>
    <n v="561431"/>
    <s v="Q"/>
    <s v="ACT/365"/>
    <d v="2022-04-25T00:00:00"/>
    <d v="2032-04-25T00:00:00"/>
    <d v="2022-06-30T00:00:00"/>
    <n v="2.5000000000000001E-2"/>
    <n v="7.2500000000000009E-2"/>
    <n v="1.865E-2"/>
    <n v="283010.01"/>
    <n v="283010.01"/>
    <n v="3"/>
    <n v="15834.4100595"/>
    <n v="120"/>
    <n v="2.1698630136986301"/>
    <n v="117.83013698630137"/>
    <s v="Private Mail Centers"/>
    <n v="0"/>
    <x v="2"/>
    <x v="0"/>
    <m/>
  </r>
  <r>
    <n v="3906169108"/>
    <s v="AARDVARK PEST_x000a_MANAGEMENT INC"/>
    <s v="NUNICA"/>
    <s v="MI"/>
    <n v="812990"/>
    <s v="Q"/>
    <s v="ACT/365"/>
    <d v="2022-04-27T00:00:00"/>
    <d v="2032-04-27T00:00:00"/>
    <d v="2022-06-30T00:00:00"/>
    <n v="2.5000000000000001E-2"/>
    <n v="7.2500000000000009E-2"/>
    <n v="1.865E-2"/>
    <n v="276130.45"/>
    <n v="276130.45"/>
    <n v="3"/>
    <n v="15449.498677500002"/>
    <n v="120"/>
    <n v="2.1041095890410961"/>
    <n v="117.8958904109589"/>
    <s v="All Other Personal Services"/>
    <n v="0"/>
    <x v="2"/>
    <x v="0"/>
    <m/>
  </r>
  <r>
    <n v="3906449109"/>
    <s v="FRONTLINE_x000a_MAINTENANCE &amp;"/>
    <s v="DELTON"/>
    <s v="MI"/>
    <n v="561730"/>
    <s v="Q"/>
    <s v="ACT/365"/>
    <d v="2022-04-28T00:00:00"/>
    <d v="2032-04-28T00:00:00"/>
    <d v="2022-06-30T00:00:00"/>
    <n v="2.5000000000000001E-2"/>
    <n v="7.2500000000000009E-2"/>
    <n v="1.865E-2"/>
    <n v="361983.83"/>
    <n v="361983.83"/>
    <n v="3"/>
    <n v="20252.995288499998"/>
    <n v="120"/>
    <n v="2.0712328767123287"/>
    <n v="117.92876712328767"/>
    <s v="Landscaping Services"/>
    <n v="0"/>
    <x v="2"/>
    <x v="0"/>
    <m/>
  </r>
  <r>
    <n v="3910659105"/>
    <s v="The Concrete Company, LLC     "/>
    <s v="Parker"/>
    <s v="CO"/>
    <n v="327320"/>
    <s v="Q"/>
    <s v="ACT/365"/>
    <d v="2022-06-24T00:00:00"/>
    <d v="2047-06-24T00:00:00"/>
    <d v="2022-06-30T00:00:00"/>
    <n v="2.75E-2"/>
    <n v="7.4999999999999997E-2"/>
    <n v="3.4050000000000004E-2"/>
    <n v="1042500"/>
    <n v="1042500"/>
    <n v="3.95"/>
    <n v="140213.64375000002"/>
    <n v="300"/>
    <n v="0.19726027397260271"/>
    <n v="299.80273972602743"/>
    <s v="Ready-Mix Concrete Manufacturing"/>
    <n v="0.05"/>
    <x v="0"/>
    <x v="0"/>
    <m/>
  </r>
  <r>
    <n v="3919309101"/>
    <s v="2M Stone&amp; Tile Hard Rock Stone &amp; Tile"/>
    <s v="Piney Flats"/>
    <s v="TN"/>
    <n v="327991"/>
    <s v="Q"/>
    <s v="ACT/365"/>
    <d v="2022-05-17T00:00:00"/>
    <d v="2038-05-17T00:00:00"/>
    <d v="2022-06-30T00:00:00"/>
    <n v="2.2499999999999999E-2"/>
    <n v="7.0000000000000007E-2"/>
    <n v="2.8049999999999999E-2"/>
    <n v="2131875"/>
    <n v="2131875"/>
    <n v="3.7"/>
    <n v="221256.64687499998"/>
    <n v="192"/>
    <n v="1.4465753424657535"/>
    <n v="190.55342465753424"/>
    <s v="Cut Stone and Stone Product Manufacturing"/>
    <n v="0.05"/>
    <x v="1"/>
    <x v="0"/>
    <m/>
  </r>
  <r>
    <n v="3920209103"/>
    <s v="Innovative Property Services, LLC"/>
    <s v="Brentwood "/>
    <s v="CA"/>
    <n v="238990"/>
    <s v="Q"/>
    <s v="ACT/365"/>
    <d v="2022-04-29T00:00:00"/>
    <d v="2047-05-06T00:00:00"/>
    <d v="2022-06-30T00:00:00"/>
    <n v="0.02"/>
    <n v="6.7500000000000004E-2"/>
    <n v="2.7149999999999997E-2"/>
    <n v="365460.98"/>
    <n v="365460.98"/>
    <n v="3.95"/>
    <n v="39192.949147649997"/>
    <n v="300"/>
    <n v="2.0383561643835617"/>
    <n v="297.96164383561643"/>
    <s v="All Other Specialty Trade Contractors"/>
    <n v="0.05"/>
    <x v="0"/>
    <x v="0"/>
    <m/>
  </r>
  <r>
    <n v="3931979106"/>
    <s v="ABSOLUTE BEST_x000a_COURIERS LLC"/>
    <s v="CINCINNATI"/>
    <s v="OH"/>
    <n v="492110"/>
    <s v="Q"/>
    <s v="ACT/365"/>
    <d v="2022-04-26T00:00:00"/>
    <d v="2032-04-26T00:00:00"/>
    <d v="2022-06-30T00:00:00"/>
    <n v="0.02"/>
    <n v="6.7500000000000004E-2"/>
    <n v="1.3650000000000001E-2"/>
    <n v="331575"/>
    <n v="331575"/>
    <n v="3"/>
    <n v="13577.99625"/>
    <n v="120"/>
    <n v="2.1369863013698627"/>
    <n v="117.86301369863014"/>
    <s v="Couriers and Express Delivery Services"/>
    <n v="0"/>
    <x v="2"/>
    <x v="0"/>
    <m/>
  </r>
  <r>
    <n v="3937909108"/>
    <s v="Rustic Bread Company"/>
    <s v="Coral Springs"/>
    <s v="FL "/>
    <n v="722515"/>
    <s v="Q"/>
    <s v="ACT/365"/>
    <d v="2022-05-31T00:00:00"/>
    <d v="2032-05-31T00:00:00"/>
    <d v="2022-06-30T00:00:00"/>
    <n v="2.2499999999999999E-2"/>
    <n v="7.0000000000000007E-2"/>
    <n v="2.1049999999999999E-2"/>
    <n v="176625"/>
    <n v="176625"/>
    <n v="3"/>
    <n v="11153.86875"/>
    <n v="120"/>
    <n v="0.98630136986301364"/>
    <n v="119.01369863013699"/>
    <s v="Snack and Nonalcoholic Beverage Bars"/>
    <n v="0"/>
    <x v="2"/>
    <x v="0"/>
    <m/>
  </r>
  <r>
    <n v="3942149110"/>
    <s v="TX PRINT &amp; DESIGN_x000a_SHOP LLC"/>
    <s v="DALLAS"/>
    <s v="TX"/>
    <n v="323111"/>
    <s v="Q"/>
    <s v="ACT/365"/>
    <d v="2022-04-28T00:00:00"/>
    <d v="2032-04-28T00:00:00"/>
    <d v="2022-06-30T00:00:00"/>
    <n v="2.2499999999999999E-2"/>
    <n v="7.0000000000000007E-2"/>
    <n v="2.8049999999999999E-2"/>
    <n v="898500"/>
    <n v="898500"/>
    <n v="3"/>
    <n v="75608.774999999994"/>
    <n v="120"/>
    <n v="2.0712328767123287"/>
    <n v="117.92876712328767"/>
    <s v="Commercial Printing (except Screen and Books)"/>
    <n v="0"/>
    <x v="2"/>
    <x v="0"/>
    <m/>
  </r>
  <r>
    <n v="3955659109"/>
    <s v="STONEY CREEK_x000a_LOGISTICS INC"/>
    <s v="ROCHESTER HILLS"/>
    <s v="MI"/>
    <n v="484110"/>
    <s v="Q"/>
    <s v="ACT/365"/>
    <d v="2022-04-29T00:00:00"/>
    <d v="2032-04-29T00:00:00"/>
    <d v="2022-06-30T00:00:00"/>
    <n v="2.5000000000000001E-2"/>
    <n v="7.2500000000000009E-2"/>
    <n v="3.0549999999999997E-2"/>
    <n v="1049250"/>
    <n v="1049250"/>
    <n v="3"/>
    <n v="96163.762499999997"/>
    <n v="120"/>
    <n v="2.0383561643835617"/>
    <n v="117.96164383561644"/>
    <s v="General Freight Trucking, Local"/>
    <n v="0"/>
    <x v="2"/>
    <x v="0"/>
    <m/>
  </r>
  <r>
    <n v="3962259105"/>
    <s v="Denelies Pizza, LLC"/>
    <s v="Spooner"/>
    <s v="WI"/>
    <n v="722511"/>
    <s v="Q"/>
    <s v="ACT/365"/>
    <d v="2022-05-13T00:00:00"/>
    <d v="2038-05-13T00:00:00"/>
    <d v="2022-06-30T00:00:00"/>
    <n v="2.2499999999999999E-2"/>
    <n v="7.0000000000000007E-2"/>
    <n v="3.3549999999999996E-2"/>
    <n v="187500"/>
    <n v="187500"/>
    <n v="3.75"/>
    <n v="23589.843749999996"/>
    <n v="192"/>
    <n v="1.5780821917808217"/>
    <n v="190.42191780821918"/>
    <s v="Full-Service Restaurants"/>
    <n v="0.05"/>
    <x v="1"/>
    <x v="1"/>
    <m/>
  </r>
  <r>
    <n v="4017469109"/>
    <s v="True North Printing, LLC "/>
    <s v="Gallatin "/>
    <s v="TN"/>
    <n v="323111"/>
    <s v="Q"/>
    <s v="ACT/365"/>
    <d v="2022-05-19T00:00:00"/>
    <d v="2032-05-19T00:00:00"/>
    <d v="2022-06-30T00:00:00"/>
    <n v="2.2499999999999999E-2"/>
    <n v="7.0000000000000007E-2"/>
    <n v="1.6150000000000001E-2"/>
    <n v="391500"/>
    <n v="391500"/>
    <n v="3"/>
    <n v="18968.175000000003"/>
    <n v="120"/>
    <n v="1.3808219178082193"/>
    <n v="118.61917808219178"/>
    <s v="Commercial Printing (except Screen and Books)"/>
    <n v="0"/>
    <x v="2"/>
    <x v="0"/>
    <m/>
  </r>
  <r>
    <n v="4019949104"/>
    <s v="Flat White Coffee House, Inc"/>
    <s v="Cypress"/>
    <s v="CA"/>
    <n v="722515"/>
    <s v="Q"/>
    <s v="ACT/365"/>
    <d v="2022-05-23T00:00:00"/>
    <d v="2032-05-23T00:00:00"/>
    <d v="2022-06-30T00:00:00"/>
    <n v="2.5000000000000001E-2"/>
    <n v="7.2500000000000009E-2"/>
    <n v="1.805E-2"/>
    <n v="234000"/>
    <n v="234000"/>
    <n v="3"/>
    <n v="12671.1"/>
    <n v="120"/>
    <n v="1.2493150684931507"/>
    <n v="118.75068493150685"/>
    <s v="Snack and Nonalcoholic Beverage Bars"/>
    <n v="0"/>
    <x v="2"/>
    <x v="0"/>
    <m/>
  </r>
  <r>
    <n v="4050009102"/>
    <s v="e4o6 Inc. dba National Poultry Equipment Company"/>
    <s v="Marion"/>
    <s v="IA"/>
    <n v="333111"/>
    <s v="Q"/>
    <s v="ACT/365"/>
    <d v="2022-05-31T00:00:00"/>
    <d v="2032-05-31T00:00:00"/>
    <d v="2022-06-30T00:00:00"/>
    <n v="2.75E-2"/>
    <n v="7.4999999999999997E-2"/>
    <n v="3.3049999999999996E-2"/>
    <n v="1053000"/>
    <n v="1053000"/>
    <n v="3"/>
    <n v="104404.94999999998"/>
    <n v="120"/>
    <n v="0.98630136986301364"/>
    <n v="119.01369863013699"/>
    <s v="Farm Machinery and Equipment Manufacturing"/>
    <n v="0"/>
    <x v="2"/>
    <x v="0"/>
    <m/>
  </r>
  <r>
    <n v="4058099101"/>
    <s v="Canyon Road Gas &amp; Deli Mart"/>
    <s v="Puyallup"/>
    <s v="WA"/>
    <n v="457110"/>
    <s v="Q"/>
    <s v="ACT/365"/>
    <d v="2022-05-25T00:00:00"/>
    <d v="2047-06-01T00:00:00"/>
    <d v="2022-06-30T00:00:00"/>
    <n v="0.01"/>
    <n v="5.7500000000000002E-2"/>
    <n v="1.6549999999999999E-2"/>
    <n v="3750000"/>
    <n v="3750000"/>
    <n v="3.85"/>
    <n v="238940.62499999997"/>
    <n v="300"/>
    <n v="1.1835616438356165"/>
    <n v="298.81643835616438"/>
    <s v="Unknown"/>
    <n v="0.05"/>
    <x v="0"/>
    <x v="0"/>
    <m/>
  </r>
  <r>
    <n v="4077349110"/>
    <s v="Luxury Granite &amp; Quartz, LLC"/>
    <s v="Pearl River"/>
    <s v="LA"/>
    <n v="238390"/>
    <s v="Q"/>
    <s v="ACT/365"/>
    <d v="2022-05-27T00:00:00"/>
    <d v="2038-06-01T00:00:00"/>
    <d v="2022-06-30T00:00:00"/>
    <n v="0.02"/>
    <n v="6.7500000000000004E-2"/>
    <n v="2.5550000000000003E-2"/>
    <n v="1012500"/>
    <n v="1012500"/>
    <n v="3.75"/>
    <n v="97010.156250000015"/>
    <n v="192"/>
    <n v="1.1178082191780823"/>
    <n v="190.88219178082193"/>
    <s v="Other Building Finishing Contractors"/>
    <n v="0.05"/>
    <x v="1"/>
    <x v="0"/>
    <m/>
  </r>
  <r>
    <n v="4085079101"/>
    <s v="Christopher Ward and Company"/>
    <s v="Memphis"/>
    <s v="TN"/>
    <n v="512240"/>
    <s v="Q"/>
    <s v="ACT/365"/>
    <d v="2022-06-09T00:00:00"/>
    <d v="2032-06-09T00:00:00"/>
    <d v="2022-06-30T00:00:00"/>
    <n v="2.75E-2"/>
    <n v="7.4999999999999997E-2"/>
    <n v="2.605E-2"/>
    <n v="132825"/>
    <n v="132825"/>
    <n v="3"/>
    <n v="10380.27375"/>
    <n v="120"/>
    <n v="0.69041095890410964"/>
    <n v="119.30958904109589"/>
    <s v="Sound Recording Studios"/>
    <n v="0"/>
    <x v="2"/>
    <x v="0"/>
    <m/>
  </r>
  <r>
    <n v="4087669105"/>
    <s v="HIGHLIFE HOSPITALITY GROUP LLC"/>
    <s v="OKLAHOMA CITY"/>
    <s v="OK"/>
    <n v="721110"/>
    <s v="Q"/>
    <s v="ACT/365"/>
    <d v="2022-05-26T00:00:00"/>
    <d v="2047-05-26T00:00:00"/>
    <d v="2022-06-30T00:00:00"/>
    <n v="1.4999999999999999E-2"/>
    <n v="6.25E-2"/>
    <n v="2.1550000000000003E-2"/>
    <n v="3561750"/>
    <n v="3561750"/>
    <n v="3.1"/>
    <n v="237942.70875000005"/>
    <n v="300"/>
    <n v="1.1506849315068493"/>
    <n v="298.84931506849313"/>
    <s v="Hotels (except Casino Hotels) and Motels"/>
    <n v="0.05"/>
    <x v="0"/>
    <x v="1"/>
    <m/>
  </r>
  <r>
    <n v="4088719109"/>
    <s v="Honest Mary's "/>
    <s v="Austin"/>
    <s v="TX"/>
    <n v="722511"/>
    <s v="Q"/>
    <s v="ACT/365"/>
    <d v="2022-06-06T00:00:00"/>
    <d v="2032-06-06T00:00:00"/>
    <d v="2022-06-30T00:00:00"/>
    <n v="2.75E-2"/>
    <n v="7.4999999999999997E-2"/>
    <n v="2.1150000000000002E-2"/>
    <n v="322500"/>
    <n v="322500"/>
    <n v="3"/>
    <n v="20462.625000000004"/>
    <n v="120"/>
    <n v="0.78904109589041083"/>
    <n v="119.21095890410959"/>
    <s v="Full-Service Restaurants"/>
    <n v="0"/>
    <x v="2"/>
    <x v="1"/>
    <m/>
  </r>
  <r>
    <n v="4093079101"/>
    <s v="Rubicon Logistics, Inc"/>
    <s v="Sacramento"/>
    <s v="CA"/>
    <n v="326212"/>
    <s v="Q"/>
    <s v="ACT/365"/>
    <d v="2022-06-23T00:00:00"/>
    <d v="2047-06-24T00:00:00"/>
    <d v="2022-06-30T00:00:00"/>
    <n v="1.4999999999999999E-2"/>
    <n v="6.25E-2"/>
    <n v="2.215E-2"/>
    <n v="637500"/>
    <n v="637500"/>
    <n v="3.95"/>
    <n v="55776.46875"/>
    <n v="300"/>
    <n v="0.23013698630136986"/>
    <n v="299.76986301369863"/>
    <s v="Tire Retreading"/>
    <n v="0.05"/>
    <x v="0"/>
    <x v="0"/>
    <m/>
  </r>
  <r>
    <n v="4100949101"/>
    <s v="Comfort Suites"/>
    <s v="Castle Rock"/>
    <s v="CO"/>
    <n v="721110"/>
    <s v="Q"/>
    <s v="ACT/365"/>
    <d v="2022-06-03T00:00:00"/>
    <d v="2047-06-08T00:00:00"/>
    <d v="2022-06-30T00:00:00"/>
    <n v="1.2500000000000001E-2"/>
    <n v="0.06"/>
    <n v="1.9050000000000001E-2"/>
    <n v="3412500"/>
    <n v="3412500"/>
    <n v="3.68"/>
    <n v="239229.90000000002"/>
    <n v="300"/>
    <n v="0.88767123287671235"/>
    <n v="299.1123287671233"/>
    <s v="Hotels (except Casino Hotels) and Motels"/>
    <n v="0.05"/>
    <x v="0"/>
    <x v="1"/>
    <m/>
  </r>
  <r>
    <n v="4102239104"/>
    <s v="Vema Corporation"/>
    <s v="Peoria"/>
    <s v="AZ"/>
    <n v="623210"/>
    <s v="Q"/>
    <s v="ACT/365"/>
    <d v="2022-06-06T00:00:00"/>
    <d v="2047-06-28T00:00:00"/>
    <d v="2022-06-30T00:00:00"/>
    <n v="2.75E-2"/>
    <n v="7.4999999999999997E-2"/>
    <n v="3.9550000000000002E-2"/>
    <n v="213000"/>
    <n v="213000"/>
    <n v="3.95"/>
    <n v="33275.392500000002"/>
    <n v="300"/>
    <n v="0.78904109589041083"/>
    <n v="299.21095890410959"/>
    <s v="Residential Intellectual and Developmental Disability Facilities"/>
    <n v="0.05"/>
    <x v="0"/>
    <x v="0"/>
    <m/>
  </r>
  <r>
    <n v="4105499107"/>
    <s v="Ireland Holdings LLC"/>
    <s v="Minneapolis"/>
    <s v="MN"/>
    <n v="531390"/>
    <s v="Q"/>
    <s v="ACT/365"/>
    <d v="2022-06-14T00:00:00"/>
    <d v="2032-06-14T00:00:00"/>
    <d v="2022-06-30T00:00:00"/>
    <n v="2.2499999999999999E-2"/>
    <n v="7.0000000000000007E-2"/>
    <n v="2.1049999999999999E-2"/>
    <n v="93500"/>
    <n v="93500"/>
    <n v="3"/>
    <n v="5904.5249999999996"/>
    <n v="120"/>
    <n v="0.52602739726027403"/>
    <n v="119.47397260273972"/>
    <s v="Other Activities Related to Real Estate"/>
    <n v="0"/>
    <x v="2"/>
    <x v="0"/>
    <m/>
  </r>
  <r>
    <n v="4109749107"/>
    <s v="Nerac, Inc"/>
    <s v="Tolland"/>
    <s v="CT"/>
    <n v="541990"/>
    <s v="Q"/>
    <s v="ACT/365"/>
    <d v="2022-06-22T00:00:00"/>
    <d v="2047-06-22T00:00:00"/>
    <d v="2022-06-30T00:00:00"/>
    <n v="2.75E-2"/>
    <n v="7.4999999999999997E-2"/>
    <n v="3.4050000000000004E-2"/>
    <n v="1477500"/>
    <n v="1477500"/>
    <n v="3.95"/>
    <n v="198720.05625000002"/>
    <n v="300"/>
    <n v="0.26301369863013702"/>
    <n v="299.73698630136988"/>
    <s v="All Other Professional, Scientific, and Technical Services"/>
    <n v="0.05"/>
    <x v="0"/>
    <x v="0"/>
    <m/>
  </r>
  <r>
    <n v="4119929106"/>
    <s v="Discovery Properties LLC and Supalla, Inc."/>
    <s v="Helena"/>
    <s v="MT"/>
    <n v="624410"/>
    <s v="Q"/>
    <s v="ACT/365"/>
    <d v="2022-06-17T00:00:00"/>
    <d v="2047-06-17T00:00:00"/>
    <d v="2022-06-30T00:00:00"/>
    <n v="1.7500000000000002E-2"/>
    <n v="6.5000000000000002E-2"/>
    <n v="2.4050000000000002E-2"/>
    <n v="1012500"/>
    <n v="1012500"/>
    <n v="3.95"/>
    <n v="96184.968750000015"/>
    <n v="300"/>
    <n v="0.42739726027397262"/>
    <n v="299.57260273972605"/>
    <s v="Child Day Care Services"/>
    <n v="0.05"/>
    <x v="0"/>
    <x v="1"/>
    <m/>
  </r>
  <r>
    <n v="4123829103"/>
    <s v="REAL LEGACY LLC"/>
    <s v="URBANA"/>
    <s v="IL"/>
    <n v="721110"/>
    <s v="Q"/>
    <s v="ACT/365"/>
    <d v="2022-06-21T00:00:00"/>
    <d v="2047-06-24T00:00:00"/>
    <d v="2022-06-30T00:00:00"/>
    <n v="0.02"/>
    <n v="6.7500000000000004E-2"/>
    <n v="2.7149999999999997E-2"/>
    <n v="386250"/>
    <n v="386250"/>
    <n v="3.95"/>
    <n v="41422.415624999994"/>
    <n v="300"/>
    <n v="0.29589041095890412"/>
    <n v="299.70410958904108"/>
    <s v="Hotels (except Casino Hotels) and Motels"/>
    <n v="0.05"/>
    <x v="0"/>
    <x v="1"/>
    <m/>
  </r>
  <r>
    <n v="4124129107"/>
    <s v="SAINIYATI LLC and MINESH BABUBHAI PATEL"/>
    <s v="DUMAS"/>
    <s v="TX"/>
    <n v="447110"/>
    <s v="Q"/>
    <s v="ACT/365"/>
    <d v="2022-06-21T00:00:00"/>
    <d v="2047-06-29T00:00:00"/>
    <d v="2022-06-30T00:00:00"/>
    <n v="0.02"/>
    <n v="6.7500000000000004E-2"/>
    <n v="3.2050000000000002E-2"/>
    <n v="262500"/>
    <n v="262500"/>
    <n v="3.95"/>
    <n v="33231.84375"/>
    <n v="300"/>
    <n v="0.29589041095890412"/>
    <n v="299.70410958904108"/>
    <s v="Gasoline Stations with Convenience Stores"/>
    <n v="0.05"/>
    <x v="0"/>
    <x v="1"/>
    <m/>
  </r>
  <r>
    <n v="4127859109"/>
    <s v="Incredible A1 LLC"/>
    <s v="Mount Arlington"/>
    <s v="NJ"/>
    <n v="811111"/>
    <s v="Q"/>
    <s v="ACT/365"/>
    <d v="2022-06-17T00:00:00"/>
    <d v="2047-06-28T00:00:00"/>
    <d v="2022-06-30T00:00:00"/>
    <n v="2.75E-2"/>
    <n v="7.4999999999999997E-2"/>
    <n v="3.9550000000000002E-2"/>
    <n v="262425"/>
    <n v="262425"/>
    <n v="3.95"/>
    <n v="40996.689562500003"/>
    <n v="300"/>
    <n v="0.42739726027397262"/>
    <n v="299.57260273972605"/>
    <s v="General Automotive Repair"/>
    <n v="0.05"/>
    <x v="0"/>
    <x v="0"/>
    <m/>
  </r>
  <r>
    <n v="4136259108"/>
    <s v="NGJ Management Group LLC"/>
    <s v="Janesville"/>
    <s v="WI"/>
    <n v="721110"/>
    <s v="Q"/>
    <s v="ACT/365"/>
    <d v="2022-06-27T00:00:00"/>
    <d v="2047-06-27T00:00:00"/>
    <d v="2022-06-30T00:00:00"/>
    <n v="1.4999999999999999E-2"/>
    <n v="6.25E-2"/>
    <n v="2.1550000000000003E-2"/>
    <n v="1965975"/>
    <n v="1965975"/>
    <n v="3.95"/>
    <n v="167348.70693750001"/>
    <n v="300"/>
    <n v="9.8630136986301353E-2"/>
    <n v="299.90136986301371"/>
    <s v="Hotels (except Casino Hotels) and Motels"/>
    <n v="0.05"/>
    <x v="0"/>
    <x v="1"/>
    <m/>
  </r>
  <r>
    <n v="4139219102"/>
    <s v="Cesar Mendoza"/>
    <s v="Sutter"/>
    <s v="CA"/>
    <n v="238210"/>
    <s v="Q"/>
    <s v="ACT/365"/>
    <d v="2022-06-24T00:00:00"/>
    <d v="2047-06-30T00:00:00"/>
    <d v="2022-06-30T00:00:00"/>
    <n v="2.75E-2"/>
    <n v="7.4999999999999997E-2"/>
    <n v="3.9550000000000002E-2"/>
    <n v="242250"/>
    <n v="242250"/>
    <n v="3.95"/>
    <n v="37844.900625000002"/>
    <n v="300"/>
    <n v="0.19726027397260271"/>
    <n v="299.80273972602743"/>
    <s v="Electrical Contractors and Other Wiring Installation Contractors"/>
    <n v="0.05"/>
    <x v="0"/>
    <x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s v="Truist"/>
    <n v="1011189103"/>
    <m/>
    <m/>
    <s v="KING, NICOLE L"/>
    <s v="CANOGA PARK"/>
    <x v="0"/>
    <n v="541410"/>
    <s v="Q"/>
    <s v="ACT/365"/>
    <d v="2021-06-14T00:00:00"/>
    <d v="2046-06-14T00:00:00"/>
    <d v="2023-01-01T00:00:00"/>
    <n v="2.2499999999999999E-2"/>
    <n v="9.7500000000000003E-2"/>
    <n v="2.8549999999999999E-2"/>
    <n v="522379.11"/>
    <n v="522379.11"/>
    <n v="3.2748311069733056"/>
    <n v="48840.580901192414"/>
    <n v="300"/>
    <n v="18.608219178082194"/>
    <n v="281.39178082191779"/>
    <x v="0"/>
    <n v="0.03"/>
    <n v="5"/>
    <m/>
    <x v="0"/>
    <m/>
  </r>
  <r>
    <s v="Truist"/>
    <n v="1054399107"/>
    <m/>
    <m/>
    <s v="WS CONSTRUCTION"/>
    <s v="FARMERS BRANCH"/>
    <x v="1"/>
    <n v="236220"/>
    <s v="Q"/>
    <s v="ACT/365"/>
    <d v="2021-06-18T00:00:00"/>
    <d v="2047-01-09T00:00:00"/>
    <d v="2023-01-01T00:00:00"/>
    <n v="0.02"/>
    <n v="9.5000000000000001E-2"/>
    <n v="2.605E-2"/>
    <n v="886656.3"/>
    <n v="886656.3"/>
    <n v="3.2748311069733056"/>
    <n v="75640.072924901935"/>
    <n v="306"/>
    <n v="18.476712328767121"/>
    <n v="287.52328767123288"/>
    <x v="1"/>
    <n v="0.03"/>
    <n v="5"/>
    <m/>
    <x v="1"/>
    <m/>
  </r>
  <r>
    <s v="Truist"/>
    <n v="1187619105"/>
    <m/>
    <m/>
    <s v="HLSL COMPANY"/>
    <s v="ATLANTA"/>
    <x v="2"/>
    <n v="812199"/>
    <s v="Q"/>
    <s v="ACT/365"/>
    <d v="2021-12-10T00:00:00"/>
    <d v="2032-10-10T00:00:00"/>
    <d v="2023-01-01T00:00:00"/>
    <n v="2.2499999999999999E-2"/>
    <n v="9.7500000000000003E-2"/>
    <n v="1.6049999999999998E-2"/>
    <n v="957960"/>
    <n v="957960"/>
    <n v="3.2748311069733056"/>
    <n v="50351.373176140172"/>
    <n v="130"/>
    <n v="12.723287671232876"/>
    <n v="117.27671232876712"/>
    <x v="2"/>
    <n v="0"/>
    <n v="2"/>
    <m/>
    <x v="2"/>
    <m/>
  </r>
  <r>
    <s v="Truist"/>
    <n v="1196659108"/>
    <m/>
    <m/>
    <s v="HACKENSACK TENNIS CENTER, LLC"/>
    <s v="HACKENSACK  "/>
    <x v="3"/>
    <n v="713940"/>
    <s v="Q"/>
    <s v="ACT/365"/>
    <d v="2021-08-12T00:00:00"/>
    <d v="2031-08-12T00:00:00"/>
    <d v="2023-01-01T00:00:00"/>
    <n v="1.7500000000000002E-2"/>
    <n v="9.2499999999999999E-2"/>
    <n v="3.4049999999999997E-2"/>
    <n v="667602.31999999995"/>
    <n v="667602.31999999995"/>
    <n v="3.2748311069733056"/>
    <n v="74442.998959431774"/>
    <n v="120"/>
    <n v="16.668493150684931"/>
    <n v="103.33150684931508"/>
    <x v="3"/>
    <n v="0"/>
    <n v="2"/>
    <m/>
    <x v="3"/>
    <m/>
  </r>
  <r>
    <s v="Truist"/>
    <n v="1226109109"/>
    <m/>
    <m/>
    <s v="LET'S BE FRIENDS ACADEMY LLC"/>
    <s v="JACKSONVILLE"/>
    <x v="4"/>
    <n v="624410"/>
    <s v="Q"/>
    <s v="ACT/365"/>
    <d v="2021-07-23T00:00:00"/>
    <d v="2047-07-23T00:00:00"/>
    <d v="2023-01-01T00:00:00"/>
    <n v="2.2499999999999999E-2"/>
    <n v="9.7500000000000003E-2"/>
    <n v="3.4799999999999998E-2"/>
    <n v="3388089.49"/>
    <n v="3388089.49"/>
    <n v="3.2748311069733056"/>
    <n v="386120.64575613401"/>
    <n v="312"/>
    <n v="17.326027397260273"/>
    <n v="294.67397260273975"/>
    <x v="4"/>
    <n v="0.03"/>
    <n v="5"/>
    <m/>
    <x v="4"/>
    <m/>
  </r>
  <r>
    <s v="Truist"/>
    <n v="1226959106"/>
    <m/>
    <m/>
    <s v="GREAT EAST LAND HOTEL GROUP, INC. DBA LA QUINTA INN &amp; SUITES"/>
    <s v="EASTLAND"/>
    <x v="1"/>
    <n v="721110"/>
    <s v="Q"/>
    <s v="ACT/365"/>
    <d v="2021-07-30T00:00:00"/>
    <d v="2046-07-30T00:00:00"/>
    <d v="2023-01-01T00:00:00"/>
    <n v="0.02"/>
    <n v="9.5000000000000001E-2"/>
    <n v="3.2300000000000002E-2"/>
    <n v="2918037.12"/>
    <n v="2918037.12"/>
    <n v="3.2748311069733056"/>
    <n v="308661.34303968516"/>
    <n v="300"/>
    <n v="17.095890410958901"/>
    <n v="282.90410958904113"/>
    <x v="5"/>
    <n v="0.03"/>
    <n v="5"/>
    <n v="1"/>
    <x v="5"/>
    <m/>
  </r>
  <r>
    <s v="Truist"/>
    <n v="1243979103"/>
    <m/>
    <m/>
    <s v="OG SQUARE PLLC DBA THE LINEUP ORTHODONTICS"/>
    <s v="FRISCO"/>
    <x v="1"/>
    <n v="621210"/>
    <s v="Q"/>
    <s v="ACT/365"/>
    <d v="2021-07-23T00:00:00"/>
    <d v="2046-07-23T00:00:00"/>
    <d v="2023-01-01T00:00:00"/>
    <n v="1.4999999999999999E-2"/>
    <n v="0.09"/>
    <n v="2.7300000000000001E-2"/>
    <n v="1286420.8"/>
    <n v="1286420.8"/>
    <n v="3.2748311069733056"/>
    <n v="115009.73627318136"/>
    <n v="300"/>
    <n v="17.326027397260273"/>
    <n v="282.67397260273975"/>
    <x v="6"/>
    <n v="0.03"/>
    <n v="5"/>
    <n v="0"/>
    <x v="5"/>
    <m/>
  </r>
  <r>
    <s v="Truist"/>
    <n v="1251319104"/>
    <m/>
    <m/>
    <s v="DIAMOND GAS &amp; MART #5"/>
    <s v="MODESTO"/>
    <x v="0"/>
    <n v="447110"/>
    <s v="Q"/>
    <s v="ACT/365"/>
    <d v="2021-07-16T00:00:00"/>
    <d v="2046-08-02T00:00:00"/>
    <d v="2023-01-01T00:00:00"/>
    <n v="1.7500000000000002E-2"/>
    <n v="9.2499999999999999E-2"/>
    <n v="2.3550000000000001E-2"/>
    <n v="951357.98"/>
    <n v="951357.98"/>
    <n v="3.2748311069733056"/>
    <n v="73370.889444463843"/>
    <n v="300"/>
    <n v="17.556164383561644"/>
    <n v="282.44383561643838"/>
    <x v="7"/>
    <n v="0.03"/>
    <n v="5"/>
    <m/>
    <x v="6"/>
    <m/>
  </r>
  <r>
    <s v="Truist"/>
    <n v="1252589106"/>
    <m/>
    <m/>
    <s v="FMH HEALTH SOLUTIONS PC"/>
    <s v="KANSAS CITY"/>
    <x v="5"/>
    <n v="621310"/>
    <s v="Q"/>
    <s v="ACT/365"/>
    <d v="2021-07-21T00:00:00"/>
    <d v="2046-07-21T00:00:00"/>
    <d v="2023-01-01T00:00:00"/>
    <n v="2.75E-2"/>
    <n v="0.10249999999999999"/>
    <n v="3.9800000000000002E-2"/>
    <n v="1081936.3700000001"/>
    <n v="1081936.3700000001"/>
    <n v="3.2748311069733056"/>
    <n v="141017.72343362286"/>
    <n v="300"/>
    <n v="17.391780821917806"/>
    <n v="282.60821917808221"/>
    <x v="8"/>
    <n v="0.03"/>
    <n v="5"/>
    <m/>
    <x v="5"/>
    <m/>
  </r>
  <r>
    <s v="Truist"/>
    <n v="1253689103"/>
    <m/>
    <m/>
    <s v="SKYS THE LIMIT FIBERGLASS REPAIR LLC"/>
    <s v="DEEPWATER"/>
    <x v="5"/>
    <n v="811490"/>
    <s v="Q"/>
    <s v="ACT/365"/>
    <d v="2021-07-22T00:00:00"/>
    <d v="2046-07-22T00:00:00"/>
    <d v="2023-01-01T00:00:00"/>
    <n v="1.7500000000000002E-2"/>
    <n v="9.2499999999999999E-2"/>
    <n v="2.3550000000000001E-2"/>
    <n v="103460.63"/>
    <n v="103460.63"/>
    <n v="3.2748311069733056"/>
    <n v="7979.1189070433602"/>
    <n v="300"/>
    <n v="17.358904109589041"/>
    <n v="282.64109589041095"/>
    <x v="9"/>
    <n v="0.03"/>
    <n v="5"/>
    <m/>
    <x v="7"/>
    <m/>
  </r>
  <r>
    <s v="Truist"/>
    <n v="1257809110"/>
    <m/>
    <m/>
    <s v="TOPELS HOLDINGS LLC*"/>
    <s v="LAKE MILLS"/>
    <x v="6"/>
    <n v="811111"/>
    <s v="Q"/>
    <s v="ACT/365"/>
    <d v="2021-09-22T00:00:00"/>
    <d v="2047-05-22T00:00:00"/>
    <d v="2023-01-01T00:00:00"/>
    <n v="2.5000000000000001E-2"/>
    <n v="0.1"/>
    <n v="3.73E-2"/>
    <n v="2830499.97"/>
    <n v="2830499.97"/>
    <n v="3.2748311069733056"/>
    <n v="345748.96875660418"/>
    <n v="308"/>
    <n v="15.32054794520548"/>
    <n v="292.67945205479452"/>
    <x v="10"/>
    <n v="0.03"/>
    <n v="5"/>
    <m/>
    <x v="8"/>
    <m/>
  </r>
  <r>
    <s v="Truist"/>
    <n v="1320249101"/>
    <m/>
    <m/>
    <s v="WDW BIRMINGHAM PLLC"/>
    <s v="BIRMINGHAM"/>
    <x v="7"/>
    <n v="621210"/>
    <s v="Q"/>
    <s v="ACT/365"/>
    <d v="2021-08-04T00:00:00"/>
    <d v="2046-08-04T00:00:00"/>
    <d v="2023-01-01T00:00:00"/>
    <n v="0.02"/>
    <n v="9.5000000000000001E-2"/>
    <n v="3.2300000000000002E-2"/>
    <n v="309510.61"/>
    <n v="309510.61"/>
    <n v="3.2748311069733056"/>
    <n v="32739.117646190942"/>
    <n v="300"/>
    <n v="16.93150684931507"/>
    <n v="283.06849315068496"/>
    <x v="6"/>
    <n v="0.03"/>
    <n v="5"/>
    <m/>
    <x v="5"/>
    <m/>
  </r>
  <r>
    <s v="Truist"/>
    <n v="1323489109"/>
    <m/>
    <m/>
    <s v="AGHA TRADERS LLC &amp; ALIMAA LLC DBA MR. KWIK"/>
    <s v="LONGVIEW"/>
    <x v="1"/>
    <n v="457110"/>
    <s v="Q"/>
    <s v="ACT/365"/>
    <d v="2021-09-01T00:00:00"/>
    <d v="2046-09-01T00:00:00"/>
    <d v="2023-01-01T00:00:00"/>
    <n v="0.02"/>
    <n v="9.5000000000000001E-2"/>
    <n v="1.03E-2"/>
    <n v="728850.69"/>
    <n v="728850.69"/>
    <n v="3.2748311069733056"/>
    <n v="24584.687993094863"/>
    <n v="300"/>
    <n v="16.010958904109589"/>
    <n v="283.9890410958904"/>
    <x v="11"/>
    <n v="0.03"/>
    <n v="5"/>
    <m/>
    <x v="9"/>
    <m/>
  </r>
  <r>
    <s v="Truist"/>
    <n v="1326489104"/>
    <m/>
    <m/>
    <s v="JIMMY H. TRAN, D.D.S., INC"/>
    <s v="NEWPORT BEACH"/>
    <x v="0"/>
    <n v="621210"/>
    <s v="Q"/>
    <s v="ACT/365"/>
    <d v="2021-09-02T00:00:00"/>
    <d v="2046-09-02T00:00:00"/>
    <d v="2023-01-01T00:00:00"/>
    <n v="1.7500000000000002E-2"/>
    <n v="9.2499999999999999E-2"/>
    <n v="2.98E-2"/>
    <n v="1138376.02"/>
    <n v="1138376.02"/>
    <n v="3.2748311069733056"/>
    <n v="111094.07821150828"/>
    <n v="300"/>
    <n v="15.978082191780823"/>
    <n v="284.0219178082192"/>
    <x v="6"/>
    <n v="0.03"/>
    <n v="5"/>
    <m/>
    <x v="5"/>
    <m/>
  </r>
  <r>
    <s v="Truist"/>
    <n v="1327279102"/>
    <m/>
    <m/>
    <s v="MEDALLION INVESTMENTS IV, INC. DBA LAQUINTA INN &amp; SUITES HOUSTON HOBBY"/>
    <s v="HOUSTON"/>
    <x v="1"/>
    <n v="721110"/>
    <s v="Q"/>
    <s v="ACT/365"/>
    <d v="2021-08-06T00:00:00"/>
    <d v="2046-08-06T00:00:00"/>
    <d v="2023-01-01T00:00:00"/>
    <n v="1.4999999999999999E-2"/>
    <n v="0.09"/>
    <n v="2.7300000000000001E-2"/>
    <n v="2850547.02"/>
    <n v="2850547.02"/>
    <n v="3.2748311069733056"/>
    <n v="254847.13944651937"/>
    <n v="300"/>
    <n v="16.865753424657534"/>
    <n v="283.13424657534244"/>
    <x v="5"/>
    <n v="0.03"/>
    <n v="5"/>
    <m/>
    <x v="5"/>
    <m/>
  </r>
  <r>
    <s v="Truist"/>
    <n v="1327549100"/>
    <m/>
    <m/>
    <s v="DEZAVALA DENTAL &amp; BRACES PLLC"/>
    <s v="SAN ANTONIO"/>
    <x v="1"/>
    <n v="621210"/>
    <s v="Q"/>
    <s v="ACT/365"/>
    <d v="2021-08-09T00:00:00"/>
    <d v="2046-08-09T00:00:00"/>
    <d v="2023-01-01T00:00:00"/>
    <n v="2.75E-2"/>
    <n v="0.10249999999999999"/>
    <n v="3.9800000000000002E-2"/>
    <n v="1459889.4"/>
    <n v="1459889.4"/>
    <n v="3.2748311069733056"/>
    <n v="190279.47055045169"/>
    <n v="300"/>
    <n v="16.767123287671232"/>
    <n v="283.23287671232879"/>
    <x v="6"/>
    <n v="0.03"/>
    <n v="5"/>
    <m/>
    <x v="5"/>
    <m/>
  </r>
  <r>
    <s v="Truist"/>
    <n v="1333079108"/>
    <m/>
    <m/>
    <s v="AZUSA FINANCIAL INVESTMENT LLC"/>
    <s v="AZUSA"/>
    <x v="0"/>
    <s v="445120 / 453991"/>
    <s v="Q"/>
    <s v="ACT/365"/>
    <d v="2021-08-05T00:00:00"/>
    <d v="2046-08-17T00:00:00"/>
    <d v="2023-01-01T00:00:00"/>
    <n v="1.4999999999999999E-2"/>
    <n v="0.09"/>
    <n v="1.355E-2"/>
    <n v="673084.22"/>
    <n v="673084.22"/>
    <n v="3.2748311069733056"/>
    <n v="29867.413264193103"/>
    <n v="300"/>
    <n v="16.898630136986302"/>
    <n v="283.1013698630137"/>
    <x v="11"/>
    <n v="0.03"/>
    <n v="5"/>
    <m/>
    <x v="10"/>
    <m/>
  </r>
  <r>
    <s v="Truist"/>
    <n v="1334369103"/>
    <m/>
    <m/>
    <s v="REICHARDT, JAMES D"/>
    <s v="SANTA ROSA"/>
    <x v="0"/>
    <n v="112390"/>
    <s v="Q"/>
    <s v="ACT/365"/>
    <d v="2021-09-15T00:00:00"/>
    <d v="2046-09-15T00:00:00"/>
    <d v="2023-01-01T00:00:00"/>
    <n v="0.02"/>
    <n v="9.5000000000000001E-2"/>
    <n v="1.8550000000000001E-2"/>
    <n v="1674244.61"/>
    <n v="1674244.61"/>
    <n v="3.2748311069733056"/>
    <n v="101707.20751241775"/>
    <n v="300"/>
    <n v="15.550684931506847"/>
    <n v="284.44931506849315"/>
    <x v="12"/>
    <n v="0.03"/>
    <n v="5"/>
    <m/>
    <x v="0"/>
    <m/>
  </r>
  <r>
    <s v="Truist"/>
    <n v="1343349110"/>
    <m/>
    <m/>
    <s v="ARYAN HOSPITALITY LLC"/>
    <s v="ALBUQUERQUE"/>
    <x v="8"/>
    <n v="721110"/>
    <s v="Q"/>
    <s v="ACT/365"/>
    <d v="2021-09-14T00:00:00"/>
    <d v="2046-09-14T00:00:00"/>
    <d v="2023-01-01T00:00:00"/>
    <n v="1.2500000000000001E-2"/>
    <n v="8.7499999999999994E-2"/>
    <n v="2.4799999999999999E-2"/>
    <n v="2631645.7200000002"/>
    <n v="2631645.7200000002"/>
    <n v="3.2748311069733056"/>
    <n v="213731.24260645124"/>
    <n v="300"/>
    <n v="15.583561643835615"/>
    <n v="284.41643835616441"/>
    <x v="5"/>
    <n v="0.03"/>
    <n v="5"/>
    <m/>
    <x v="5"/>
    <m/>
  </r>
  <r>
    <s v="Truist"/>
    <n v="1344629102"/>
    <m/>
    <m/>
    <s v="BIG HEART LLC DBA CHICK'NCONE"/>
    <s v="SAN MARCOS"/>
    <x v="0"/>
    <n v="722513"/>
    <s v="Q"/>
    <s v="ACT/365"/>
    <d v="2021-08-31T00:00:00"/>
    <d v="2031-12-31T00:00:00"/>
    <d v="2023-01-01T00:00:00"/>
    <n v="2.75E-2"/>
    <n v="0.10249999999999999"/>
    <n v="1.9799999999999998E-2"/>
    <n v="196696.41"/>
    <n v="196696.41"/>
    <n v="3.2748311069733056"/>
    <n v="12754.120937539907"/>
    <n v="124"/>
    <n v="16.043835616438358"/>
    <n v="107.95616438356164"/>
    <x v="13"/>
    <n v="0"/>
    <n v="2"/>
    <m/>
    <x v="11"/>
    <m/>
  </r>
  <r>
    <s v="Truist"/>
    <n v="1358449108"/>
    <m/>
    <m/>
    <s v="SHAPES AND FORMS, LLC"/>
    <s v="LOS ANGELES"/>
    <x v="0"/>
    <n v="512110"/>
    <s v="Q"/>
    <s v="ACT/365"/>
    <d v="2021-08-19T00:00:00"/>
    <d v="2046-09-02T00:00:00"/>
    <d v="2023-01-01T00:00:00"/>
    <n v="1.4999999999999999E-2"/>
    <n v="0.09"/>
    <n v="1.355E-2"/>
    <n v="385508.57"/>
    <n v="385508.57"/>
    <n v="3.2748311069733056"/>
    <n v="17106.542442902784"/>
    <n v="300"/>
    <n v="16.43835616438356"/>
    <n v="283.56164383561645"/>
    <x v="14"/>
    <n v="0.03"/>
    <n v="5"/>
    <n v="0"/>
    <x v="10"/>
    <m/>
  </r>
  <r>
    <s v="Truist"/>
    <n v="1363949110"/>
    <m/>
    <m/>
    <s v="R &amp; R EXCAVATING_x000a_SERVICE INC"/>
    <s v="PICKFORD"/>
    <x v="7"/>
    <n v="238910"/>
    <s v="Q"/>
    <s v="ACT/365"/>
    <d v="2021-08-26T00:00:00"/>
    <d v="2031-08-26T00:00:00"/>
    <d v="2023-01-01T00:00:00"/>
    <n v="0.02"/>
    <n v="9.5000000000000001E-2"/>
    <n v="3.6549999999999999E-2"/>
    <n v="110925.62"/>
    <n v="110925.62"/>
    <n v="3.2748311069733056"/>
    <n v="13277.250622721773"/>
    <n v="120"/>
    <n v="16.208219178082189"/>
    <n v="103.79178082191781"/>
    <x v="15"/>
    <n v="0"/>
    <n v="2"/>
    <m/>
    <x v="12"/>
    <m/>
  </r>
  <r>
    <s v="Truist"/>
    <n v="1381569107"/>
    <m/>
    <m/>
    <s v="PIZZA JK CORP"/>
    <s v="DAVISON"/>
    <x v="7"/>
    <n v="722110"/>
    <s v="Q"/>
    <s v="ACT/365"/>
    <d v="2021-08-23T00:00:00"/>
    <d v="2031-08-23T00:00:00"/>
    <d v="2023-01-01T00:00:00"/>
    <n v="2.75E-2"/>
    <n v="0.10249999999999999"/>
    <n v="9.7999999999999997E-3"/>
    <n v="302222.87"/>
    <n v="302222.87"/>
    <n v="3.2748311069733056"/>
    <n v="9699.3427879645442"/>
    <n v="120"/>
    <n v="16.306849315068494"/>
    <n v="103.69315068493151"/>
    <x v="11"/>
    <n v="0"/>
    <n v="2"/>
    <m/>
    <x v="12"/>
    <m/>
  </r>
  <r>
    <s v="Truist"/>
    <n v="1386399103"/>
    <m/>
    <m/>
    <s v="WEST COAST OREGON GROUP LLC"/>
    <s v="TIGARD"/>
    <x v="9"/>
    <n v="447190"/>
    <s v="Q"/>
    <s v="ACT/365"/>
    <d v="2021-08-24T00:00:00"/>
    <d v="2046-09-03T00:00:00"/>
    <d v="2023-01-01T00:00:00"/>
    <n v="1.4999999999999999E-2"/>
    <n v="0.09"/>
    <n v="1.355E-2"/>
    <n v="1376214.05"/>
    <n v="1376214.05"/>
    <n v="3.2748311069733056"/>
    <n v="61068.069269754851"/>
    <n v="300"/>
    <n v="16.273972602739725"/>
    <n v="283.72602739726028"/>
    <x v="16"/>
    <n v="0.03"/>
    <n v="5"/>
    <m/>
    <x v="10"/>
    <m/>
  </r>
  <r>
    <s v="Truist"/>
    <n v="1394559103"/>
    <m/>
    <m/>
    <s v="FINAL FORE LLC"/>
    <s v="AVON"/>
    <x v="10"/>
    <n v="713990"/>
    <s v="Q"/>
    <s v="ACT/365"/>
    <d v="2021-08-30T00:00:00"/>
    <d v="2031-08-30T00:00:00"/>
    <d v="2023-01-01T00:00:00"/>
    <n v="2.75E-2"/>
    <n v="0.10249999999999999"/>
    <n v="9.7999999999999997E-3"/>
    <n v="736075.32"/>
    <n v="736075.32"/>
    <n v="3.2748311069733056"/>
    <n v="23623.119079111035"/>
    <n v="120"/>
    <n v="16.076712328767123"/>
    <n v="103.92328767123288"/>
    <x v="17"/>
    <n v="0"/>
    <n v="2"/>
    <n v="0"/>
    <x v="12"/>
    <m/>
  </r>
  <r>
    <s v="Truist"/>
    <n v="1406899109"/>
    <m/>
    <m/>
    <s v="LAVEEN TIRE AND AUTO LLC"/>
    <s v="MESA"/>
    <x v="11"/>
    <n v="441320"/>
    <s v="Q"/>
    <s v="ACT/365"/>
    <d v="2021-08-27T00:00:00"/>
    <d v="2031-08-27T00:00:00"/>
    <d v="2023-01-01T00:00:00"/>
    <n v="2.75E-2"/>
    <n v="0.10249999999999999"/>
    <n v="4.4050000000000006E-2"/>
    <n v="289958.52"/>
    <n v="289958.52"/>
    <n v="3.2748311069733056"/>
    <n v="41828.346224280824"/>
    <n v="120"/>
    <n v="16.175342465753424"/>
    <n v="103.82465753424657"/>
    <x v="18"/>
    <n v="0"/>
    <n v="2"/>
    <m/>
    <x v="13"/>
    <m/>
  </r>
  <r>
    <s v="Truist"/>
    <n v="1416929109"/>
    <m/>
    <m/>
    <s v="THF SPORTS_x000a_ENTERTAINMENT CORP"/>
    <s v="BROADVIEW HEIGHTS"/>
    <x v="10"/>
    <n v="713990"/>
    <s v="Q"/>
    <s v="ACT/365"/>
    <d v="2021-08-31T00:00:00"/>
    <d v="2031-08-31T00:00:00"/>
    <d v="2023-01-01T00:00:00"/>
    <n v="2.75E-2"/>
    <n v="0.10249999999999999"/>
    <n v="9.7999999999999997E-3"/>
    <n v="724807.67"/>
    <n v="724807.67"/>
    <n v="3.2748311069733056"/>
    <n v="23261.502502030657"/>
    <n v="120"/>
    <n v="16.043835616438358"/>
    <n v="103.95616438356164"/>
    <x v="17"/>
    <n v="0"/>
    <n v="2"/>
    <m/>
    <x v="12"/>
    <m/>
  </r>
  <r>
    <s v="Truist"/>
    <n v="1471059100"/>
    <m/>
    <m/>
    <s v="SKM FUELS, INC. DBA SKM FUELS, INC"/>
    <s v="ANZA"/>
    <x v="0"/>
    <n v="447110"/>
    <s v="Q"/>
    <s v="ACT/365"/>
    <d v="2021-08-25T00:00:00"/>
    <d v="2046-09-20T00:00:00"/>
    <d v="2023-01-01T00:00:00"/>
    <n v="1.7500000000000002E-2"/>
    <n v="9.2499999999999999E-2"/>
    <n v="3.4049999999999997E-2"/>
    <n v="2028635.1"/>
    <n v="2028635.1"/>
    <n v="3.2748311069733056"/>
    <n v="226209.04109255757"/>
    <n v="300"/>
    <n v="16.241095890410961"/>
    <n v="283.75890410958903"/>
    <x v="7"/>
    <n v="0.03"/>
    <n v="5"/>
    <m/>
    <x v="14"/>
    <m/>
  </r>
  <r>
    <s v="Truist"/>
    <n v="1483319103"/>
    <m/>
    <m/>
    <s v=" SHUBH DEIP HOLDINGS LLC DBA CODE NINJA"/>
    <s v="LIVINGSTON"/>
    <x v="3"/>
    <n v="611699"/>
    <s v="Q"/>
    <s v="ACT/365"/>
    <d v="2021-10-27T00:00:00"/>
    <d v="2031-10-27T00:00:00"/>
    <d v="2023-01-01T00:00:00"/>
    <n v="2.75E-2"/>
    <n v="0.10249999999999999"/>
    <n v="4.0050000000000009E-2"/>
    <n v="203073.04"/>
    <n v="203073.04"/>
    <n v="3.2748311069733056"/>
    <n v="26634.447830604364"/>
    <n v="120"/>
    <n v="14.169863013698629"/>
    <n v="105.83013698630137"/>
    <x v="19"/>
    <n v="0"/>
    <n v="2"/>
    <m/>
    <x v="15"/>
    <m/>
  </r>
  <r>
    <s v="Truist"/>
    <n v="1493509105"/>
    <m/>
    <m/>
    <s v="5280 INSURANCE GROUP_x000a_LLC"/>
    <s v="GOLDEN"/>
    <x v="10"/>
    <n v="524210"/>
    <s v="Q"/>
    <s v="ACT/365"/>
    <d v="2021-08-30T00:00:00"/>
    <d v="2031-08-30T00:00:00"/>
    <d v="2023-01-01T00:00:00"/>
    <n v="2.75E-2"/>
    <n v="0.10249999999999999"/>
    <n v="9.7999999999999997E-3"/>
    <n v="310694.40000000002"/>
    <n v="310694.40000000002"/>
    <n v="3.2748311069733056"/>
    <n v="9971.222521647589"/>
    <n v="120"/>
    <n v="16.076712328767123"/>
    <n v="103.92328767123288"/>
    <x v="20"/>
    <n v="0"/>
    <n v="2"/>
    <m/>
    <x v="12"/>
    <m/>
  </r>
  <r>
    <s v="Truist"/>
    <n v="1507459105"/>
    <m/>
    <m/>
    <s v="KESARINAND 158 LLC"/>
    <s v="CORNELIA"/>
    <x v="2"/>
    <n v="447110"/>
    <s v="Q"/>
    <s v="ACT/365"/>
    <d v="2021-09-03T00:00:00"/>
    <d v="2047-09-03T00:00:00"/>
    <d v="2023-01-01T00:00:00"/>
    <n v="1.4999999999999999E-2"/>
    <n v="0.09"/>
    <n v="2.7300000000000001E-2"/>
    <n v="1115008.29"/>
    <n v="1115008.29"/>
    <n v="3.2748311069733056"/>
    <n v="99684.96263066557"/>
    <n v="312"/>
    <n v="15.945205479452055"/>
    <n v="296.05479452054794"/>
    <x v="7"/>
    <n v="0.03"/>
    <n v="5"/>
    <n v="1"/>
    <x v="16"/>
    <m/>
  </r>
  <r>
    <s v="Truist"/>
    <n v="1541299109"/>
    <m/>
    <m/>
    <s v="SULESHWARI GLENDALE WASH LLC"/>
    <s v="GLENDALE"/>
    <x v="11"/>
    <n v="811192"/>
    <s v="Q"/>
    <s v="ACT/365"/>
    <d v="2021-09-13T00:00:00"/>
    <d v="2046-09-13T00:00:00"/>
    <d v="2023-01-01T00:00:00"/>
    <n v="1.4999999999999999E-2"/>
    <n v="0.09"/>
    <n v="1.355E-2"/>
    <n v="1734483.09"/>
    <n v="1734483.09"/>
    <n v="3.2748311069733056"/>
    <n v="76965.885857173489"/>
    <n v="300"/>
    <n v="15.616438356164384"/>
    <n v="284.38356164383561"/>
    <x v="21"/>
    <n v="0.03"/>
    <n v="5"/>
    <n v="1"/>
    <x v="17"/>
    <m/>
  </r>
  <r>
    <s v="Truist"/>
    <n v="1568249105"/>
    <m/>
    <m/>
    <s v="BSBC HOLDINGS LLC AND BUILDER'S SUPPLY BLOCK COMPANY, LLC"/>
    <s v="COOKEVILLE"/>
    <x v="12"/>
    <n v="327331"/>
    <s v="Q"/>
    <s v="ACT/365"/>
    <d v="2021-12-30T00:00:00"/>
    <d v="2032-01-04T00:00:00"/>
    <d v="2023-01-01T00:00:00"/>
    <n v="0.02"/>
    <n v="9.5000000000000001E-2"/>
    <n v="3.6549999999999999E-2"/>
    <n v="2183108.56"/>
    <n v="2183108.56"/>
    <n v="3.2748311069733056"/>
    <n v="261307.34710096041"/>
    <n v="120"/>
    <n v="12.065753424657533"/>
    <n v="107.93424657534247"/>
    <x v="22"/>
    <n v="0"/>
    <n v="2"/>
    <n v="0"/>
    <x v="18"/>
    <m/>
  </r>
  <r>
    <s v="Truist"/>
    <n v="1670069106"/>
    <m/>
    <m/>
    <s v="TEF ENTERPRISES, LLC./ BUTTERFLY ADVENTURES, INC. DBA MASSAGE LUXR"/>
    <s v="SOUTH JORDAN"/>
    <x v="13"/>
    <n v="621399"/>
    <s v="Q"/>
    <s v="ACT/365"/>
    <d v="2021-12-10T00:00:00"/>
    <d v="2032-09-10T00:00:00"/>
    <d v="2023-01-01T00:00:00"/>
    <n v="1.2500000000000001E-2"/>
    <n v="8.7499999999999994E-2"/>
    <n v="6.0499999999999998E-3"/>
    <n v="313320.83"/>
    <n v="313320.83"/>
    <n v="3.2748311069733056"/>
    <n v="6207.7404433075044"/>
    <n v="129"/>
    <n v="12.723287671232876"/>
    <n v="116.27671232876712"/>
    <x v="23"/>
    <n v="0"/>
    <n v="2"/>
    <m/>
    <x v="19"/>
    <m/>
  </r>
  <r>
    <s v="Truist"/>
    <n v="1708319105"/>
    <m/>
    <m/>
    <s v="RARANE BRIGHT STAR LLC"/>
    <s v="SAMMAMISH"/>
    <x v="14"/>
    <n v="624410"/>
    <s v="Q"/>
    <s v="ACT/365"/>
    <d v="2022-02-28T00:00:00"/>
    <d v="2032-02-28T00:00:00"/>
    <d v="2023-01-01T00:00:00"/>
    <n v="2.75E-2"/>
    <n v="0.10249999999999999"/>
    <n v="4.4050000000000006E-2"/>
    <n v="1864385.61"/>
    <n v="1864385.61"/>
    <n v="3.2748311069733056"/>
    <n v="268949.38900449278"/>
    <n v="120"/>
    <n v="10.093150684931507"/>
    <n v="109.9068493150685"/>
    <x v="4"/>
    <n v="0"/>
    <n v="2"/>
    <m/>
    <x v="20"/>
    <m/>
  </r>
  <r>
    <s v="Truist"/>
    <n v="1798649102"/>
    <m/>
    <m/>
    <s v="EJIMA CORPORATION"/>
    <s v="AUSTELL"/>
    <x v="2"/>
    <n v="458110"/>
    <s v="Q"/>
    <s v="ACT/365"/>
    <d v="2022-03-16T00:00:00"/>
    <d v="2032-06-16T00:00:00"/>
    <d v="2023-01-01T00:00:00"/>
    <n v="2.75E-2"/>
    <n v="0.10249999999999999"/>
    <n v="1.5300000000000001E-2"/>
    <n v="311913.87"/>
    <n v="311913.87"/>
    <n v="3.2748311069733056"/>
    <n v="15628.418235838144"/>
    <n v="123"/>
    <n v="9.5671232876712331"/>
    <n v="113.43287671232876"/>
    <x v="11"/>
    <n v="0"/>
    <n v="2"/>
    <m/>
    <x v="9"/>
    <m/>
  </r>
  <r>
    <s v="Truist"/>
    <n v="2028969102"/>
    <m/>
    <m/>
    <s v="A&amp;A PIZZA LLC"/>
    <s v="HOMESTEAD"/>
    <x v="4"/>
    <n v="722513"/>
    <s v="Q"/>
    <s v="ACT/365"/>
    <d v="2022-03-30T00:00:00"/>
    <d v="2032-09-30T00:00:00"/>
    <d v="2023-01-01T00:00:00"/>
    <n v="2.75E-2"/>
    <n v="0.10249999999999999"/>
    <n v="1.6149999999999998E-2"/>
    <n v="386250"/>
    <n v="386250"/>
    <n v="3.2748311069733056"/>
    <n v="20428.191768355293"/>
    <n v="126"/>
    <n v="9.1068493150684926"/>
    <n v="116.89315068493151"/>
    <x v="13"/>
    <n v="0"/>
    <n v="2"/>
    <m/>
    <x v="21"/>
    <m/>
  </r>
  <r>
    <s v="Truist"/>
    <n v="2137748501"/>
    <n v="442"/>
    <n v="2"/>
    <s v="QT AUTO SERVICES LLC"/>
    <s v="FARMINGTON"/>
    <x v="5"/>
    <n v="811191"/>
    <s v="Q"/>
    <s v="ACT/365"/>
    <d v="2021-06-17T00:00:00"/>
    <d v="2041-06-17T00:00:00"/>
    <d v="2023-01-01T00:00:00"/>
    <n v="2.75E-2"/>
    <n v="0.10249999999999999"/>
    <n v="4.4050000000000006E-2"/>
    <n v="718169.8"/>
    <n v="718169.8"/>
    <n v="3.2748311069733056"/>
    <n v="103600.52548972356"/>
    <n v="240"/>
    <n v="18.509589041095889"/>
    <n v="221.49041095890411"/>
    <x v="24"/>
    <n v="0.03"/>
    <n v="4"/>
    <n v="0"/>
    <x v="22"/>
    <m/>
  </r>
  <r>
    <s v="Truist"/>
    <n v="2584999101"/>
    <n v="616"/>
    <n v="1"/>
    <s v="BG HOTEL GROUP LL"/>
    <s v="LANCASTER"/>
    <x v="0"/>
    <n v="721110"/>
    <s v="Q"/>
    <s v="ACT/365"/>
    <d v="2021-12-08T00:00:00"/>
    <d v="2046-12-09T00:00:00"/>
    <d v="2023-01-01T00:00:00"/>
    <n v="1.2500000000000001E-2"/>
    <n v="8.7499999999999994E-2"/>
    <n v="1.3049999999999999E-2"/>
    <n v="3697992.73"/>
    <n v="3697992.73"/>
    <n v="3.2748311069733056"/>
    <n v="158039.43621362501"/>
    <n v="300"/>
    <n v="12.789041095890411"/>
    <n v="287.21095890410959"/>
    <x v="5"/>
    <n v="0.03"/>
    <n v="5"/>
    <n v="1"/>
    <x v="23"/>
    <m/>
  </r>
  <r>
    <s v="Truist"/>
    <n v="2784319101"/>
    <n v="709"/>
    <n v="3"/>
    <s v="AMG AUTO, INC. DBA M SPORT"/>
    <s v="SOMERVILLE"/>
    <x v="3"/>
    <n v="441120"/>
    <s v="Q"/>
    <s v="ACT/365"/>
    <d v="2022-03-11T00:00:00"/>
    <d v="2032-03-11T00:00:00"/>
    <d v="2023-01-01T00:00:00"/>
    <n v="2.75E-2"/>
    <n v="0.10249999999999999"/>
    <n v="3.8550000000000001E-2"/>
    <n v="2015152.2"/>
    <n v="2015152.2"/>
    <n v="3.2748311069733056"/>
    <n v="254402.36388455145"/>
    <n v="120"/>
    <n v="9.7315068493150676"/>
    <n v="110.26849315068493"/>
    <x v="25"/>
    <n v="0"/>
    <n v="2"/>
    <n v="0"/>
    <x v="11"/>
    <m/>
  </r>
  <r>
    <s v="Truist"/>
    <n v="2816189105"/>
    <n v="726"/>
    <n v="2"/>
    <s v="ISSOY INC"/>
    <s v="LAUDERDALE LAKES"/>
    <x v="4"/>
    <n v="454110"/>
    <s v="Q"/>
    <s v="ACT/365"/>
    <d v="2022-03-28T00:00:00"/>
    <d v="2047-03-28T00:00:00"/>
    <d v="2023-01-01T00:00:00"/>
    <n v="2.2499999999999999E-2"/>
    <n v="9.7500000000000003E-2"/>
    <n v="2.9299999999999996E-2"/>
    <n v="2009217.65"/>
    <n v="2009217.65"/>
    <n v="3.2748311069733056"/>
    <n v="192789.55990436423"/>
    <n v="300"/>
    <n v="9.1726027397260275"/>
    <n v="290.82739726027398"/>
    <x v="26"/>
    <n v="0.05"/>
    <n v="5"/>
    <n v="0"/>
    <x v="24"/>
    <m/>
  </r>
  <r>
    <s v="Truist"/>
    <n v="2819549101"/>
    <n v="692"/>
    <n v="2"/>
    <s v="SHERWOOD HOSPITALITY GROUP, LLC DBA VILLAGE INN RESTAURANT"/>
    <s v="TAMPA"/>
    <x v="4"/>
    <n v="722511"/>
    <s v="Q"/>
    <s v="ACT/365"/>
    <d v="2022-02-22T00:00:00"/>
    <d v="2047-02-22T00:00:00"/>
    <d v="2023-01-01T00:00:00"/>
    <n v="2.75E-2"/>
    <n v="0.10249999999999999"/>
    <n v="3.8550000000000001E-2"/>
    <n v="3716416.55"/>
    <n v="3716416.55"/>
    <n v="3.2748311069733056"/>
    <n v="469178.03801602143"/>
    <n v="300"/>
    <n v="10.29041095890411"/>
    <n v="289.70958904109591"/>
    <x v="27"/>
    <n v="0.05"/>
    <n v="5"/>
    <n v="1"/>
    <x v="11"/>
    <m/>
  </r>
  <r>
    <s v="Truist"/>
    <n v="2944929107"/>
    <n v="715"/>
    <n v="3"/>
    <s v="REGENERATION PHYSICAL THERAPY LLC DBA REGEN PT"/>
    <s v="GARDENDALE"/>
    <x v="15"/>
    <n v="621340"/>
    <s v="Q"/>
    <s v="ACT/365"/>
    <d v="2022-03-17T00:00:00"/>
    <d v="2032-06-17T00:00:00"/>
    <d v="2023-01-01T00:00:00"/>
    <n v="2.75E-2"/>
    <n v="0.10249999999999999"/>
    <n v="4.0050000000000009E-2"/>
    <n v="121505.88"/>
    <n v="121505.88"/>
    <n v="3.2748311069733056"/>
    <n v="15936.344981941838"/>
    <n v="123"/>
    <n v="9.5342465753424648"/>
    <n v="113.46575342465754"/>
    <x v="28"/>
    <n v="0"/>
    <n v="2"/>
    <n v="0"/>
    <x v="25"/>
    <m/>
  </r>
  <r>
    <s v="Truist"/>
    <n v="2971809101"/>
    <n v="698"/>
    <n v="3"/>
    <s v="THE MORRIS LAW FIRM, P.C."/>
    <s v="BUFFALO"/>
    <x v="16"/>
    <n v="541110"/>
    <s v="Q"/>
    <s v="ACT/365"/>
    <d v="2022-02-28T00:00:00"/>
    <d v="2032-02-02T00:00:00"/>
    <d v="2023-01-01T00:00:00"/>
    <n v="2.75E-2"/>
    <n v="0.10249999999999999"/>
    <n v="2.98E-2"/>
    <n v="251621.86"/>
    <n v="251621.86"/>
    <n v="3.2748311069733056"/>
    <n v="24555.769010809967"/>
    <n v="119"/>
    <n v="10.093150684931507"/>
    <n v="108.9068493150685"/>
    <x v="29"/>
    <n v="0"/>
    <n v="2"/>
    <n v="0"/>
    <x v="11"/>
    <m/>
  </r>
  <r>
    <s v="Truist"/>
    <n v="3050718810"/>
    <n v="510"/>
    <n v="2"/>
    <s v="ARTESIAN FOOD &amp; SPIRITS INC. DBA PREMIUM FOOD &amp; LIQUOR"/>
    <s v="CHICAGO"/>
    <x v="17"/>
    <n v="445110"/>
    <s v="Q"/>
    <s v="ACT/365"/>
    <d v="2021-08-24T00:00:00"/>
    <d v="2046-08-24T00:00:00"/>
    <d v="2023-01-01T00:00:00"/>
    <n v="0.02"/>
    <n v="9.5000000000000001E-2"/>
    <n v="3.2300000000000002E-2"/>
    <n v="1103735.6599999999"/>
    <n v="1103735.6599999999"/>
    <n v="3.2748311069733056"/>
    <n v="116749.89630577191"/>
    <n v="300"/>
    <n v="16.273972602739725"/>
    <n v="283.72602739726028"/>
    <x v="30"/>
    <n v="0.03"/>
    <n v="5"/>
    <n v="0"/>
    <x v="5"/>
    <m/>
  </r>
  <r>
    <s v="Truist"/>
    <n v="3148779103"/>
    <n v="902"/>
    <n v="2"/>
    <s v="ROYAL9 LLC"/>
    <s v="BURLINGTON"/>
    <x v="3"/>
    <n v="454390"/>
    <s v="Q"/>
    <s v="ACT/365"/>
    <d v="2022-09-20T00:00:00"/>
    <d v="2047-09-20T00:00:00"/>
    <d v="2023-01-01T00:00:00"/>
    <n v="1.7500000000000002E-2"/>
    <n v="9.2499999999999999E-2"/>
    <n v="2.4899999999999999E-2"/>
    <n v="412500"/>
    <n v="412500"/>
    <n v="3.2748311069733056"/>
    <n v="33636.609007499566"/>
    <n v="300"/>
    <n v="3.3863013698630136"/>
    <n v="296.61369863013698"/>
    <x v="31"/>
    <n v="0.05"/>
    <n v="5"/>
    <n v="0"/>
    <x v="26"/>
    <m/>
  </r>
  <r>
    <s v="Truist"/>
    <n v="3202639109"/>
    <n v="876"/>
    <n v="2"/>
    <s v="ACA LANSCAPING, LLC"/>
    <s v="CUMMING"/>
    <x v="2"/>
    <n v="561730"/>
    <s v="Q"/>
    <s v="ACT/365"/>
    <d v="2022-08-25T00:00:00"/>
    <d v="2048-08-25T00:00:00"/>
    <d v="2023-01-01T00:00:00"/>
    <n v="0.02"/>
    <n v="9.5000000000000001E-2"/>
    <n v="2.7399999999999997E-2"/>
    <n v="635850"/>
    <n v="635850"/>
    <n v="3.2748311069733056"/>
    <n v="57055.057246709948"/>
    <n v="312"/>
    <n v="4.2410958904109588"/>
    <n v="307.75890410958903"/>
    <x v="32"/>
    <n v="0.05"/>
    <n v="5"/>
    <n v="0"/>
    <x v="16"/>
    <m/>
  </r>
  <r>
    <s v="Truist"/>
    <n v="3262549108"/>
    <n v="758"/>
    <n v="3"/>
    <s v="ELEVATE YOUR LIFE LLC DBA F45 TRAINING"/>
    <s v="FLEMING ISLAND"/>
    <x v="4"/>
    <n v="713940"/>
    <s v="Q"/>
    <s v="ACT/365"/>
    <d v="2022-04-29T00:00:00"/>
    <d v="2032-10-29T00:00:00"/>
    <d v="2023-01-01T00:00:00"/>
    <n v="2.75E-2"/>
    <n v="0.10249999999999999"/>
    <n v="2.1049999999999999E-2"/>
    <n v="249150"/>
    <n v="249150"/>
    <n v="3.2748311069733056"/>
    <n v="17175.203784865502"/>
    <n v="126"/>
    <n v="8.1205479452054803"/>
    <n v="117.87945205479451"/>
    <x v="3"/>
    <n v="0"/>
    <n v="2"/>
    <n v="0"/>
    <x v="27"/>
    <m/>
  </r>
  <r>
    <s v="Truist"/>
    <n v="3316579102"/>
    <n v="708"/>
    <n v="3"/>
    <s v="ATHENS HARMONY ENTERPRISES LLC"/>
    <s v="ATHENS"/>
    <x v="2"/>
    <n v="722513"/>
    <s v="Q"/>
    <s v="ACT/365"/>
    <d v="2022-03-10T00:00:00"/>
    <d v="2032-09-10T00:00:00"/>
    <d v="2023-01-01T00:00:00"/>
    <n v="2.75E-2"/>
    <n v="0.10249999999999999"/>
    <n v="1.6149999999999998E-2"/>
    <n v="390000"/>
    <n v="390000"/>
    <n v="3.2748311069733056"/>
    <n v="20626.523727271364"/>
    <n v="126"/>
    <n v="9.7643835616438359"/>
    <n v="116.23561643835616"/>
    <x v="13"/>
    <n v="0"/>
    <n v="2"/>
    <n v="0"/>
    <x v="21"/>
    <m/>
  </r>
  <r>
    <s v="Truist"/>
    <n v="3378759103"/>
    <n v="721"/>
    <n v="3"/>
    <s v="CREATION WELLNESS GROUP LLC"/>
    <s v="WINTER GARDEN"/>
    <x v="4"/>
    <n v="713940"/>
    <s v="Q"/>
    <s v="ACT/365"/>
    <d v="2022-03-23T00:00:00"/>
    <d v="2032-09-23T00:00:00"/>
    <d v="2023-01-01T00:00:00"/>
    <n v="0.02"/>
    <n v="9.5000000000000001E-2"/>
    <n v="2.8999999999999998E-3"/>
    <n v="278362.5"/>
    <n v="278362.5"/>
    <n v="3.2748311069733056"/>
    <n v="2643.6115046430846"/>
    <n v="126"/>
    <n v="9.3369863013698637"/>
    <n v="116.66301369863014"/>
    <x v="3"/>
    <n v="0"/>
    <n v="2"/>
    <n v="0"/>
    <x v="28"/>
    <m/>
  </r>
  <r>
    <s v="Truist"/>
    <n v="3458639102"/>
    <n v="702"/>
    <n v="3"/>
    <s v="CLE DAWG HOUSE CORP"/>
    <s v="BRUNSWICK "/>
    <x v="10"/>
    <n v="812910"/>
    <s v="Q"/>
    <s v="ACT/365"/>
    <d v="2022-03-04T00:00:00"/>
    <d v="2032-09-04T00:00:00"/>
    <d v="2023-01-01T00:00:00"/>
    <n v="1.7500000000000002E-2"/>
    <n v="9.2499999999999999E-2"/>
    <n v="6.1500000000000001E-3"/>
    <n v="402847.76"/>
    <n v="402847.76"/>
    <n v="3.2748311069733056"/>
    <n v="8113.4390113084773"/>
    <n v="126"/>
    <n v="9.9616438356164387"/>
    <n v="116.03835616438356"/>
    <x v="33"/>
    <n v="0"/>
    <n v="2"/>
    <n v="0"/>
    <x v="29"/>
    <m/>
  </r>
  <r>
    <s v="Truist"/>
    <n v="3490429109"/>
    <n v="708"/>
    <n v="3"/>
    <s v="JT LAUNDRY SERVICES, LLC DBA WAVEMAX"/>
    <s v="WYOMING"/>
    <x v="7"/>
    <n v="812320"/>
    <s v="Q"/>
    <s v="ACT/365"/>
    <d v="2022-03-10T00:00:00"/>
    <d v="2032-09-10T00:00:00"/>
    <d v="2023-01-01T00:00:00"/>
    <n v="0.02"/>
    <n v="9.5000000000000001E-2"/>
    <n v="8.6499999999999997E-3"/>
    <n v="691820.76"/>
    <n v="691820.76"/>
    <n v="3.2748311069733056"/>
    <n v="19597.406656826955"/>
    <n v="126"/>
    <n v="9.7643835616438359"/>
    <n v="116.23561643835616"/>
    <x v="34"/>
    <n v="0"/>
    <n v="2"/>
    <n v="0"/>
    <x v="9"/>
    <m/>
  </r>
  <r>
    <s v="Truist"/>
    <n v="3492939102"/>
    <n v="733"/>
    <n v="3"/>
    <s v="PROFILE AESTHETICS AND WELLNESS LLC"/>
    <s v="WILTON MNORS"/>
    <x v="4"/>
    <n v="621111"/>
    <s v="Q"/>
    <s v="ACT/365"/>
    <d v="2022-04-04T00:00:00"/>
    <d v="2032-07-04T00:00:00"/>
    <d v="2023-01-01T00:00:00"/>
    <n v="2.75E-2"/>
    <n v="0.10249999999999999"/>
    <n v="1.5300000000000001E-2"/>
    <n v="249661.66"/>
    <n v="249661.66"/>
    <n v="3.2748311069733056"/>
    <n v="12509.276486914874"/>
    <n v="123"/>
    <n v="8.9424657534246581"/>
    <n v="114.05753424657534"/>
    <x v="35"/>
    <n v="0"/>
    <n v="2"/>
    <n v="0"/>
    <x v="9"/>
    <m/>
  </r>
  <r>
    <s v="Truist"/>
    <n v="3496219106"/>
    <n v="707"/>
    <n v="3"/>
    <s v="PUZUKAN TAN KOREAN GRILL                "/>
    <s v="FALLS CHURCH                            "/>
    <x v="18"/>
    <n v="722511"/>
    <s v="Q"/>
    <s v="ACT/365"/>
    <d v="2022-03-09T00:00:00"/>
    <d v="2032-03-17T00:00:00"/>
    <d v="2023-01-01T00:00:00"/>
    <n v="2.2499999999999999E-2"/>
    <n v="9.7500000000000003E-2"/>
    <n v="3.0149999999999996E-2"/>
    <n v="342153.89"/>
    <n v="342153.89"/>
    <n v="3.2748311069733056"/>
    <n v="33782.960500669258"/>
    <n v="120"/>
    <n v="9.7972602739726025"/>
    <n v="110.2027397260274"/>
    <x v="27"/>
    <n v="0"/>
    <n v="2"/>
    <n v="1"/>
    <x v="30"/>
    <m/>
  </r>
  <r>
    <s v="Truist"/>
    <n v="3518769109"/>
    <n v="713"/>
    <n v="3"/>
    <s v="HURVET SUBCONTRACTING LLC"/>
    <s v="PARK CITY"/>
    <x v="13"/>
    <n v="238920"/>
    <s v="Q"/>
    <s v="ACT/365"/>
    <d v="2022-03-15T00:00:00"/>
    <d v="2032-03-15T00:00:00"/>
    <d v="2023-01-01T00:00:00"/>
    <n v="2.75E-2"/>
    <n v="0.10249999999999999"/>
    <n v="3.8550000000000001E-2"/>
    <n v="3639138.97"/>
    <n v="3639138.97"/>
    <n v="3.2748311069733056"/>
    <n v="459422.1500849374"/>
    <n v="120"/>
    <n v="9.6000000000000014"/>
    <n v="110.4"/>
    <x v="11"/>
    <n v="0"/>
    <n v="2"/>
    <n v="0"/>
    <x v="31"/>
    <m/>
  </r>
  <r>
    <s v="Truist"/>
    <n v="3547279103"/>
    <m/>
    <m/>
    <s v="OCEANSIDE HOSPITALITY GROUP"/>
    <s v="OCEANSIDE"/>
    <x v="0"/>
    <n v="721110"/>
    <s v="Q"/>
    <s v="ACT/365"/>
    <d v="2022-03-15T00:00:00"/>
    <d v="2047-03-30T00:00:00"/>
    <d v="2023-01-01T00:00:00"/>
    <n v="1.7500000000000002E-2"/>
    <n v="9.2499999999999999E-2"/>
    <n v="2.8549999999999999E-2"/>
    <n v="3576819.86"/>
    <n v="3576819.86"/>
    <n v="3.2748311069733056"/>
    <n v="334419.88088176365"/>
    <n v="300"/>
    <n v="9.6000000000000014"/>
    <n v="290.39999999999998"/>
    <x v="5"/>
    <n v="0.05"/>
    <n v="5"/>
    <n v="1"/>
    <x v="32"/>
    <m/>
  </r>
  <r>
    <s v="Truist"/>
    <n v="3600289106"/>
    <m/>
    <m/>
    <s v="LAXMI 15 HOSPITALITY LLC"/>
    <s v="MCDONOUGH"/>
    <x v="2"/>
    <n v="721110"/>
    <s v="Q"/>
    <s v="ACT/365"/>
    <d v="2022-03-29T00:00:00"/>
    <d v="2047-03-31T00:00:00"/>
    <d v="2023-01-01T00:00:00"/>
    <n v="0.01"/>
    <n v="8.4999999999999992E-2"/>
    <n v="3.0499999999999993E-3"/>
    <n v="3708263.1"/>
    <n v="3708263.1"/>
    <n v="3.2748311069733056"/>
    <n v="37039.002825799842"/>
    <n v="300"/>
    <n v="9.1397260273972591"/>
    <n v="290.86027397260273"/>
    <x v="5"/>
    <n v="0.05"/>
    <n v="5"/>
    <n v="1"/>
    <x v="33"/>
    <m/>
  </r>
  <r>
    <s v="Truist"/>
    <n v="3618569105"/>
    <n v="726"/>
    <n v="3"/>
    <s v="PRAEDIUM VALUATIONS LLC"/>
    <s v="CHICAGO"/>
    <x v="17"/>
    <n v="531320"/>
    <s v="Q"/>
    <s v="ACT/365"/>
    <d v="2022-03-28T00:00:00"/>
    <d v="2032-03-28T00:00:00"/>
    <d v="2023-01-01T00:00:00"/>
    <n v="2.5000000000000001E-2"/>
    <n v="0.1"/>
    <n v="3.6049999999999999E-2"/>
    <n v="1504442.28"/>
    <n v="1504442.28"/>
    <n v="3.2748311069733056"/>
    <n v="177610.93729769386"/>
    <n v="120"/>
    <n v="9.1726027397260275"/>
    <n v="110.82739726027397"/>
    <x v="36"/>
    <n v="0"/>
    <n v="2"/>
    <n v="0"/>
    <x v="17"/>
    <m/>
  </r>
  <r>
    <s v="Truist"/>
    <n v="3664799105"/>
    <n v="728"/>
    <n v="3"/>
    <s v="D1 NORTH NAPLES, LLC"/>
    <s v="NAPLES"/>
    <x v="4"/>
    <n v="713940"/>
    <s v="Q"/>
    <s v="ACT/365"/>
    <d v="2022-03-30T00:00:00"/>
    <d v="2032-09-30T00:00:00"/>
    <d v="2023-01-01T00:00:00"/>
    <n v="2.5000000000000001E-2"/>
    <n v="0.1"/>
    <n v="3.2649999999999998E-2"/>
    <n v="277477.21000000002"/>
    <n v="277477.21000000002"/>
    <n v="3.2748311069733056"/>
    <n v="29668.761110302967"/>
    <n v="126"/>
    <n v="9.1068493150684926"/>
    <n v="116.89315068493151"/>
    <x v="3"/>
    <n v="0"/>
    <n v="2"/>
    <n v="0"/>
    <x v="27"/>
    <m/>
  </r>
  <r>
    <s v="Truist"/>
    <n v="3679449108"/>
    <n v="758"/>
    <n v="3"/>
    <s v="FNS INVESTMENT GROUP LLC DBA THE NOW MASSAGE WICKER PARK"/>
    <s v="CHICAGO"/>
    <x v="17"/>
    <n v="812199"/>
    <s v="Q"/>
    <s v="ACT/365"/>
    <d v="2022-04-29T00:00:00"/>
    <d v="2032-10-29T00:00:00"/>
    <d v="2023-01-01T00:00:00"/>
    <n v="2.75E-2"/>
    <n v="0.10249999999999999"/>
    <n v="3.5150000000000001E-2"/>
    <n v="352725"/>
    <n v="352725"/>
    <n v="3.2748311069733056"/>
    <n v="40602.285297581642"/>
    <n v="126"/>
    <n v="8.1205479452054803"/>
    <n v="117.87945205479451"/>
    <x v="2"/>
    <n v="0"/>
    <n v="2"/>
    <n v="0"/>
    <x v="27"/>
    <m/>
  </r>
  <r>
    <s v="Truist"/>
    <n v="3716629103"/>
    <m/>
    <m/>
    <s v="BONI-GRACEFUL SERVICES"/>
    <s v="FONTANA"/>
    <x v="0"/>
    <n v="621111"/>
    <s v="Q"/>
    <s v="ACT/365"/>
    <d v="2022-04-22T00:00:00"/>
    <d v="2032-04-22T00:00:00"/>
    <d v="2023-01-01T00:00:00"/>
    <n v="2.5000000000000001E-2"/>
    <n v="0.1"/>
    <n v="7.3000000000000009E-3"/>
    <n v="961562.64"/>
    <n v="961562.64"/>
    <n v="3.2748311069733056"/>
    <n v="22987.373286860231"/>
    <n v="120"/>
    <n v="8.3506849315068497"/>
    <n v="111.64931506849315"/>
    <x v="35"/>
    <n v="0"/>
    <n v="2"/>
    <n v="0"/>
    <x v="21"/>
    <m/>
  </r>
  <r>
    <s v="Truist"/>
    <n v="3727939108"/>
    <n v="751"/>
    <n v="2"/>
    <s v="UTAH TECH SERVICES LLC"/>
    <s v="SALT LAKE CITY"/>
    <x v="13"/>
    <n v="541618"/>
    <s v="Q"/>
    <s v="ACT/365"/>
    <d v="2022-04-22T00:00:00"/>
    <d v="2047-04-22T00:00:00"/>
    <d v="2023-01-01T00:00:00"/>
    <n v="2.2499999999999999E-2"/>
    <n v="9.7500000000000003E-2"/>
    <n v="3.4799999999999998E-2"/>
    <n v="192193.54"/>
    <n v="192193.54"/>
    <n v="3.2748311069733056"/>
    <n v="21903.168140625876"/>
    <n v="300"/>
    <n v="8.3506849315068497"/>
    <n v="291.64931506849314"/>
    <x v="37"/>
    <n v="0.05"/>
    <n v="5"/>
    <n v="0"/>
    <x v="24"/>
    <m/>
  </r>
  <r>
    <s v="Truist"/>
    <n v="3732839107"/>
    <m/>
    <m/>
    <s v="SE HOON KANG &amp; HEYSOON AN DBA T&amp;J MARKET"/>
    <s v="LOS ANGELES"/>
    <x v="0"/>
    <n v="445310"/>
    <s v="Q"/>
    <s v="ACT/365"/>
    <d v="2022-04-06T00:00:00"/>
    <d v="2032-05-18T00:00:00"/>
    <d v="2023-01-01T00:00:00"/>
    <n v="2.2499999999999999E-2"/>
    <n v="9.7500000000000003E-2"/>
    <n v="1.6049999999999998E-2"/>
    <n v="149658.71"/>
    <n v="149658.71"/>
    <n v="3.2748311069733056"/>
    <n v="7866.2173329468251"/>
    <n v="121"/>
    <n v="8.8767123287671232"/>
    <n v="112.12328767123287"/>
    <x v="38"/>
    <n v="0"/>
    <n v="2"/>
    <n v="0"/>
    <x v="14"/>
    <m/>
  </r>
  <r>
    <s v="Truist"/>
    <n v="3777539104"/>
    <m/>
    <m/>
    <s v="CHIPMONK INC DBA CHIPMONK BAKING"/>
    <s v="HOUSTON"/>
    <x v="1"/>
    <n v="311811"/>
    <s v="Q"/>
    <s v="ACT/365"/>
    <d v="2022-06-17T00:00:00"/>
    <d v="2032-06-17T00:00:00"/>
    <d v="2023-01-01T00:00:00"/>
    <n v="2.75E-2"/>
    <n v="0.10249999999999999"/>
    <n v="2.1049999999999999E-2"/>
    <n v="201000"/>
    <n v="201000"/>
    <n v="3.2748311069733056"/>
    <n v="13855.974155159405"/>
    <n v="120"/>
    <n v="6.5095890410958903"/>
    <n v="113.49041095890411"/>
    <x v="39"/>
    <n v="0"/>
    <n v="2"/>
    <n v="0"/>
    <x v="34"/>
    <m/>
  </r>
  <r>
    <s v="Truist"/>
    <n v="3800739104"/>
    <n v="736"/>
    <n v="3"/>
    <s v="PLATINUM FOODS INC"/>
    <s v="PATTERSON"/>
    <x v="0"/>
    <n v="722513"/>
    <s v="Q"/>
    <s v="ACT/365"/>
    <d v="2022-04-07T00:00:00"/>
    <d v="2032-04-13T00:00:00"/>
    <d v="2023-01-01T00:00:00"/>
    <n v="2.5000000000000001E-2"/>
    <n v="0.1"/>
    <n v="1.8550000000000001E-2"/>
    <n v="113620.37"/>
    <n v="113620.37"/>
    <n v="3.2748311069733056"/>
    <n v="6902.2235342466965"/>
    <n v="120"/>
    <n v="8.8438356164383549"/>
    <n v="111.15616438356165"/>
    <x v="13"/>
    <n v="0"/>
    <n v="2"/>
    <n v="0"/>
    <x v="35"/>
    <m/>
  </r>
  <r>
    <s v="Truist"/>
    <n v="3833419109"/>
    <m/>
    <m/>
    <s v="SAMMY DISTRIBUTIONS, LLC "/>
    <s v="STOCKTON"/>
    <x v="0"/>
    <n v="722513"/>
    <s v="Q"/>
    <s v="ACT/365"/>
    <d v="2022-05-06T00:00:00"/>
    <d v="2032-05-06T00:00:00"/>
    <d v="2023-01-01T00:00:00"/>
    <n v="2.75E-2"/>
    <n v="0.10249999999999999"/>
    <n v="1.6149999999999998E-2"/>
    <n v="281456.73"/>
    <n v="281456.73"/>
    <n v="3.2748311069733056"/>
    <n v="14885.830562936433"/>
    <n v="120"/>
    <n v="7.8904109589041092"/>
    <n v="112.10958904109589"/>
    <x v="13"/>
    <n v="0"/>
    <n v="2"/>
    <n v="0"/>
    <x v="36"/>
    <m/>
  </r>
  <r>
    <s v="Truist"/>
    <n v="3847689110"/>
    <m/>
    <m/>
    <s v="TAB ENTERPRISES INC."/>
    <s v="LAUREL"/>
    <x v="19"/>
    <n v="713110"/>
    <s v="Q"/>
    <s v="ACT/365"/>
    <d v="2022-05-20T00:00:00"/>
    <d v="2032-05-20T00:00:00"/>
    <d v="2023-01-01T00:00:00"/>
    <n v="0.02"/>
    <n v="9.5000000000000001E-2"/>
    <n v="8.6499999999999997E-3"/>
    <n v="546273.88"/>
    <n v="546273.88"/>
    <n v="3.2748311069733056"/>
    <n v="15474.458113056173"/>
    <n v="120"/>
    <n v="7.4301369863013704"/>
    <n v="112.56986301369864"/>
    <x v="40"/>
    <n v="0"/>
    <n v="2"/>
    <n v="0"/>
    <x v="37"/>
    <m/>
  </r>
  <r>
    <s v="Truist"/>
    <n v="3966049109"/>
    <n v="772"/>
    <n v="3"/>
    <s v="EMERSON DESIGNS, INC "/>
    <s v="REDLANDS "/>
    <x v="0"/>
    <n v="448310"/>
    <s v="Q"/>
    <s v="ACT/365"/>
    <d v="2022-05-13T00:00:00"/>
    <d v="2032-05-13T00:00:00"/>
    <d v="2023-01-01T00:00:00"/>
    <n v="2.75E-2"/>
    <n v="0.10249999999999999"/>
    <n v="1.6149999999999998E-2"/>
    <n v="480088.97"/>
    <n v="480088.97"/>
    <n v="3.2748311069733056"/>
    <n v="25391.196233092996"/>
    <n v="120"/>
    <n v="7.6602739726027398"/>
    <n v="112.33972602739726"/>
    <x v="41"/>
    <n v="0"/>
    <n v="2"/>
    <n v="0"/>
    <x v="36"/>
    <m/>
  </r>
  <r>
    <s v="Truist"/>
    <n v="3997519100"/>
    <m/>
    <m/>
    <s v="HTX HVAC AND REFRIGERATION, LLC DBA UNI-SERVE AIR CONDITIONING"/>
    <s v="HOUSTON "/>
    <x v="1"/>
    <n v="238220"/>
    <s v="Q"/>
    <s v="ACT/365"/>
    <d v="2022-05-20T00:00:00"/>
    <d v="2032-05-20T00:00:00"/>
    <d v="2023-01-01T00:00:00"/>
    <n v="2.75E-2"/>
    <n v="0.10249999999999999"/>
    <n v="1.6149999999999998E-2"/>
    <n v="307108.89"/>
    <n v="307108.89"/>
    <n v="3.2748311069733056"/>
    <n v="16242.535401130695"/>
    <n v="120"/>
    <n v="7.4301369863013704"/>
    <n v="112.56986301369864"/>
    <x v="42"/>
    <n v="0"/>
    <n v="2"/>
    <n v="0"/>
    <x v="36"/>
    <m/>
  </r>
  <r>
    <s v="Truist"/>
    <n v="4020799104"/>
    <m/>
    <m/>
    <s v="MLG SWINOS, LLC"/>
    <s v="JACKSONVILLE"/>
    <x v="4"/>
    <n v="722511"/>
    <s v="Q"/>
    <s v="ACT/365"/>
    <d v="2022-06-02T00:00:00"/>
    <d v="2032-06-02T00:00:00"/>
    <d v="2023-01-01T00:00:00"/>
    <n v="2.5000000000000001E-2"/>
    <n v="0.1"/>
    <n v="1.8550000000000001E-2"/>
    <n v="243912.46"/>
    <n v="243912.46"/>
    <n v="3.2748311069733056"/>
    <n v="14817.222666217389"/>
    <n v="120"/>
    <n v="7.0027397260273982"/>
    <n v="112.9972602739726"/>
    <x v="27"/>
    <n v="0"/>
    <n v="2"/>
    <n v="1"/>
    <x v="16"/>
    <m/>
  </r>
  <r>
    <s v="Truist"/>
    <n v="4058479108"/>
    <m/>
    <m/>
    <s v="EJYC, LLC DBA SUPREME BEAUTY SUPPLY #1"/>
    <s v="AUSTIN"/>
    <x v="1"/>
    <n v="446120"/>
    <s v="Q"/>
    <s v="ACT/365"/>
    <d v="2022-05-18T00:00:00"/>
    <d v="2032-05-23T00:00:00"/>
    <d v="2023-01-01T00:00:00"/>
    <n v="2.5000000000000001E-2"/>
    <n v="0.1"/>
    <n v="1.8550000000000001E-2"/>
    <n v="127444.1"/>
    <n v="127444.1"/>
    <n v="3.2748311069733056"/>
    <n v="7741.989102138019"/>
    <n v="120"/>
    <n v="7.4958904109589035"/>
    <n v="112.50410958904109"/>
    <x v="43"/>
    <n v="0"/>
    <n v="2"/>
    <n v="0"/>
    <x v="14"/>
    <m/>
  </r>
  <r>
    <s v="Truist"/>
    <n v="4070799102"/>
    <m/>
    <m/>
    <s v="RED1075 LLC"/>
    <s v="KEARNY"/>
    <x v="3"/>
    <n v="722511"/>
    <s v="Q"/>
    <s v="ACT/365"/>
    <d v="2022-09-21T00:00:00"/>
    <d v="2047-09-21T00:00:00"/>
    <d v="2023-01-01T00:00:00"/>
    <n v="1.2500000000000001E-2"/>
    <n v="8.7499999999999994E-2"/>
    <n v="1.9899999999999998E-2"/>
    <n v="419114.17"/>
    <n v="419114.17"/>
    <n v="3.2748311069733056"/>
    <n v="27313.309613657031"/>
    <n v="300"/>
    <n v="3.353424657534247"/>
    <n v="296.64657534246578"/>
    <x v="27"/>
    <n v="0.05"/>
    <n v="5"/>
    <n v="1"/>
    <x v="38"/>
    <m/>
  </r>
  <r>
    <s v="Truist"/>
    <n v="4081269102"/>
    <m/>
    <m/>
    <s v="SEAN WON (EPC) P &amp; S COLLECTION, INC (OC)"/>
    <s v="LOS ANGELES"/>
    <x v="0"/>
    <n v="424330"/>
    <s v="Q"/>
    <s v="ACT/365"/>
    <d v="2022-05-25T00:00:00"/>
    <d v="2047-05-31T00:00:00"/>
    <d v="2023-01-01T00:00:00"/>
    <n v="1.2500000000000001E-2"/>
    <n v="8.7499999999999994E-2"/>
    <n v="2.4799999999999999E-2"/>
    <n v="202178.13"/>
    <n v="202178.13"/>
    <n v="3.2748311069733056"/>
    <n v="16420.060885987583"/>
    <n v="300"/>
    <n v="7.2657534246575342"/>
    <n v="292.73424657534247"/>
    <x v="44"/>
    <n v="0.05"/>
    <n v="5"/>
    <n v="0"/>
    <x v="14"/>
    <m/>
  </r>
  <r>
    <s v="Truist"/>
    <n v="4086229100"/>
    <m/>
    <m/>
    <s v="HOUSTON PAINT PROTECTION LLC"/>
    <s v="HOUSTON"/>
    <x v="1"/>
    <n v="811192"/>
    <s v="Q"/>
    <s v="ACT/365"/>
    <d v="2022-06-10T00:00:00"/>
    <d v="2047-06-10T00:00:00"/>
    <d v="2023-01-01T00:00:00"/>
    <n v="2.75E-2"/>
    <n v="0.10249999999999999"/>
    <n v="3.49E-2"/>
    <n v="431969.2"/>
    <n v="431969.2"/>
    <n v="3.2748311069733056"/>
    <n v="49370.45345216163"/>
    <n v="300"/>
    <n v="6.7397260273972606"/>
    <n v="293.26027397260276"/>
    <x v="21"/>
    <n v="0.05"/>
    <n v="5"/>
    <n v="1"/>
    <x v="34"/>
    <m/>
  </r>
  <r>
    <s v="Truist"/>
    <n v="4088639109"/>
    <m/>
    <m/>
    <s v="NABUINU LLC"/>
    <s v="JACKSONVILLE"/>
    <x v="4"/>
    <n v="722511"/>
    <s v="Q"/>
    <s v="ACT/365"/>
    <d v="2022-08-02T00:00:00"/>
    <d v="2032-08-02T00:00:00"/>
    <d v="2023-01-01T00:00:00"/>
    <n v="2.2499999999999999E-2"/>
    <n v="9.7500000000000003E-2"/>
    <n v="1.1149999999999998E-2"/>
    <n v="567899.37"/>
    <n v="567899.37"/>
    <n v="3.2748311069733056"/>
    <n v="20736.485925947949"/>
    <n v="120"/>
    <n v="4.9972602739726026"/>
    <n v="115.0027397260274"/>
    <x v="27"/>
    <n v="0"/>
    <n v="2"/>
    <n v="1"/>
    <x v="39"/>
    <m/>
  </r>
  <r>
    <s v="Truist"/>
    <n v="4095199106"/>
    <m/>
    <m/>
    <s v="HOOVER REALTY HOLDINGS LLC"/>
    <s v="HAVERSTRAW"/>
    <x v="16"/>
    <n v="454390"/>
    <s v="Q"/>
    <s v="ACT/365"/>
    <d v="2022-06-29T00:00:00"/>
    <d v="2047-06-29T00:00:00"/>
    <d v="2023-01-01T00:00:00"/>
    <n v="1.7500000000000002E-2"/>
    <n v="9.2499999999999999E-2"/>
    <n v="2.4300000000000002E-2"/>
    <n v="3744613.98"/>
    <n v="3744613.98"/>
    <n v="3.2748311069733056"/>
    <n v="297990.37379106018"/>
    <n v="300"/>
    <n v="6.1150684931506856"/>
    <n v="293.88493150684934"/>
    <x v="31"/>
    <n v="0.05"/>
    <n v="5"/>
    <n v="0"/>
    <x v="24"/>
    <m/>
  </r>
  <r>
    <s v="Truist"/>
    <n v="4096829107"/>
    <m/>
    <m/>
    <s v="NEXT CHAPTER HOLDINGS LLC "/>
    <s v="BARTLESVILLE"/>
    <x v="20"/>
    <n v="562910"/>
    <s v="Q"/>
    <s v="ACT/365"/>
    <d v="2022-06-29T00:00:00"/>
    <d v="2040-06-29T00:00:00"/>
    <d v="2023-01-01T00:00:00"/>
    <n v="2.75E-2"/>
    <n v="0.10249999999999999"/>
    <n v="3.1149999999999997E-2"/>
    <n v="560096.96"/>
    <n v="560096.96"/>
    <n v="3.2748311069733056"/>
    <n v="57136.044815534049"/>
    <n v="216"/>
    <n v="6.1150684931506856"/>
    <n v="209.88493150684931"/>
    <x v="45"/>
    <n v="0.05"/>
    <n v="4"/>
    <n v="0"/>
    <x v="40"/>
    <m/>
  </r>
  <r>
    <s v="Truist"/>
    <n v="4103419101"/>
    <m/>
    <m/>
    <s v="LOTUS ENTERPRISES INC"/>
    <s v="NASHVILLE"/>
    <x v="12"/>
    <n v="624410"/>
    <s v="Q"/>
    <s v="ACT/365"/>
    <d v="2022-06-08T00:00:00"/>
    <d v="2047-09-16T00:00:00"/>
    <d v="2023-01-01T00:00:00"/>
    <n v="2.75E-2"/>
    <n v="0.10249999999999999"/>
    <n v="3.9800000000000002E-2"/>
    <n v="155700"/>
    <n v="155700"/>
    <n v="3.2748311069733056"/>
    <n v="20293.669893558599"/>
    <n v="303"/>
    <n v="6.8054794520547945"/>
    <n v="296.19452054794522"/>
    <x v="4"/>
    <n v="0.05"/>
    <n v="5"/>
    <n v="1"/>
    <x v="41"/>
    <m/>
  </r>
  <r>
    <s v="Truist"/>
    <n v="4110379100"/>
    <m/>
    <m/>
    <s v="KUDO SOCIETY PK INC."/>
    <s v="PALISADES PARK"/>
    <x v="3"/>
    <n v="722513"/>
    <s v="Q"/>
    <s v="ACT/365"/>
    <d v="2022-06-14T00:00:00"/>
    <d v="2032-06-16T00:00:00"/>
    <d v="2023-01-01T00:00:00"/>
    <n v="0.02"/>
    <n v="9.5000000000000001E-2"/>
    <n v="8.6499999999999997E-3"/>
    <n v="299589.39"/>
    <n v="299589.39"/>
    <n v="3.2748311069733056"/>
    <n v="8486.555254428511"/>
    <n v="120"/>
    <n v="6.6082191780821908"/>
    <n v="113.39178082191781"/>
    <x v="13"/>
    <n v="0"/>
    <n v="2"/>
    <n v="0"/>
    <x v="14"/>
    <m/>
  </r>
  <r>
    <s v="Truist"/>
    <n v="4110889100"/>
    <m/>
    <m/>
    <s v="THE OPTIMAL FINANCIAL GROUP, LLC"/>
    <s v="SPRING"/>
    <x v="1"/>
    <n v="541219"/>
    <s v="Q"/>
    <s v="ACT/365"/>
    <d v="2022-06-23T00:00:00"/>
    <d v="2032-06-23T00:00:00"/>
    <d v="2023-01-01T00:00:00"/>
    <n v="1.9400000000000001E-2"/>
    <n v="9.4399999999999998E-2"/>
    <n v="7.4499999999999992E-3"/>
    <n v="778865.63"/>
    <n v="778865.63"/>
    <n v="3.2748311069733056"/>
    <n v="19002.367779908891"/>
    <n v="120"/>
    <n v="6.3123287671232866"/>
    <n v="113.68767123287671"/>
    <x v="46"/>
    <n v="0"/>
    <n v="2"/>
    <n v="0"/>
    <x v="13"/>
    <m/>
  </r>
  <r>
    <s v="Truist"/>
    <n v="4114509110"/>
    <m/>
    <m/>
    <s v="EAGLE BLUFF RESORT LLC DBA EAGLE BLUFF RESORT"/>
    <s v="TAHLEQUAH"/>
    <x v="20"/>
    <n v="721211"/>
    <s v="Q"/>
    <s v="ACT/365"/>
    <d v="2022-06-17T00:00:00"/>
    <d v="2047-06-24T00:00:00"/>
    <d v="2023-01-01T00:00:00"/>
    <n v="0.01"/>
    <n v="8.4999999999999992E-2"/>
    <n v="1.6799999999999999E-2"/>
    <n v="1274648.21"/>
    <n v="1274648.21"/>
    <n v="3.2748311069733056"/>
    <n v="70127.527823738143"/>
    <n v="300"/>
    <n v="6.5095890410958903"/>
    <n v="293.49041095890414"/>
    <x v="47"/>
    <n v="0.05"/>
    <n v="5"/>
    <n v="0"/>
    <x v="14"/>
    <m/>
  </r>
  <r>
    <s v="Truist"/>
    <n v="4116569110"/>
    <m/>
    <m/>
    <s v="1 STOP GENERATOR SHOP, INC."/>
    <s v="PALM BEACH GARDENS"/>
    <x v="4"/>
    <n v="238210"/>
    <s v="Q"/>
    <s v="ACT/365"/>
    <d v="2022-09-30T00:00:00"/>
    <d v="2032-09-30T00:00:00"/>
    <d v="2023-01-01T00:00:00"/>
    <n v="2.75E-2"/>
    <n v="0.10249999999999999"/>
    <n v="1.6149999999999998E-2"/>
    <n v="495000"/>
    <n v="495000"/>
    <n v="3.2748311069733056"/>
    <n v="26179.818576921341"/>
    <n v="120"/>
    <n v="3.0575342465753428"/>
    <n v="116.94246575342466"/>
    <x v="48"/>
    <n v="0"/>
    <n v="2"/>
    <n v="0"/>
    <x v="20"/>
    <m/>
  </r>
  <r>
    <s v="Truist"/>
    <n v="4117139101"/>
    <m/>
    <m/>
    <s v="BLUE FIN INVESTMENT INC. DBA SUSHI ASAHI"/>
    <s v="CORONA"/>
    <x v="0"/>
    <n v="722511"/>
    <s v="Q"/>
    <s v="ACT/365"/>
    <d v="2022-06-14T00:00:00"/>
    <d v="2032-07-11T00:00:00"/>
    <d v="2023-01-01T00:00:00"/>
    <n v="1.4999999999999999E-2"/>
    <n v="0.09"/>
    <n v="3.0499999999999993E-3"/>
    <n v="899845.7"/>
    <n v="899845.7"/>
    <n v="3.2748311069733056"/>
    <n v="8987.8702040003136"/>
    <n v="120"/>
    <n v="6.6082191780821908"/>
    <n v="113.39178082191781"/>
    <x v="27"/>
    <n v="0"/>
    <n v="2"/>
    <n v="1"/>
    <x v="14"/>
    <m/>
  </r>
  <r>
    <s v="Truist"/>
    <n v="4118479100"/>
    <m/>
    <m/>
    <s v="JSC CORPORATION, A COLORADO S CORP. DBA GOLD STAR CLEANERS"/>
    <s v="PARKER"/>
    <x v="21"/>
    <n v="812320"/>
    <s v="Q"/>
    <s v="ACT/365"/>
    <d v="2022-06-22T00:00:00"/>
    <d v="2032-06-30T00:00:00"/>
    <d v="2023-01-01T00:00:00"/>
    <n v="1.7500000000000002E-2"/>
    <n v="9.2499999999999999E-2"/>
    <n v="1.1049999999999999E-2"/>
    <n v="191925.47"/>
    <n v="191925.47"/>
    <n v="3.2748311069733056"/>
    <n v="6945.1846681100151"/>
    <n v="120"/>
    <n v="6.3452054794520549"/>
    <n v="113.65479452054794"/>
    <x v="34"/>
    <n v="0"/>
    <n v="2"/>
    <n v="0"/>
    <x v="14"/>
    <m/>
  </r>
  <r>
    <s v="Truist"/>
    <n v="4122529105"/>
    <m/>
    <m/>
    <s v="SUNNYMEADE CAR WASH CORPORATION DBA SUNNYMEAD CAR WASH"/>
    <s v="MORENO VALLEY"/>
    <x v="0"/>
    <n v="811192"/>
    <s v="Q"/>
    <s v="ACT/365"/>
    <d v="2022-07-19T00:00:00"/>
    <d v="2047-07-21T00:00:00"/>
    <d v="2023-01-01T00:00:00"/>
    <n v="1.4999999999999999E-2"/>
    <n v="0.09"/>
    <n v="2.18E-2"/>
    <n v="2789369.96"/>
    <n v="2789369.96"/>
    <n v="3.2748311069733056"/>
    <n v="199136.79820225446"/>
    <n v="300"/>
    <n v="5.4575342465753423"/>
    <n v="294.54246575342466"/>
    <x v="21"/>
    <n v="0.05"/>
    <n v="5"/>
    <n v="1"/>
    <x v="14"/>
    <m/>
  </r>
  <r>
    <s v="Truist"/>
    <n v="4126729103"/>
    <m/>
    <m/>
    <s v="JUN AND KWON HOPE LLC (EPC) RL&amp;KJ, INC  (OC) KIMCHI HOPE, INC (OC) DBA NAME: SOONDAE CERRITOS"/>
    <s v="ARTESIA"/>
    <x v="0"/>
    <n v="722511"/>
    <s v="Q"/>
    <s v="ACT/365"/>
    <d v="2022-06-21T00:00:00"/>
    <d v="2047-06-24T00:00:00"/>
    <d v="2023-01-01T00:00:00"/>
    <n v="0.01"/>
    <n v="8.4999999999999992E-2"/>
    <n v="1.6799999999999999E-2"/>
    <n v="2090070.14"/>
    <n v="2090070.14"/>
    <n v="3.2748311069733056"/>
    <n v="114989.72873183124"/>
    <n v="300"/>
    <n v="6.3780821917808224"/>
    <n v="293.62191780821917"/>
    <x v="27"/>
    <n v="0.05"/>
    <n v="5"/>
    <n v="1"/>
    <x v="14"/>
    <m/>
  </r>
  <r>
    <s v="Truist"/>
    <n v="4139089100"/>
    <m/>
    <m/>
    <s v="OC CONSTRUCTION MANAGEMENT    "/>
    <s v="NEW YORK"/>
    <x v="16"/>
    <n v="236220"/>
    <s v="Q"/>
    <s v="ACT/365"/>
    <d v="2022-07-22T00:00:00"/>
    <d v="2032-07-22T00:00:00"/>
    <d v="2023-01-01T00:00:00"/>
    <n v="2.75E-2"/>
    <n v="0.10249999999999999"/>
    <n v="9.8000000000000014E-3"/>
    <n v="2223262.2200000002"/>
    <n v="2223262.2200000002"/>
    <n v="3.2748311069733056"/>
    <n v="71351.921114742392"/>
    <n v="120"/>
    <n v="5.3589041095890408"/>
    <n v="114.64109589041095"/>
    <x v="1"/>
    <n v="0"/>
    <n v="2"/>
    <n v="0"/>
    <x v="11"/>
    <m/>
  </r>
  <r>
    <s v="Truist"/>
    <n v="4143829100"/>
    <m/>
    <m/>
    <s v="BPB 537 LLC"/>
    <s v="JACKSONVILLE"/>
    <x v="4"/>
    <n v="423610"/>
    <s v="Q"/>
    <s v="ACT/365"/>
    <d v="2022-07-01T00:00:00"/>
    <d v="2032-11-01T00:00:00"/>
    <d v="2023-01-01T00:00:00"/>
    <n v="2.5000000000000001E-2"/>
    <n v="0.1"/>
    <n v="1.3649999999999997E-2"/>
    <n v="276000"/>
    <n v="276000"/>
    <n v="3.2748311069733056"/>
    <n v="12337.598712411229"/>
    <n v="124"/>
    <n v="6.0493150684931507"/>
    <n v="117.95068493150686"/>
    <x v="49"/>
    <n v="0"/>
    <n v="2"/>
    <n v="0"/>
    <x v="39"/>
    <m/>
  </r>
  <r>
    <s v="Truist"/>
    <n v="4146229103"/>
    <m/>
    <m/>
    <s v="M &amp; D BILL'S MARKET, INC."/>
    <s v="LAFAYETTE"/>
    <x v="9"/>
    <n v="445120"/>
    <s v="Q"/>
    <s v="ACT/365"/>
    <d v="2022-06-29T00:00:00"/>
    <d v="2047-06-30T00:00:00"/>
    <d v="2023-01-01T00:00:00"/>
    <n v="1.4999999999999999E-2"/>
    <n v="0.09"/>
    <n v="2.2399999999999996E-2"/>
    <n v="365623.92"/>
    <n v="365623.92"/>
    <n v="3.2748311069733056"/>
    <n v="26820.787541397229"/>
    <n v="300"/>
    <n v="6.1150684931506856"/>
    <n v="293.88493150684934"/>
    <x v="50"/>
    <n v="0.05"/>
    <n v="5"/>
    <n v="0"/>
    <x v="14"/>
    <m/>
  </r>
  <r>
    <s v="Truist"/>
    <n v="4146799110"/>
    <m/>
    <m/>
    <s v="HENKA LANDSCAPE GROUP LLC DBA TRENT COMPANIES"/>
    <s v="SHERIDAN"/>
    <x v="22"/>
    <n v="561730"/>
    <s v="Q"/>
    <s v="ACT/365"/>
    <d v="2022-07-06T00:00:00"/>
    <d v="2032-07-06T00:00:00"/>
    <d v="2023-01-01T00:00:00"/>
    <n v="2.75E-2"/>
    <n v="0.10249999999999999"/>
    <n v="9.8000000000000014E-3"/>
    <n v="997302.55"/>
    <n v="997302.55"/>
    <n v="3.2748311069733056"/>
    <n v="32006.774655277248"/>
    <n v="120"/>
    <n v="5.8849315068493144"/>
    <n v="114.11506849315069"/>
    <x v="32"/>
    <n v="0"/>
    <n v="2"/>
    <n v="0"/>
    <x v="36"/>
    <m/>
  </r>
  <r>
    <s v="Truist"/>
    <n v="4150709108"/>
    <m/>
    <m/>
    <s v="YASHA INVESTMENT LLC (EPC) AND TEXAS CAR ONE LLC (OC)"/>
    <s v="CARROLLTON"/>
    <x v="1"/>
    <n v="441120"/>
    <s v="Q"/>
    <s v="ACT/365"/>
    <d v="2022-06-30T00:00:00"/>
    <d v="2047-07-06T00:00:00"/>
    <d v="2023-01-01T00:00:00"/>
    <n v="5.0000000000000001E-3"/>
    <n v="0.08"/>
    <n v="1.18E-2"/>
    <n v="3022708.07"/>
    <n v="3022708.07"/>
    <n v="3.2748311069733056"/>
    <n v="116806.52929623588"/>
    <n v="300"/>
    <n v="6.0821917808219181"/>
    <n v="293.91780821917808"/>
    <x v="25"/>
    <n v="0.05"/>
    <n v="5"/>
    <n v="0"/>
    <x v="14"/>
    <m/>
  </r>
  <r>
    <s v="Truist"/>
    <n v="4154149103"/>
    <m/>
    <m/>
    <s v="NEW KESS LLC DBA GOLDEN CHICK DENTON"/>
    <s v="DENTON"/>
    <x v="1"/>
    <n v="722513"/>
    <s v="Q"/>
    <s v="ACT/365"/>
    <d v="2022-07-05T00:00:00"/>
    <d v="2032-07-12T00:00:00"/>
    <d v="2023-01-01T00:00:00"/>
    <n v="1.7500000000000002E-2"/>
    <n v="9.2499999999999999E-2"/>
    <n v="6.1500000000000001E-3"/>
    <n v="365356.79999999999"/>
    <n v="365356.79999999999"/>
    <n v="3.2748311069733056"/>
    <n v="7358.3631547729819"/>
    <n v="120"/>
    <n v="5.9178082191780819"/>
    <n v="114.08219178082192"/>
    <x v="13"/>
    <n v="0"/>
    <n v="2"/>
    <n v="0"/>
    <x v="14"/>
    <m/>
  </r>
  <r>
    <s v="Truist"/>
    <n v="4158699101"/>
    <m/>
    <m/>
    <s v="BECKY EUNG HWA HWANG DBA HOOVER LAUNDRY"/>
    <s v="LOS ANGELES"/>
    <x v="0"/>
    <n v="812310"/>
    <s v="Q"/>
    <s v="ACT/365"/>
    <d v="2022-07-14T00:00:00"/>
    <d v="2032-08-01T00:00:00"/>
    <d v="2023-01-01T00:00:00"/>
    <n v="1.4999999999999999E-2"/>
    <n v="0.09"/>
    <n v="8.5500000000000003E-3"/>
    <n v="184078.19"/>
    <n v="184078.19"/>
    <n v="3.2748311069733056"/>
    <n v="5154.1536023187791"/>
    <n v="120"/>
    <n v="5.6219178082191785"/>
    <n v="114.37808219178082"/>
    <x v="51"/>
    <n v="0"/>
    <n v="2"/>
    <n v="0"/>
    <x v="14"/>
    <m/>
  </r>
  <r>
    <s v="Truist"/>
    <n v="4158749103"/>
    <m/>
    <m/>
    <s v="ZEUS1966 INC. DBA SUNSHINE LIQUOR"/>
    <s v="LOS ANGELES"/>
    <x v="0"/>
    <n v="445310"/>
    <s v="Q"/>
    <s v="ACT/365"/>
    <d v="2022-07-08T00:00:00"/>
    <d v="2032-08-15T00:00:00"/>
    <d v="2023-01-01T00:00:00"/>
    <n v="1.4999999999999999E-2"/>
    <n v="0.09"/>
    <n v="3.65E-3"/>
    <n v="296278.56"/>
    <n v="296278.56"/>
    <n v="3.2748311069733056"/>
    <n v="3541.4571928529876"/>
    <n v="121"/>
    <n v="5.8191780821917813"/>
    <n v="115.18082191780822"/>
    <x v="38"/>
    <n v="0"/>
    <n v="2"/>
    <n v="0"/>
    <x v="14"/>
    <m/>
  </r>
  <r>
    <s v="Truist"/>
    <n v="4161519105"/>
    <m/>
    <m/>
    <s v="HYE SOOK JESSICA SONG AKA HYE S SONG DBA: NU WAY MARKET"/>
    <s v="LOS ANGELES"/>
    <x v="0"/>
    <n v="445310"/>
    <s v="Q"/>
    <s v="ACT/365"/>
    <d v="2022-07-07T00:00:00"/>
    <d v="2047-08-03T00:00:00"/>
    <d v="2023-01-01T00:00:00"/>
    <n v="0.01"/>
    <n v="8.4999999999999992E-2"/>
    <n v="1.7399999999999999E-2"/>
    <n v="462905.02"/>
    <n v="462905.02"/>
    <n v="3.2748311069733056"/>
    <n v="26377.282207819742"/>
    <n v="300"/>
    <n v="5.8520547945205479"/>
    <n v="294.14794520547946"/>
    <x v="38"/>
    <n v="0.05"/>
    <n v="5"/>
    <n v="0"/>
    <x v="14"/>
    <m/>
  </r>
  <r>
    <s v="Truist"/>
    <n v="4168989109"/>
    <m/>
    <m/>
    <s v="SOULAA, INC."/>
    <s v="DOUGLAS"/>
    <x v="11"/>
    <n v="452319"/>
    <s v="Q"/>
    <s v="ACT/365"/>
    <d v="2022-07-13T00:00:00"/>
    <d v="2047-07-20T00:00:00"/>
    <d v="2023-01-01T00:00:00"/>
    <n v="0.01"/>
    <n v="8.4999999999999992E-2"/>
    <n v="1.7399999999999999E-2"/>
    <n v="507680.1"/>
    <n v="507680.1"/>
    <n v="3.2748311069733056"/>
    <n v="28928.658559360942"/>
    <n v="300"/>
    <n v="5.6547945205479451"/>
    <n v="294.34520547945203"/>
    <x v="52"/>
    <n v="0.05"/>
    <n v="5"/>
    <n v="0"/>
    <x v="14"/>
    <m/>
  </r>
  <r>
    <s v="Truist"/>
    <n v="4171239108"/>
    <m/>
    <m/>
    <s v="PAKS FOOD SERVICES, INC."/>
    <s v="NORTH HOLLYWOOD"/>
    <x v="0"/>
    <n v="722310"/>
    <s v="Q"/>
    <s v="ACT/365"/>
    <d v="2022-07-14T00:00:00"/>
    <d v="2032-07-21T00:00:00"/>
    <d v="2023-01-01T00:00:00"/>
    <n v="1.4999999999999999E-2"/>
    <n v="0.09"/>
    <n v="2.2049999999999997E-2"/>
    <n v="1795625.84"/>
    <n v="1795625.84"/>
    <n v="3.2748311069733056"/>
    <n v="129662.18842884143"/>
    <n v="120"/>
    <n v="5.6219178082191785"/>
    <n v="114.37808219178082"/>
    <x v="53"/>
    <n v="0"/>
    <n v="2"/>
    <m/>
    <x v="14"/>
    <m/>
  </r>
  <r>
    <s v="Truist"/>
    <n v="4184979106"/>
    <m/>
    <m/>
    <s v="PLUCKEMIN LIQUORS LLC DBA COLONIAL LIQUORS"/>
    <s v="BEDMINSTER"/>
    <x v="3"/>
    <n v="445310"/>
    <s v="Q"/>
    <s v="ACT/365"/>
    <d v="2022-08-18T00:00:00"/>
    <d v="2032-08-18T00:00:00"/>
    <d v="2023-01-01T00:00:00"/>
    <n v="2.2499999999999999E-2"/>
    <n v="9.7500000000000003E-2"/>
    <n v="1.0549999999999997E-2"/>
    <n v="807223.26"/>
    <n v="807223.26"/>
    <n v="3.2748311069733056"/>
    <n v="27889.134334370217"/>
    <n v="120"/>
    <n v="4.4712328767123291"/>
    <n v="115.52876712328766"/>
    <x v="38"/>
    <n v="0"/>
    <n v="2"/>
    <m/>
    <x v="15"/>
    <m/>
  </r>
  <r>
    <s v="Truist"/>
    <n v="4186889107"/>
    <m/>
    <m/>
    <s v="FIVE STAR GAS CORP   DBA FIVE STAR GAS CORP "/>
    <s v="ADLANTO"/>
    <x v="0"/>
    <n v="447110"/>
    <s v="Q"/>
    <s v="ACT/365"/>
    <d v="2022-07-21T00:00:00"/>
    <d v="2047-08-19T00:00:00"/>
    <d v="2023-01-01T00:00:00"/>
    <n v="1.2500000000000001E-2"/>
    <n v="8.7499999999999994E-2"/>
    <n v="1.9299999999999998E-2"/>
    <n v="1766782.29"/>
    <n v="1766782.29"/>
    <n v="3.2748311069733056"/>
    <n v="111668.13252905157"/>
    <n v="300"/>
    <n v="5.3917808219178083"/>
    <n v="294.60821917808221"/>
    <x v="7"/>
    <n v="0.05"/>
    <n v="5"/>
    <m/>
    <x v="14"/>
    <m/>
  </r>
  <r>
    <s v="Truist"/>
    <n v="4188149101"/>
    <m/>
    <m/>
    <s v="KEUN PROPERTIES LLC, DBA HAI &amp; BEAUTY SUPPLY"/>
    <s v="WINDER"/>
    <x v="2"/>
    <n v="446120"/>
    <s v="Q"/>
    <s v="ACT/365"/>
    <d v="2022-07-25T00:00:00"/>
    <d v="2047-08-02T00:00:00"/>
    <d v="2023-01-01T00:00:00"/>
    <n v="0.01"/>
    <n v="8.4999999999999992E-2"/>
    <n v="1.7399999999999999E-2"/>
    <n v="454090.43"/>
    <n v="454090.43"/>
    <n v="3.2748311069733056"/>
    <n v="25875.008700446186"/>
    <n v="300"/>
    <n v="5.2602739726027394"/>
    <n v="294.73972602739724"/>
    <x v="43"/>
    <n v="0.05"/>
    <n v="5"/>
    <m/>
    <x v="14"/>
    <m/>
  </r>
  <r>
    <s v="Truist"/>
    <n v="4204459101"/>
    <m/>
    <m/>
    <s v="1690 MAIN STREET INC  DBA LAWNMOWER CENTER"/>
    <s v="RIVERSIDE"/>
    <x v="0"/>
    <n v="444210"/>
    <s v="Q"/>
    <s v="ACT/365"/>
    <d v="2022-08-01T00:00:00"/>
    <d v="2032-08-05T00:00:00"/>
    <d v="2023-01-01T00:00:00"/>
    <n v="1.4999999999999999E-2"/>
    <n v="0.09"/>
    <n v="3.65E-3"/>
    <n v="476625.83"/>
    <n v="476625.83"/>
    <n v="3.2748311069733056"/>
    <n v="5697.1721948190425"/>
    <n v="120"/>
    <n v="5.0301369863013701"/>
    <n v="114.96986301369863"/>
    <x v="54"/>
    <n v="0"/>
    <n v="2"/>
    <m/>
    <x v="14"/>
    <m/>
  </r>
  <r>
    <s v="Truist"/>
    <n v="4208239102"/>
    <m/>
    <m/>
    <s v="FR1 INC "/>
    <s v="WATERFORD TOWNSHIP "/>
    <x v="7"/>
    <n v="447110"/>
    <s v="Q"/>
    <s v="ACT/365"/>
    <d v="2022-09-22T00:00:00"/>
    <d v="2047-09-22T00:00:00"/>
    <d v="2023-01-01T00:00:00"/>
    <n v="0.02"/>
    <n v="9.5000000000000001E-2"/>
    <n v="2.7399999999999997E-2"/>
    <n v="663750"/>
    <n v="663750"/>
    <n v="3.2748311069733056"/>
    <n v="59558.534634746757"/>
    <n v="300"/>
    <n v="3.3205479452054791"/>
    <n v="296.67945205479452"/>
    <x v="7"/>
    <n v="0.05"/>
    <n v="5"/>
    <m/>
    <x v="36"/>
    <m/>
  </r>
  <r>
    <s v="Truist"/>
    <n v="4213539103"/>
    <m/>
    <m/>
    <s v="MIR BLAUVELT LLC"/>
    <s v="BLAUVELT"/>
    <x v="16"/>
    <n v="611620"/>
    <s v="Q"/>
    <s v="ACT/365"/>
    <d v="2022-09-28T00:00:00"/>
    <d v="2047-09-28T00:00:00"/>
    <d v="2023-01-01T00:00:00"/>
    <n v="0.01"/>
    <n v="8.4999999999999992E-2"/>
    <n v="1.7399999999999999E-2"/>
    <n v="445922.03"/>
    <n v="445922.03"/>
    <n v="3.2748311069733056"/>
    <n v="25409.556431239092"/>
    <n v="300"/>
    <n v="3.1232876712328768"/>
    <n v="296.8767123287671"/>
    <x v="55"/>
    <n v="0.05"/>
    <n v="5"/>
    <m/>
    <x v="38"/>
    <m/>
  </r>
  <r>
    <s v="Truist"/>
    <n v="4238319103"/>
    <m/>
    <m/>
    <s v="SWEET INVESTMENTS, LLC DBA BOP'S FROZEN CUSTARD "/>
    <s v="BRANDON"/>
    <x v="23"/>
    <n v="722515"/>
    <s v="Q"/>
    <s v="ACT/365"/>
    <d v="2022-09-12T00:00:00"/>
    <d v="2032-09-12T00:00:00"/>
    <d v="2023-01-01T00:00:00"/>
    <n v="2.2499999999999999E-2"/>
    <n v="9.7500000000000003E-2"/>
    <n v="1.115E-2"/>
    <n v="499717.44"/>
    <n v="499717.44"/>
    <n v="3.2748311069733056"/>
    <n v="18246.865921881094"/>
    <n v="120"/>
    <n v="3.6493150684931512"/>
    <n v="116.35068493150685"/>
    <x v="56"/>
    <n v="0"/>
    <n v="2"/>
    <m/>
    <x v="42"/>
    <m/>
  </r>
  <r>
    <s v="Truist"/>
    <n v="4244909110"/>
    <m/>
    <m/>
    <s v="STAR FAMILY HEALTHCARE AND WELLNESS CENTER LLC "/>
    <s v="ATLANTA"/>
    <x v="2"/>
    <n v="621111"/>
    <s v="Q"/>
    <s v="ACT/365"/>
    <d v="2022-10-04T00:00:00"/>
    <d v="2047-10-04T00:00:00"/>
    <d v="2023-01-01T00:00:00"/>
    <n v="2.2499999999999999E-2"/>
    <n v="9.7500000000000003E-2"/>
    <n v="2.9899999999999996E-2"/>
    <n v="513000"/>
    <n v="513000"/>
    <n v="3.2748311069733056"/>
    <n v="50231.651900531433"/>
    <n v="300"/>
    <n v="2.9260273972602739"/>
    <n v="297.07397260273973"/>
    <x v="35"/>
    <n v="0.05"/>
    <n v="5"/>
    <m/>
    <x v="16"/>
    <m/>
  </r>
  <r>
    <s v="Truist"/>
    <n v="4245949102"/>
    <m/>
    <m/>
    <s v="DSD SOLUTIONS INC AND DUY LE ANH PAN DBA MAY MAY CATERING"/>
    <s v="SACRAMENTO"/>
    <x v="0"/>
    <n v="722320"/>
    <s v="Q"/>
    <s v="ACT/365"/>
    <d v="2022-09-30T00:00:00"/>
    <d v="2047-09-30T00:00:00"/>
    <d v="2023-01-01T00:00:00"/>
    <n v="2.75E-2"/>
    <n v="0.10249999999999999"/>
    <n v="3.4300000000000004E-2"/>
    <n v="836250"/>
    <n v="836250"/>
    <n v="3.2748311069733056"/>
    <n v="93933.208702980453"/>
    <n v="300"/>
    <n v="3.0575342465753428"/>
    <n v="296.94246575342464"/>
    <x v="57"/>
    <n v="0.05"/>
    <n v="5"/>
    <m/>
    <x v="42"/>
    <m/>
  </r>
  <r>
    <s v="Truist"/>
    <n v="4247929100"/>
    <m/>
    <m/>
    <s v="BARNEGAT 21 LLC"/>
    <s v="BARNEGAT"/>
    <x v="3"/>
    <n v="722511"/>
    <s v="Q"/>
    <s v="ACT/365"/>
    <d v="2022-11-02T00:00:00"/>
    <d v="2047-11-02T00:00:00"/>
    <d v="2023-01-01T00:00:00"/>
    <n v="1.2500000000000001E-2"/>
    <n v="8.7499999999999994E-2"/>
    <n v="1.9299999999999998E-2"/>
    <n v="1980000"/>
    <n v="1980000"/>
    <n v="3.2748311069733056"/>
    <n v="125144.39592187788"/>
    <n v="300"/>
    <n v="1.9726027397260273"/>
    <n v="298.02739726027397"/>
    <x v="27"/>
    <n v="0.05"/>
    <n v="5"/>
    <m/>
    <x v="26"/>
    <m/>
  </r>
  <r>
    <s v="Truist"/>
    <n v="4255339100"/>
    <m/>
    <m/>
    <s v="ZORA INVESTMENT LLC (EPC) _x000a_MANCO LLC (OC)_x000a_ &amp; DEEPCO LLC (OC)"/>
    <s v="MOUNTAIN TOP"/>
    <x v="24"/>
    <n v="447110"/>
    <s v="Q"/>
    <s v="ACT/365"/>
    <d v="2022-09-21T00:00:00"/>
    <d v="2047-09-21T00:00:00"/>
    <d v="2023-01-01T00:00:00"/>
    <n v="1.4999999999999999E-2"/>
    <n v="0.09"/>
    <n v="2.18E-2"/>
    <n v="1008750"/>
    <n v="1008750"/>
    <n v="3.2748311069733056"/>
    <n v="72015.992165673219"/>
    <n v="300"/>
    <n v="3.353424657534247"/>
    <n v="296.64657534246578"/>
    <x v="7"/>
    <n v="0.05"/>
    <n v="5"/>
    <m/>
    <x v="43"/>
    <m/>
  </r>
  <r>
    <s v="Truist"/>
    <n v="4255359106"/>
    <m/>
    <m/>
    <s v="PLAINS FUEL LLC"/>
    <s v="PLAINS    "/>
    <x v="24"/>
    <n v="447110"/>
    <s v="Q"/>
    <s v="ACT/365"/>
    <d v="2022-09-21T00:00:00"/>
    <d v="2047-09-21T00:00:00"/>
    <d v="2023-01-01T00:00:00"/>
    <n v="1.4999999999999999E-2"/>
    <n v="0.09"/>
    <n v="2.2399999999999996E-2"/>
    <n v="493500"/>
    <n v="493500"/>
    <n v="3.2748311069733056"/>
    <n v="36201.292988925707"/>
    <n v="300"/>
    <n v="3.353424657534247"/>
    <n v="296.64657534246578"/>
    <x v="7"/>
    <n v="0.05"/>
    <n v="5"/>
    <m/>
    <x v="43"/>
    <m/>
  </r>
  <r>
    <s v="Truist"/>
    <n v="4259289106"/>
    <m/>
    <m/>
    <s v="DELONREALITY HOLDINGS LLC"/>
    <s v="DENVER"/>
    <x v="21"/>
    <n v="623312"/>
    <s v="Q"/>
    <s v="ACT/365"/>
    <d v="2022-08-26T00:00:00"/>
    <d v="2047-09-01T00:00:00"/>
    <d v="2023-01-01T00:00:00"/>
    <n v="0.02"/>
    <n v="9.5000000000000001E-2"/>
    <n v="2.6800000000000001E-2"/>
    <n v="404250"/>
    <n v="404250"/>
    <n v="3.2748311069733056"/>
    <n v="35479.192729838098"/>
    <n v="300"/>
    <n v="4.2082191780821923"/>
    <n v="295.79178082191783"/>
    <x v="58"/>
    <n v="0.05"/>
    <n v="5"/>
    <m/>
    <x v="44"/>
    <m/>
  </r>
  <r>
    <s v="Truist"/>
    <n v="4269909106"/>
    <m/>
    <m/>
    <s v="IL HOSPIATLITY LLC"/>
    <s v="LANSING"/>
    <x v="17"/>
    <n v="721110"/>
    <s v="Q"/>
    <s v="ACT/365"/>
    <d v="2022-08-31T00:00:00"/>
    <d v="2047-08-31T00:00:00"/>
    <d v="2023-01-01T00:00:00"/>
    <n v="1.2500000000000001E-2"/>
    <n v="8.7499999999999994E-2"/>
    <n v="1.9299999999999998E-2"/>
    <n v="2767297.22"/>
    <n v="2767297.22"/>
    <n v="3.2748311069733056"/>
    <n v="174904.9186531273"/>
    <n v="300"/>
    <n v="4.043835616438356"/>
    <n v="295.95616438356166"/>
    <x v="5"/>
    <n v="0.05"/>
    <n v="5"/>
    <m/>
    <x v="40"/>
    <m/>
  </r>
  <r>
    <s v="Truist"/>
    <n v="4271039104"/>
    <m/>
    <m/>
    <s v="G &amp; O LOGIC LLC"/>
    <s v="BELFAST"/>
    <x v="25"/>
    <n v="541310"/>
    <s v="Q"/>
    <s v="ACT/365"/>
    <d v="2022-09-30T00:00:00"/>
    <d v="2032-09-30T00:00:00"/>
    <d v="2023-01-01T00:00:00"/>
    <n v="0.02"/>
    <n v="9.5000000000000001E-2"/>
    <n v="1.355E-2"/>
    <n v="147674.23999999999"/>
    <n v="147674.23999999999"/>
    <n v="3.2748311069733056"/>
    <n v="6552.8910402261936"/>
    <n v="120"/>
    <n v="3.0575342465753428"/>
    <n v="116.94246575342466"/>
    <x v="59"/>
    <n v="0"/>
    <n v="2"/>
    <m/>
    <x v="37"/>
    <m/>
  </r>
  <r>
    <s v="Truist"/>
    <n v="4274289104"/>
    <m/>
    <m/>
    <s v="NATHAN HA LLC "/>
    <s v="DETROIT "/>
    <x v="7"/>
    <n v="445320"/>
    <s v="Q"/>
    <s v="ACT/365"/>
    <d v="2022-09-02T00:00:00"/>
    <d v="2047-09-02T00:00:00"/>
    <d v="2023-01-01T00:00:00"/>
    <n v="2.5000000000000001E-2"/>
    <n v="0.1"/>
    <n v="3.2399999999999998E-2"/>
    <n v="525000"/>
    <n v="525000"/>
    <n v="3.2748311069733056"/>
    <n v="55704.877129615925"/>
    <n v="300"/>
    <n v="3.978082191780822"/>
    <n v="296.0219178082192"/>
    <x v="11"/>
    <n v="0.05"/>
    <n v="5"/>
    <m/>
    <x v="36"/>
    <m/>
  </r>
  <r>
    <s v="Truist"/>
    <n v="4282679103"/>
    <m/>
    <m/>
    <s v="OCEAN HOTEL LLC"/>
    <s v="AUBURN"/>
    <x v="22"/>
    <n v="721110"/>
    <s v="Q"/>
    <s v="ACT/365"/>
    <d v="2022-09-14T00:00:00"/>
    <d v="2047-09-14T00:00:00"/>
    <d v="2023-01-01T00:00:00"/>
    <n v="1.2500000000000001E-2"/>
    <n v="8.7499999999999994E-2"/>
    <n v="1.9299999999999998E-2"/>
    <n v="1446750"/>
    <n v="1446750"/>
    <n v="3.2748311069733056"/>
    <n v="91440.734747463051"/>
    <n v="300"/>
    <n v="3.5835616438356164"/>
    <n v="296.41643835616441"/>
    <x v="5"/>
    <n v="0.05"/>
    <n v="5"/>
    <m/>
    <x v="40"/>
    <m/>
  </r>
  <r>
    <s v="Truist"/>
    <n v="4282699109"/>
    <m/>
    <m/>
    <s v="TRADEMARK GLENVIEW LLC"/>
    <s v="GLENVIEW"/>
    <x v="17"/>
    <n v="721110"/>
    <s v="Q"/>
    <s v="ACT/365"/>
    <d v="2022-09-09T00:00:00"/>
    <d v="2047-09-09T00:00:00"/>
    <d v="2023-01-01T00:00:00"/>
    <n v="1.4999999999999999E-2"/>
    <n v="0.09"/>
    <n v="2.18E-2"/>
    <n v="2722500"/>
    <n v="2722500"/>
    <n v="3.2748311069733056"/>
    <n v="194362.86361441916"/>
    <n v="300"/>
    <n v="3.7479452054794518"/>
    <n v="296.25205479452057"/>
    <x v="5"/>
    <n v="0.05"/>
    <n v="5"/>
    <m/>
    <x v="40"/>
    <m/>
  </r>
  <r>
    <s v="Truist"/>
    <n v="4282789101"/>
    <m/>
    <m/>
    <s v="PURDYCO INC. (VOGET MEATS II)"/>
    <s v="HUBBARD"/>
    <x v="9"/>
    <n v="311612"/>
    <s v="Q"/>
    <s v="ACT/365"/>
    <d v="2022-09-15T00:00:00"/>
    <d v="2032-09-30T00:00:00"/>
    <d v="2023-01-01T00:00:00"/>
    <n v="2.5000000000000001E-2"/>
    <n v="0.1"/>
    <n v="1.3049999999999999E-2"/>
    <n v="964801.37"/>
    <n v="964801.37"/>
    <n v="3.2748311069733056"/>
    <n v="41232.278077770323"/>
    <n v="120"/>
    <n v="3.5506849315068494"/>
    <n v="116.44931506849315"/>
    <x v="60"/>
    <n v="0"/>
    <n v="2"/>
    <m/>
    <x v="45"/>
    <m/>
  </r>
  <r>
    <s v="Truist"/>
    <n v="4283519103"/>
    <m/>
    <m/>
    <s v="MC2 MOTORS CORPORATION"/>
    <s v="MONTCLAIR"/>
    <x v="0"/>
    <n v="811111"/>
    <s v="Q"/>
    <s v="ACT/365"/>
    <d v="2022-09-30T00:00:00"/>
    <d v="2032-09-30T00:00:00"/>
    <d v="2023-01-01T00:00:00"/>
    <n v="2.75E-2"/>
    <n v="0.10249999999999999"/>
    <n v="1.6150000000000001E-2"/>
    <n v="611250"/>
    <n v="611250"/>
    <n v="3.2748311069733056"/>
    <n v="32328.109303319547"/>
    <n v="120"/>
    <n v="3.0575342465753428"/>
    <n v="116.94246575342466"/>
    <x v="10"/>
    <n v="0"/>
    <n v="2"/>
    <m/>
    <x v="13"/>
    <m/>
  </r>
  <r>
    <s v="Truist"/>
    <n v="4287369103"/>
    <m/>
    <m/>
    <s v="FROSINA LLC DBA DUE AMICI"/>
    <s v="YBOR CITY"/>
    <x v="4"/>
    <n v="722511"/>
    <s v="Q"/>
    <s v="ACT/365"/>
    <d v="2022-09-30T00:00:00"/>
    <d v="2032-09-30T00:00:00"/>
    <d v="2023-01-01T00:00:00"/>
    <n v="0.03"/>
    <n v="0.105"/>
    <n v="1.805E-2"/>
    <n v="787500"/>
    <n v="787500"/>
    <n v="3.2748311069733056"/>
    <n v="46549.677416183687"/>
    <n v="120"/>
    <n v="3.0575342465753428"/>
    <n v="116.94246575342466"/>
    <x v="27"/>
    <n v="0"/>
    <n v="2"/>
    <m/>
    <x v="11"/>
    <m/>
  </r>
  <r>
    <s v="Truist"/>
    <n v="4287569104"/>
    <m/>
    <m/>
    <s v="R C HAYWARD FINANCIAL LLC"/>
    <s v="PRINCETON"/>
    <x v="3"/>
    <n v="523910"/>
    <s v="Q"/>
    <s v="ACT/365"/>
    <d v="2022-09-26T00:00:00"/>
    <d v="2032-09-26T00:00:00"/>
    <d v="2023-01-01T00:00:00"/>
    <n v="2.1700000000000001E-2"/>
    <n v="9.6699999999999994E-2"/>
    <n v="1.0350000000000002E-2"/>
    <n v="426000"/>
    <n v="426000"/>
    <n v="3.2748311069733056"/>
    <n v="14439.057833756002"/>
    <n v="120"/>
    <n v="3.1890410958904112"/>
    <n v="116.81095890410958"/>
    <x v="61"/>
    <n v="0"/>
    <n v="2"/>
    <m/>
    <x v="13"/>
    <m/>
  </r>
  <r>
    <s v="Truist"/>
    <n v="4289829103"/>
    <m/>
    <m/>
    <s v="EASY SPACE STORAGE NORTH RIDGE LLC"/>
    <s v="SAINT LOUIS"/>
    <x v="5"/>
    <n v="531130"/>
    <s v="Q"/>
    <s v="ACT/365"/>
    <d v="2022-09-13T00:00:00"/>
    <d v="2047-09-13T00:00:00"/>
    <d v="2023-01-01T00:00:00"/>
    <n v="0.01"/>
    <n v="8.4999999999999992E-2"/>
    <n v="1.7399999999999999E-2"/>
    <n v="473250"/>
    <n v="473250"/>
    <n v="3.2748311069733056"/>
    <n v="26966.760491927034"/>
    <n v="300"/>
    <n v="3.6164383561643834"/>
    <n v="296.38356164383561"/>
    <x v="62"/>
    <n v="0.05"/>
    <n v="5"/>
    <m/>
    <x v="13"/>
    <m/>
  </r>
  <r>
    <s v="Truist"/>
    <n v="4292519105"/>
    <m/>
    <m/>
    <s v="D&amp;K ASSOCIATES, LLC"/>
    <s v="COLORADO SPRINGS"/>
    <x v="21"/>
    <n v="561740"/>
    <s v="Q"/>
    <s v="ACT/365"/>
    <d v="2022-09-30T00:00:00"/>
    <d v="2032-09-30T00:00:00"/>
    <d v="2023-01-01T00:00:00"/>
    <n v="2.75E-2"/>
    <n v="0.10249999999999999"/>
    <n v="1.5550000000000001E-2"/>
    <n v="952500"/>
    <n v="952500"/>
    <n v="3.2748311069733056"/>
    <n v="48504.751587046747"/>
    <n v="120"/>
    <n v="3.0575342465753428"/>
    <n v="116.94246575342466"/>
    <x v="63"/>
    <n v="0"/>
    <n v="2"/>
    <m/>
    <x v="13"/>
    <m/>
  </r>
  <r>
    <s v="Truist"/>
    <n v="4293829106"/>
    <m/>
    <m/>
    <s v="JLP HOLDINGS, LLC"/>
    <s v="AVON"/>
    <x v="21"/>
    <n v="445310"/>
    <s v="Q"/>
    <s v="ACT/365"/>
    <d v="2022-09-28T00:00:00"/>
    <d v="2047-09-28T00:00:00"/>
    <d v="2023-01-01T00:00:00"/>
    <n v="1.2500000000000001E-2"/>
    <n v="8.7499999999999994E-2"/>
    <n v="1.9299999999999998E-2"/>
    <n v="2445000"/>
    <n v="2445000"/>
    <n v="3.2748311069733056"/>
    <n v="154534.36769140983"/>
    <n v="300"/>
    <n v="3.1232876712328768"/>
    <n v="296.8767123287671"/>
    <x v="38"/>
    <n v="0.05"/>
    <n v="5"/>
    <m/>
    <x v="13"/>
    <m/>
  </r>
  <r>
    <s v="Truist"/>
    <n v="4295789100"/>
    <m/>
    <m/>
    <s v="EAT CLEAN BRO! LLC"/>
    <s v="EATONTOWN"/>
    <x v="3"/>
    <n v="722513"/>
    <s v="Q"/>
    <s v="ACT/365"/>
    <d v="2022-09-26T00:00:00"/>
    <d v="2032-09-26T00:00:00"/>
    <d v="2023-01-01T00:00:00"/>
    <n v="0.02"/>
    <n v="9.5000000000000001E-2"/>
    <n v="8.0499999999999999E-3"/>
    <n v="933208.9"/>
    <n v="933208.9"/>
    <n v="3.2748311069733056"/>
    <n v="24601.617356945942"/>
    <n v="120"/>
    <n v="3.1890410958904112"/>
    <n v="116.81095890410958"/>
    <x v="13"/>
    <n v="0"/>
    <n v="2"/>
    <m/>
    <x v="15"/>
    <m/>
  </r>
  <r>
    <s v="Truist"/>
    <n v="4298699103"/>
    <m/>
    <m/>
    <s v="PARADISE POOLS, SPAS &amp; MORE, INC."/>
    <s v="MOORESVILLE                   "/>
    <x v="26"/>
    <n v="423910"/>
    <s v="Q"/>
    <s v="ACT/365"/>
    <d v="2022-10-06T00:00:00"/>
    <d v="2032-10-06T00:00:00"/>
    <d v="2023-01-01T00:00:00"/>
    <n v="2.75E-2"/>
    <n v="0.10249999999999999"/>
    <n v="4.0050000000000009E-2"/>
    <n v="187500"/>
    <n v="187500"/>
    <n v="3.2748311069733056"/>
    <n v="24591.934843927669"/>
    <n v="120"/>
    <n v="2.8602739726027395"/>
    <n v="117.13972602739726"/>
    <x v="64"/>
    <n v="0"/>
    <n v="2"/>
    <m/>
    <x v="11"/>
    <m/>
  </r>
  <r>
    <s v="Truist"/>
    <n v="4298929100"/>
    <m/>
    <m/>
    <s v="CLUB CASTLE LLC DBA HOME BOYS DALLAS"/>
    <s v="GARLAND"/>
    <x v="1"/>
    <n v="447110"/>
    <s v="Q"/>
    <s v="ACT/365"/>
    <d v="2022-09-15T00:00:00"/>
    <d v="2047-09-15T00:00:00"/>
    <d v="2023-01-01T00:00:00"/>
    <n v="1.2500000000000001E-2"/>
    <n v="8.7499999999999994E-2"/>
    <n v="1.9299999999999998E-2"/>
    <n v="1260000"/>
    <n v="1260000"/>
    <n v="3.2748311069733056"/>
    <n v="79637.342859376833"/>
    <n v="300"/>
    <n v="3.5506849315068494"/>
    <n v="296.44931506849315"/>
    <x v="7"/>
    <n v="0.05"/>
    <n v="5"/>
    <m/>
    <x v="43"/>
    <m/>
  </r>
  <r>
    <s v="Truist"/>
    <n v="4300199106"/>
    <m/>
    <m/>
    <s v="T&amp;R FAMILY BUSINESS LLC DBA SIMPLY LOVE FABRICS"/>
    <s v="SANTAQUIN, UT"/>
    <x v="13"/>
    <s v=""/>
    <s v="Q"/>
    <s v="ACT/365"/>
    <d v="2022-10-05T00:00:00"/>
    <d v="2032-10-05T00:00:00"/>
    <d v="2023-01-01T00:00:00"/>
    <n v="0.03"/>
    <n v="0.105"/>
    <n v="2.3549999999999995E-2"/>
    <n v="168750"/>
    <n v="168750"/>
    <n v="3.2748311069733056"/>
    <n v="13014.3834960561"/>
    <n v="120"/>
    <n v="2.893150684931507"/>
    <n v="117.10684931506849"/>
    <x v="11"/>
    <n v="0"/>
    <n v="2"/>
    <m/>
    <x v="46"/>
    <m/>
  </r>
  <r>
    <s v="Truist"/>
    <n v="4300259100"/>
    <m/>
    <m/>
    <s v="ULTIMATE SACK LLC"/>
    <s v="HUDSON"/>
    <x v="10"/>
    <n v="337121"/>
    <s v="Q"/>
    <s v="ACT/365"/>
    <d v="2022-09-15T00:00:00"/>
    <d v="2047-09-15T00:00:00"/>
    <d v="2023-01-01T00:00:00"/>
    <n v="1.7500000000000002E-2"/>
    <n v="9.2499999999999999E-2"/>
    <n v="2.4300000000000002E-2"/>
    <n v="2093187.79"/>
    <n v="2093187.79"/>
    <n v="3.2748311069733056"/>
    <n v="166572.52664451761"/>
    <n v="300"/>
    <n v="3.5506849315068494"/>
    <n v="296.44931506849315"/>
    <x v="65"/>
    <n v="0.05"/>
    <n v="5"/>
    <m/>
    <x v="47"/>
    <m/>
  </r>
  <r>
    <s v="Truist"/>
    <n v="4300799109"/>
    <m/>
    <m/>
    <s v="LAS VEGAS PAINTING COMPANY LLC"/>
    <s v="LAS VEGAS"/>
    <x v="27"/>
    <n v="238320"/>
    <s v="Q"/>
    <s v="ACT/365"/>
    <d v="2022-09-26T00:00:00"/>
    <d v="2032-09-29T00:00:00"/>
    <d v="2023-01-01T00:00:00"/>
    <n v="2.5000000000000001E-2"/>
    <n v="0.1"/>
    <n v="1.3649999999999997E-2"/>
    <n v="437418.73"/>
    <n v="437418.73"/>
    <n v="3.2748311069733056"/>
    <n v="19553.249130552736"/>
    <n v="120"/>
    <n v="3.1890410958904112"/>
    <n v="116.81095890410958"/>
    <x v="66"/>
    <n v="0"/>
    <n v="2"/>
    <m/>
    <x v="45"/>
    <m/>
  </r>
  <r>
    <s v="Truist"/>
    <n v="4303379107"/>
    <m/>
    <m/>
    <s v="CHECKLIST EDUCATION LLC DBA CHAMBERLAIN REAL ESTATE SCHOOL "/>
    <s v="CAMPBELL"/>
    <x v="0"/>
    <n v="611519"/>
    <s v="Q"/>
    <s v="ACT/365"/>
    <d v="2022-09-19T00:00:00"/>
    <d v="2032-10-13T00:00:00"/>
    <d v="2023-01-01T00:00:00"/>
    <n v="1.7500000000000002E-2"/>
    <n v="9.2499999999999999E-2"/>
    <n v="2.5150000000000002E-2"/>
    <n v="483750"/>
    <n v="483750"/>
    <n v="3.2748311069733056"/>
    <n v="39842.61863215817"/>
    <n v="120"/>
    <n v="3.419178082191781"/>
    <n v="116.58082191780822"/>
    <x v="67"/>
    <n v="0"/>
    <n v="2"/>
    <m/>
    <x v="48"/>
    <m/>
  </r>
  <r>
    <s v="Truist"/>
    <n v="4304139107"/>
    <m/>
    <m/>
    <s v="PRODUCEHERO, LLC"/>
    <s v="IRVINE"/>
    <x v="0"/>
    <n v="541690"/>
    <s v="Q"/>
    <s v="ACT/365"/>
    <d v="2022-10-06T00:00:00"/>
    <d v="2032-10-06T00:00:00"/>
    <d v="2023-01-01T00:00:00"/>
    <n v="2.75E-2"/>
    <n v="0.10249999999999999"/>
    <n v="4.0050000000000009E-2"/>
    <n v="49725"/>
    <n v="49725"/>
    <n v="3.2748311069733056"/>
    <n v="6521.7811206096194"/>
    <n v="120"/>
    <n v="2.8602739726027395"/>
    <n v="117.13972602739726"/>
    <x v="68"/>
    <n v="0"/>
    <n v="2"/>
    <m/>
    <x v="20"/>
    <m/>
  </r>
  <r>
    <s v="Truist"/>
    <n v="4305159104"/>
    <m/>
    <m/>
    <s v="DANVILLE INVESTMENT LLC"/>
    <s v="DANVILLE"/>
    <x v="18"/>
    <n v="721110"/>
    <s v="Q"/>
    <s v="ACT/365"/>
    <d v="2022-09-19T00:00:00"/>
    <d v="2047-09-19T00:00:00"/>
    <d v="2023-01-01T00:00:00"/>
    <n v="1.2500000000000001E-2"/>
    <n v="8.7499999999999994E-2"/>
    <n v="1.9299999999999998E-2"/>
    <n v="2850000"/>
    <n v="2850000"/>
    <n v="3.2748311069733056"/>
    <n v="180132.08503906665"/>
    <n v="300"/>
    <n v="3.419178082191781"/>
    <n v="296.58082191780824"/>
    <x v="5"/>
    <n v="0.05"/>
    <n v="5"/>
    <m/>
    <x v="40"/>
    <m/>
  </r>
  <r>
    <s v="Truist"/>
    <n v="4305409107"/>
    <m/>
    <m/>
    <s v="BEER BARREL LLC"/>
    <s v="PUEBLO"/>
    <x v="21"/>
    <n v="722410"/>
    <s v="Q"/>
    <s v="ACT/365"/>
    <d v="2022-09-21T00:00:00"/>
    <d v="2047-09-21T00:00:00"/>
    <d v="2023-01-01T00:00:00"/>
    <n v="2.75E-2"/>
    <n v="0.10249999999999999"/>
    <n v="3.49E-2"/>
    <n v="597000"/>
    <n v="597000"/>
    <n v="3.2748311069733056"/>
    <n v="68232.088563120924"/>
    <n v="300"/>
    <n v="3.353424657534247"/>
    <n v="296.64657534246578"/>
    <x v="69"/>
    <n v="0.05"/>
    <n v="5"/>
    <m/>
    <x v="49"/>
    <m/>
  </r>
  <r>
    <s v="Truist"/>
    <n v="4306399108"/>
    <m/>
    <m/>
    <s v="GURKIRPA HOSPITALITY, LLC"/>
    <s v="MARSHALL"/>
    <x v="7"/>
    <n v="721110"/>
    <s v="Q"/>
    <s v="ACT/365"/>
    <d v="2022-09-20T00:00:00"/>
    <d v="2047-09-20T00:00:00"/>
    <d v="2023-01-01T00:00:00"/>
    <n v="0.01"/>
    <n v="8.4999999999999992E-2"/>
    <n v="1.6799999999999999E-2"/>
    <n v="2664000"/>
    <n v="2664000"/>
    <n v="3.2748311069733056"/>
    <n v="146565.72115881168"/>
    <n v="300"/>
    <n v="3.3863013698630136"/>
    <n v="296.61369863013698"/>
    <x v="5"/>
    <n v="0.05"/>
    <n v="5"/>
    <m/>
    <x v="40"/>
    <m/>
  </r>
  <r>
    <s v="Truist"/>
    <n v="4306929101"/>
    <m/>
    <m/>
    <s v="SMALLS INVESTMENT GROUP LLC"/>
    <s v="ST. STEPHENS"/>
    <x v="28"/>
    <n v="722513"/>
    <s v="Q"/>
    <s v="ACT/365"/>
    <d v="2022-09-28T00:00:00"/>
    <d v="2032-09-28T00:00:00"/>
    <d v="2023-01-01T00:00:00"/>
    <n v="2.75E-2"/>
    <n v="0.10249999999999999"/>
    <n v="2.1049999999999999E-2"/>
    <n v="150714.37"/>
    <n v="150714.37"/>
    <n v="3.2748311069733056"/>
    <n v="10389.524455378765"/>
    <n v="120"/>
    <n v="3.1232876712328768"/>
    <n v="116.87671232876713"/>
    <x v="13"/>
    <n v="0"/>
    <n v="2"/>
    <m/>
    <x v="50"/>
    <m/>
  </r>
  <r>
    <s v="Truist"/>
    <n v="4310799102"/>
    <m/>
    <m/>
    <s v="AN VENTURE, LLC "/>
    <s v="ATHENS"/>
    <x v="2"/>
    <n v="457110"/>
    <s v="Q"/>
    <s v="ACT/365"/>
    <d v="2022-10-05T00:00:00"/>
    <d v="2047-10-05T00:00:00"/>
    <d v="2023-01-01T00:00:00"/>
    <n v="0.01"/>
    <n v="8.4999999999999992E-2"/>
    <n v="1.6799999999999999E-2"/>
    <n v="985500"/>
    <n v="985500"/>
    <n v="3.2748311069733056"/>
    <n v="54219.413739492833"/>
    <n v="300"/>
    <n v="2.893150684931507"/>
    <n v="297.10684931506847"/>
    <x v="11"/>
    <n v="0.05"/>
    <n v="5"/>
    <m/>
    <x v="51"/>
    <m/>
  </r>
  <r>
    <s v="Truist"/>
    <n v="4312589102"/>
    <m/>
    <m/>
    <s v="BROOKHAVEN ON 131ST PLACE, LLC"/>
    <s v="FOUNTAIN HILLS"/>
    <x v="11"/>
    <n v="623312"/>
    <s v="Q"/>
    <s v="ACT/365"/>
    <d v="2022-09-20T00:00:00"/>
    <d v="2047-09-20T00:00:00"/>
    <d v="2023-01-01T00:00:00"/>
    <n v="0.02"/>
    <n v="9.5000000000000001E-2"/>
    <n v="2.6800000000000001E-2"/>
    <n v="1388015.16"/>
    <n v="1388015.16"/>
    <n v="3.2748311069733056"/>
    <n v="121819.8079742166"/>
    <n v="300"/>
    <n v="3.3863013698630136"/>
    <n v="296.61369863013698"/>
    <x v="58"/>
    <n v="0.05"/>
    <n v="5"/>
    <m/>
    <x v="40"/>
    <m/>
  </r>
  <r>
    <s v="Truist"/>
    <n v="4313509102"/>
    <m/>
    <m/>
    <s v="HUNGER IN THE WILD LLC"/>
    <s v="DALLAS"/>
    <x v="1"/>
    <n v="713940"/>
    <s v="Q"/>
    <s v="ACT/365"/>
    <d v="2022-10-06T00:00:00"/>
    <d v="2032-10-06T00:00:00"/>
    <d v="2023-01-01T00:00:00"/>
    <n v="2.75E-2"/>
    <n v="0.10249999999999999"/>
    <n v="4.0050000000000009E-2"/>
    <n v="57800"/>
    <n v="57800"/>
    <n v="3.2748311069733056"/>
    <n v="7580.8737812214376"/>
    <n v="120"/>
    <n v="2.8602739726027395"/>
    <n v="117.13972602739726"/>
    <x v="3"/>
    <n v="0"/>
    <n v="2"/>
    <m/>
    <x v="20"/>
    <m/>
  </r>
  <r>
    <s v="Truist"/>
    <n v="4313819101"/>
    <m/>
    <m/>
    <s v="NICE GUY STUDIOS"/>
    <s v="BROOKLYN"/>
    <x v="16"/>
    <n v="512110"/>
    <s v="Q"/>
    <s v="ACT/365"/>
    <d v="2022-09-30T00:00:00"/>
    <d v="2032-09-30T00:00:00"/>
    <d v="2023-01-01T00:00:00"/>
    <n v="2.75E-2"/>
    <n v="0.10249999999999999"/>
    <n v="4.0050000000000009E-2"/>
    <n v="63070"/>
    <n v="63070"/>
    <n v="3.2748311069733056"/>
    <n v="8272.0710965680973"/>
    <n v="120"/>
    <n v="3.0575342465753428"/>
    <n v="116.94246575342466"/>
    <x v="14"/>
    <n v="0"/>
    <n v="2"/>
    <m/>
    <x v="20"/>
    <m/>
  </r>
  <r>
    <s v="Truist"/>
    <n v="4314359107"/>
    <m/>
    <m/>
    <s v="MANDM LOPEZ CORPORATION       "/>
    <s v="IRVINE                        "/>
    <x v="0"/>
    <n v="453998"/>
    <s v="Q"/>
    <s v="ACT/365"/>
    <d v="2022-10-14T00:00:00"/>
    <d v="2032-10-14T00:00:00"/>
    <d v="2023-01-01T00:00:00"/>
    <n v="0.03"/>
    <n v="0.105"/>
    <n v="4.2549999999999998E-2"/>
    <n v="127500"/>
    <n v="127500"/>
    <n v="3.2748311069733056"/>
    <n v="17766.368109218554"/>
    <n v="120"/>
    <n v="2.5972602739726027"/>
    <n v="117.40273972602739"/>
    <x v="70"/>
    <n v="0"/>
    <n v="2"/>
    <m/>
    <x v="11"/>
    <m/>
  </r>
  <r>
    <s v="Truist"/>
    <n v="4315469107"/>
    <m/>
    <m/>
    <s v="LAUGH AND LOVE ACADEMY CORP"/>
    <s v="HAYWARD"/>
    <x v="0"/>
    <n v="624410"/>
    <s v="Q"/>
    <s v="ACT/365"/>
    <d v="2022-09-30T00:00:00"/>
    <d v="2032-10-14T00:00:00"/>
    <d v="2023-01-01T00:00:00"/>
    <n v="2.2499999999999999E-2"/>
    <n v="9.7500000000000003E-2"/>
    <n v="1.1149999999999998E-2"/>
    <n v="674250"/>
    <n v="674250"/>
    <n v="3.2748311069733056"/>
    <n v="24619.811843725776"/>
    <n v="120"/>
    <n v="3.0575342465753428"/>
    <n v="116.94246575342466"/>
    <x v="4"/>
    <n v="0"/>
    <n v="2"/>
    <m/>
    <x v="52"/>
    <m/>
  </r>
  <r>
    <s v="Truist"/>
    <n v="4317679104"/>
    <m/>
    <m/>
    <s v="FLORIDA FINEST FAMILY CREMATIONS LLC "/>
    <s v="CLEARWATER"/>
    <x v="4"/>
    <n v="812220"/>
    <s v="Q"/>
    <s v="ACT/365"/>
    <d v="2022-10-21T00:00:00"/>
    <d v="2032-10-21T00:00:00"/>
    <d v="2023-01-01T00:00:00"/>
    <n v="2.75E-2"/>
    <n v="0.10249999999999999"/>
    <n v="2.1049999999999999E-2"/>
    <n v="198750"/>
    <n v="198750"/>
    <n v="3.2748311069733056"/>
    <n v="13700.86996685538"/>
    <n v="120"/>
    <n v="2.3671232876712329"/>
    <n v="117.63287671232877"/>
    <x v="71"/>
    <n v="0"/>
    <n v="2"/>
    <m/>
    <x v="53"/>
    <m/>
  </r>
  <r>
    <s v="Truist"/>
    <n v="4319059110"/>
    <m/>
    <m/>
    <s v="EMERALD HOSPITALITY GROUP, LLC"/>
    <s v="VIDALIA"/>
    <x v="2"/>
    <n v="721110"/>
    <s v="Q"/>
    <s v="ACT/365"/>
    <d v="2022-09-26T00:00:00"/>
    <d v="2047-09-26T00:00:00"/>
    <d v="2023-01-01T00:00:00"/>
    <n v="1.2500000000000001E-2"/>
    <n v="8.7499999999999994E-2"/>
    <n v="1.9299999999999998E-2"/>
    <n v="1813500"/>
    <n v="1813500"/>
    <n v="3.2748311069733056"/>
    <n v="114620.88990117452"/>
    <n v="300"/>
    <n v="3.1890410958904112"/>
    <n v="296.81095890410961"/>
    <x v="5"/>
    <n v="0.05"/>
    <n v="5"/>
    <m/>
    <x v="40"/>
    <m/>
  </r>
  <r>
    <s v="Truist"/>
    <n v="4319099100"/>
    <m/>
    <m/>
    <s v="TRI-LAKES HOSPITALITY LLC"/>
    <s v="SAGINAW"/>
    <x v="7"/>
    <n v="721110"/>
    <s v="Q"/>
    <s v="ACT/365"/>
    <d v="2022-10-07T00:00:00"/>
    <d v="2047-10-07T00:00:00"/>
    <d v="2023-01-01T00:00:00"/>
    <n v="1.4999999999999999E-2"/>
    <n v="0.09"/>
    <n v="2.18E-2"/>
    <n v="2479500"/>
    <n v="2479500"/>
    <n v="3.2748311069733056"/>
    <n v="177014.7733083388"/>
    <n v="300"/>
    <n v="2.8273972602739725"/>
    <n v="297.17260273972602"/>
    <x v="5"/>
    <n v="0.05"/>
    <n v="5"/>
    <m/>
    <x v="40"/>
    <m/>
  </r>
  <r>
    <s v="Truist"/>
    <n v="4319959109"/>
    <m/>
    <m/>
    <s v="WILLIAM JACQUE MCNAIR"/>
    <s v="DALLAS"/>
    <x v="1"/>
    <n v="541613"/>
    <s v="Q"/>
    <s v="ACT/365"/>
    <d v="2022-10-07T00:00:00"/>
    <d v="2032-10-07T00:00:00"/>
    <d v="2023-01-01T00:00:00"/>
    <n v="2.75E-2"/>
    <n v="0.10249999999999999"/>
    <n v="4.0050000000000009E-2"/>
    <n v="45475"/>
    <n v="45475"/>
    <n v="3.2748311069733056"/>
    <n v="5964.3639308139254"/>
    <n v="120"/>
    <n v="2.8273972602739725"/>
    <n v="117.17260273972603"/>
    <x v="72"/>
    <n v="0"/>
    <n v="2"/>
    <m/>
    <x v="20"/>
    <m/>
  </r>
  <r>
    <s v="Truist"/>
    <n v="4320249105"/>
    <m/>
    <m/>
    <s v="RISHIRIAN LLC"/>
    <s v="SAVANNAH"/>
    <x v="2"/>
    <n v="721110"/>
    <s v="Q"/>
    <s v="ACT/365"/>
    <d v="2022-10-07T00:00:00"/>
    <d v="2047-10-07T00:00:00"/>
    <d v="2023-01-01T00:00:00"/>
    <n v="1.4999999999999999E-2"/>
    <n v="0.09"/>
    <n v="2.18E-2"/>
    <n v="2018250"/>
    <n v="2018250"/>
    <n v="3.2748311069733056"/>
    <n v="144085.52781994545"/>
    <n v="300"/>
    <n v="2.8273972602739725"/>
    <n v="297.17260273972602"/>
    <x v="5"/>
    <n v="0.05"/>
    <n v="5"/>
    <m/>
    <x v="40"/>
    <m/>
  </r>
  <r>
    <s v="Truist"/>
    <n v="4321239104"/>
    <m/>
    <m/>
    <s v="JOSEPH ANGELLI, CPA, PC"/>
    <s v="FORT LEE"/>
    <x v="3"/>
    <n v="541211"/>
    <s v="Q"/>
    <s v="ACT/365"/>
    <d v="2022-10-20T00:00:00"/>
    <d v="2032-10-20T00:00:00"/>
    <d v="2023-01-01T00:00:00"/>
    <n v="1.9699999999999999E-2"/>
    <n v="9.4699999999999993E-2"/>
    <n v="8.349999999999998E-3"/>
    <n v="487500"/>
    <n v="487500"/>
    <n v="3.2748311069733056"/>
    <n v="13330.609374823209"/>
    <n v="120"/>
    <n v="2.4000000000000004"/>
    <n v="117.6"/>
    <x v="73"/>
    <n v="0"/>
    <n v="2"/>
    <m/>
    <x v="13"/>
    <m/>
  </r>
  <r>
    <s v="Truist"/>
    <n v="4322089109"/>
    <m/>
    <m/>
    <s v="DEMORA'S KITCHEN LLC"/>
    <s v="HEBRON"/>
    <x v="29"/>
    <n v="722330"/>
    <s v="Q"/>
    <s v="ACT/365"/>
    <d v="2022-09-29T00:00:00"/>
    <d v="2032-09-28T00:00:00"/>
    <d v="2023-01-01T00:00:00"/>
    <n v="2.9900000000000003E-2"/>
    <n v="0.10489999999999999"/>
    <n v="4.2450000000000009E-2"/>
    <n v="47258.28"/>
    <n v="47258.28"/>
    <n v="3.2748311069733056"/>
    <n v="6569.6844854870114"/>
    <n v="119"/>
    <n v="3.0904109589041093"/>
    <n v="115.90958904109588"/>
    <x v="74"/>
    <n v="0"/>
    <n v="2"/>
    <m/>
    <x v="37"/>
    <m/>
  </r>
  <r>
    <s v="Truist"/>
    <n v="4322149103"/>
    <m/>
    <m/>
    <s v="GURU 100 OF WINNSBORO, LLC"/>
    <s v="WINNSBORO"/>
    <x v="28"/>
    <n v="721110"/>
    <s v="Q"/>
    <s v="ACT/365"/>
    <d v="2022-09-30T00:00:00"/>
    <d v="2047-09-30T00:00:00"/>
    <d v="2023-01-01T00:00:00"/>
    <n v="1.4999999999999999E-2"/>
    <n v="0.09"/>
    <n v="2.2399999999999996E-2"/>
    <n v="708000"/>
    <n v="708000"/>
    <n v="3.2748311069733056"/>
    <n v="51936.201491711035"/>
    <n v="300"/>
    <n v="3.0575342465753428"/>
    <n v="296.94246575342464"/>
    <x v="5"/>
    <n v="0.05"/>
    <n v="5"/>
    <m/>
    <x v="40"/>
    <m/>
  </r>
  <r>
    <s v="Truist"/>
    <n v="4323479110"/>
    <m/>
    <m/>
    <s v="BUILDUP INC"/>
    <s v="DES PLAINES"/>
    <x v="17"/>
    <n v="236116"/>
    <s v="Q"/>
    <s v="ACT/365"/>
    <d v="2022-10-06T00:00:00"/>
    <d v="2032-10-06T00:00:00"/>
    <d v="2023-01-01T00:00:00"/>
    <n v="2.75E-2"/>
    <n v="0.10249999999999999"/>
    <n v="4.0050000000000009E-2"/>
    <n v="71145"/>
    <n v="71145"/>
    <n v="3.2748311069733056"/>
    <n v="9331.1637571799165"/>
    <n v="120"/>
    <n v="2.8602739726027395"/>
    <n v="117.13972602739726"/>
    <x v="75"/>
    <n v="0"/>
    <n v="2"/>
    <m/>
    <x v="20"/>
    <m/>
  </r>
  <r>
    <s v="Truist"/>
    <n v="4324279100"/>
    <m/>
    <m/>
    <s v="GO VENTURES LLC"/>
    <s v="BEVERLY HILLS"/>
    <x v="0"/>
    <n v="425120"/>
    <s v="Q"/>
    <s v="ACT/365"/>
    <d v="2022-10-04T00:00:00"/>
    <d v="2032-10-04T00:00:00"/>
    <d v="2023-01-01T00:00:00"/>
    <n v="2.3E-2"/>
    <n v="9.8000000000000004E-2"/>
    <n v="1.1650000000000001E-2"/>
    <n v="412500"/>
    <n v="412500"/>
    <n v="3.2748311069733056"/>
    <n v="15737.610238448593"/>
    <n v="120"/>
    <n v="2.9260273972602739"/>
    <n v="117.07397260273973"/>
    <x v="76"/>
    <n v="0"/>
    <n v="2"/>
    <m/>
    <x v="13"/>
    <m/>
  </r>
  <r>
    <s v="Truist"/>
    <n v="4325399103"/>
    <m/>
    <m/>
    <s v="ELANSIS LOGISTICS INC"/>
    <s v="LAUREL"/>
    <x v="19"/>
    <n v="484110"/>
    <s v="Q"/>
    <s v="ACT/365"/>
    <d v="2022-10-07T00:00:00"/>
    <d v="2032-10-07T00:00:00"/>
    <d v="2023-01-01T00:00:00"/>
    <n v="2.5000000000000001E-2"/>
    <n v="0.1"/>
    <n v="3.2050000000000002E-2"/>
    <n v="810375"/>
    <n v="810375"/>
    <n v="3.2748311069733056"/>
    <n v="85055.612328947434"/>
    <n v="120"/>
    <n v="2.8273972602739725"/>
    <n v="117.17260273972603"/>
    <x v="77"/>
    <n v="0"/>
    <n v="2"/>
    <m/>
    <x v="54"/>
    <m/>
  </r>
  <r>
    <s v="Truist"/>
    <n v="4328439108"/>
    <m/>
    <m/>
    <s v="LAYFAR TECHNOLOGIES"/>
    <s v="WALNUT CREEK"/>
    <x v="0"/>
    <n v="541519"/>
    <s v="Q"/>
    <s v="ACT/365"/>
    <d v="2022-10-06T00:00:00"/>
    <d v="2032-10-06T00:00:00"/>
    <d v="2023-01-01T00:00:00"/>
    <n v="2.75E-2"/>
    <n v="0.10249999999999999"/>
    <n v="4.0050000000000009E-2"/>
    <n v="84065"/>
    <n v="84065"/>
    <n v="3.2748311069733056"/>
    <n v="11025.712014158824"/>
    <n v="120"/>
    <n v="2.8602739726027395"/>
    <n v="117.13972602739726"/>
    <x v="78"/>
    <n v="0"/>
    <n v="2"/>
    <m/>
    <x v="20"/>
    <m/>
  </r>
  <r>
    <s v="Truist"/>
    <n v="4329609102"/>
    <m/>
    <m/>
    <s v="ZB EXPRESS LLC"/>
    <s v="CYPRESS"/>
    <x v="1"/>
    <n v="447110"/>
    <s v="Q"/>
    <s v="ACT/365"/>
    <d v="2022-09-29T00:00:00"/>
    <d v="2047-09-29T00:00:00"/>
    <d v="2023-01-01T00:00:00"/>
    <n v="1.7500000000000002E-2"/>
    <n v="9.2499999999999999E-2"/>
    <n v="2.4300000000000002E-2"/>
    <n v="2025079.76"/>
    <n v="2025079.76"/>
    <n v="3.2748311069733056"/>
    <n v="161152.59886924588"/>
    <n v="300"/>
    <n v="3.0904109589041093"/>
    <n v="296.9095890410959"/>
    <x v="7"/>
    <n v="0.05"/>
    <n v="5"/>
    <m/>
    <x v="20"/>
    <m/>
  </r>
  <r>
    <s v="Truist"/>
    <n v="4329669109"/>
    <m/>
    <m/>
    <s v="JESSICA TREAT"/>
    <s v="BENICIA"/>
    <x v="0"/>
    <n v="621340"/>
    <s v="Q"/>
    <s v="ACT/365"/>
    <d v="2022-10-07T00:00:00"/>
    <d v="2032-10-07T00:00:00"/>
    <d v="2023-01-01T00:00:00"/>
    <n v="2.75E-2"/>
    <n v="0.10249999999999999"/>
    <n v="4.0050000000000009E-2"/>
    <n v="45475"/>
    <n v="45475"/>
    <n v="3.2748311069733056"/>
    <n v="5964.3639308139254"/>
    <n v="120"/>
    <n v="2.8273972602739725"/>
    <n v="117.17260273972603"/>
    <x v="28"/>
    <n v="0"/>
    <n v="2"/>
    <m/>
    <x v="20"/>
    <m/>
  </r>
  <r>
    <s v="Truist"/>
    <n v="4329739106"/>
    <m/>
    <m/>
    <s v="STOWELL ENTERPRISES, LLC"/>
    <s v="RIGBY"/>
    <x v="30"/>
    <n v="532284"/>
    <s v="Q"/>
    <s v="ACT/365"/>
    <d v="2022-10-07T00:00:00"/>
    <d v="2032-10-07T00:00:00"/>
    <d v="2023-01-01T00:00:00"/>
    <n v="2.75E-2"/>
    <n v="0.10249999999999999"/>
    <n v="4.0050000000000009E-2"/>
    <n v="87975"/>
    <n v="87975"/>
    <n v="3.2748311069733056"/>
    <n v="11538.535828770864"/>
    <n v="120"/>
    <n v="2.8273972602739725"/>
    <n v="117.17260273972603"/>
    <x v="79"/>
    <n v="0"/>
    <n v="2"/>
    <m/>
    <x v="20"/>
    <m/>
  </r>
  <r>
    <s v="Truist"/>
    <n v="4331479110"/>
    <m/>
    <m/>
    <s v="POUR LES ENFANT, LLC"/>
    <s v="COVINGTON,"/>
    <x v="31"/>
    <n v="722513"/>
    <s v="Q"/>
    <s v="ACT/365"/>
    <d v="2022-10-17T00:00:00"/>
    <d v="2047-10-18T00:00:00"/>
    <d v="2023-01-01T00:00:00"/>
    <n v="0.02"/>
    <n v="9.5000000000000001E-2"/>
    <n v="3.2300000000000002E-2"/>
    <n v="255000"/>
    <n v="255000"/>
    <n v="3.2748311069733056"/>
    <n v="26973.146412585633"/>
    <n v="300"/>
    <n v="2.4986301369863013"/>
    <n v="297.50136986301368"/>
    <x v="13"/>
    <n v="0.05"/>
    <n v="5"/>
    <m/>
    <x v="55"/>
    <m/>
  </r>
  <r>
    <s v="Truist"/>
    <n v="4334709102"/>
    <m/>
    <m/>
    <s v="MV HOTELS, INC."/>
    <s v="ST. CLARISVILLE"/>
    <x v="10"/>
    <n v="721110"/>
    <s v="Q"/>
    <s v="ACT/365"/>
    <d v="2022-09-30T00:00:00"/>
    <d v="2047-09-30T00:00:00"/>
    <d v="2023-01-01T00:00:00"/>
    <n v="1.2500000000000001E-2"/>
    <n v="8.7499999999999994E-2"/>
    <n v="1.9299999999999998E-2"/>
    <n v="1187250"/>
    <n v="1187250"/>
    <n v="3.2748311069733056"/>
    <n v="75039.234372853287"/>
    <n v="300"/>
    <n v="3.0575342465753428"/>
    <n v="296.94246575342464"/>
    <x v="5"/>
    <n v="0.05"/>
    <n v="5"/>
    <m/>
    <x v="40"/>
    <m/>
  </r>
  <r>
    <s v="Truist"/>
    <n v="4336939105"/>
    <m/>
    <m/>
    <s v="HK CAR WASH 1 LLC"/>
    <s v="ORANGE"/>
    <x v="3"/>
    <n v="811192"/>
    <s v="Q"/>
    <s v="ACT/365"/>
    <d v="2022-10-11T00:00:00"/>
    <d v="2047-10-11T00:00:00"/>
    <d v="2023-01-01T00:00:00"/>
    <n v="1.7500000000000002E-2"/>
    <n v="9.2499999999999999E-2"/>
    <n v="2.4300000000000002E-2"/>
    <n v="825000"/>
    <n v="825000"/>
    <n v="3.2748311069733056"/>
    <n v="65652.176617047357"/>
    <n v="300"/>
    <n v="2.6958904109589041"/>
    <n v="297.3041095890411"/>
    <x v="21"/>
    <n v="0.05"/>
    <n v="5"/>
    <m/>
    <x v="56"/>
    <m/>
  </r>
  <r>
    <s v="Truist"/>
    <n v="4339809107"/>
    <m/>
    <m/>
    <s v="STATLER LOGISTICS CORP"/>
    <s v="STRATFORD"/>
    <x v="5"/>
    <n v="484110"/>
    <s v="Q"/>
    <s v="ACT/365"/>
    <d v="2022-10-07T00:00:00"/>
    <d v="2032-10-07T00:00:00"/>
    <d v="2023-01-01T00:00:00"/>
    <n v="2.75E-2"/>
    <n v="0.10249999999999999"/>
    <n v="1.5550000000000001E-2"/>
    <n v="885750"/>
    <n v="885750"/>
    <n v="3.2748311069733056"/>
    <n v="45105.599704174972"/>
    <n v="120"/>
    <n v="2.8273972602739725"/>
    <n v="117.17260273972603"/>
    <x v="77"/>
    <n v="0"/>
    <n v="2"/>
    <m/>
    <x v="27"/>
    <m/>
  </r>
  <r>
    <s v="Truist"/>
    <n v="4346389110"/>
    <m/>
    <m/>
    <s v="CHEF JOHN'S FISH &amp; CHIPS                "/>
    <s v="LEMON GROVE                             "/>
    <x v="0"/>
    <n v="722513"/>
    <s v="Q"/>
    <s v="ACT/365"/>
    <d v="2022-10-17T00:00:00"/>
    <d v="2047-10-27T00:00:00"/>
    <d v="2023-01-01T00:00:00"/>
    <n v="0.01"/>
    <n v="8.4999999999999992E-2"/>
    <n v="1.6799999999999999E-2"/>
    <n v="571500"/>
    <n v="571500"/>
    <n v="3.2748311069733056"/>
    <n v="31442.308424272098"/>
    <n v="300"/>
    <n v="2.4986301369863013"/>
    <n v="297.50136986301368"/>
    <x v="13"/>
    <n v="0.05"/>
    <n v="5"/>
    <m/>
    <x v="30"/>
    <m/>
  </r>
  <r>
    <s v="Truist"/>
    <n v="4346959104"/>
    <m/>
    <m/>
    <s v="GRANT PROPERTY MANAGEMENT COMPANY "/>
    <s v="BOCA RATON "/>
    <x v="4"/>
    <n v="531311"/>
    <s v="Q"/>
    <s v="ACT/365"/>
    <d v="2022-10-20T00:00:00"/>
    <d v="2032-10-20T00:00:00"/>
    <d v="2023-01-01T00:00:00"/>
    <n v="0.02"/>
    <n v="9.5000000000000001E-2"/>
    <n v="8.0499999999999999E-3"/>
    <n v="450750"/>
    <n v="450750"/>
    <n v="3.2748311069733056"/>
    <n v="11882.847477819152"/>
    <n v="120"/>
    <n v="2.4000000000000004"/>
    <n v="117.6"/>
    <x v="80"/>
    <n v="0"/>
    <n v="2"/>
    <m/>
    <x v="57"/>
    <m/>
  </r>
  <r>
    <s v="Truist"/>
    <n v="4347959106"/>
    <m/>
    <m/>
    <s v="MARIO MELENDEZ"/>
    <s v="SAN CLEMENTE"/>
    <x v="0"/>
    <n v="722320"/>
    <s v="Q"/>
    <s v="ACT/365"/>
    <d v="2022-10-27T00:00:00"/>
    <d v="2047-10-31T00:00:00"/>
    <d v="2023-01-01T00:00:00"/>
    <n v="2.75E-2"/>
    <n v="0.10249999999999999"/>
    <n v="3.4300000000000004E-2"/>
    <n v="724200"/>
    <n v="724200"/>
    <n v="3.2748311069733056"/>
    <n v="81347.00118708334"/>
    <n v="300"/>
    <n v="2.1698630136986301"/>
    <n v="297.8301369863014"/>
    <x v="57"/>
    <n v="0.05"/>
    <n v="5"/>
    <m/>
    <x v="41"/>
    <m/>
  </r>
  <r>
    <s v="Truist"/>
    <n v="4348239104"/>
    <m/>
    <m/>
    <s v="KATEMOVES INC. DBA THE DANCE ACADEMY AT COSTA MESA"/>
    <s v="COSTA MESA"/>
    <x v="0"/>
    <n v="611610"/>
    <s v="Q"/>
    <s v="ACT/365"/>
    <d v="2022-10-21T00:00:00"/>
    <d v="2032-10-21T00:00:00"/>
    <d v="2023-01-01T00:00:00"/>
    <n v="0.03"/>
    <n v="0.105"/>
    <n v="4.2549999999999998E-2"/>
    <n v="93500"/>
    <n v="93500"/>
    <n v="3.2748311069733056"/>
    <n v="13028.669946760274"/>
    <n v="120"/>
    <n v="2.3671232876712329"/>
    <n v="117.63287671232877"/>
    <x v="81"/>
    <n v="0"/>
    <n v="2"/>
    <m/>
    <x v="11"/>
    <m/>
  </r>
  <r>
    <s v="Truist"/>
    <n v="4355139107"/>
    <m/>
    <m/>
    <s v="3M WATER TREATMENT LLC"/>
    <s v="MERIDIAN"/>
    <x v="30"/>
    <n v="238220"/>
    <s v="Q"/>
    <s v="ACT/365"/>
    <d v="2022-10-14T00:00:00"/>
    <d v="2032-10-14T00:00:00"/>
    <d v="2023-01-01T00:00:00"/>
    <n v="2.2499999999999999E-2"/>
    <n v="9.7500000000000003E-2"/>
    <n v="2.9549999999999996E-2"/>
    <n v="825000"/>
    <n v="825000"/>
    <n v="3.2748311069733056"/>
    <n v="79836.288849125471"/>
    <n v="120"/>
    <n v="2.5972602739726027"/>
    <n v="117.40273972602739"/>
    <x v="42"/>
    <n v="0"/>
    <n v="2"/>
    <m/>
    <x v="58"/>
    <m/>
  </r>
  <r>
    <s v="Truist"/>
    <n v="4365199107"/>
    <m/>
    <m/>
    <s v="ANGELS OF COLORADO HOME CARE, LLC"/>
    <s v="AURORA"/>
    <x v="21"/>
    <n v="624120"/>
    <s v="Q"/>
    <s v="ACT/365"/>
    <d v="2022-10-20T00:00:00"/>
    <d v="2047-10-20T00:00:00"/>
    <d v="2023-01-01T00:00:00"/>
    <n v="0.01"/>
    <n v="8.4999999999999992E-2"/>
    <n v="1.6799999999999999E-2"/>
    <n v="918750"/>
    <n v="918750"/>
    <n v="3.2748311069733056"/>
    <n v="50547.018136132967"/>
    <n v="300"/>
    <n v="2.4000000000000004"/>
    <n v="297.60000000000002"/>
    <x v="82"/>
    <n v="0.05"/>
    <n v="5"/>
    <m/>
    <x v="13"/>
    <m/>
  </r>
  <r>
    <s v="Truist"/>
    <n v="4366589108"/>
    <m/>
    <m/>
    <s v="JAGERTIA HOLDINGS  LLC"/>
    <s v="SEATTLE"/>
    <x v="14"/>
    <n v="315990"/>
    <s v="Q"/>
    <s v="ACT/365"/>
    <d v="2022-10-27T00:00:00"/>
    <d v="2032-11-21T00:00:00"/>
    <d v="2023-01-01T00:00:00"/>
    <n v="2.75E-2"/>
    <n v="0.10249999999999999"/>
    <n v="3.4549999999999997E-2"/>
    <n v="600941.66"/>
    <n v="600941.66"/>
    <n v="3.2748311069733056"/>
    <n v="67993.793358806273"/>
    <n v="120"/>
    <n v="2.1698630136986301"/>
    <n v="117.83013698630137"/>
    <x v="83"/>
    <n v="0"/>
    <n v="2"/>
    <m/>
    <x v="58"/>
    <m/>
  </r>
  <r>
    <s v="Truist"/>
    <n v="4367649104"/>
    <m/>
    <m/>
    <s v="LELAND REAL PROPERTY LLC"/>
    <s v="SOUTHPORT"/>
    <x v="26"/>
    <n v="722513"/>
    <s v="Q"/>
    <s v="ACT/365"/>
    <d v="2022-10-27T00:00:00"/>
    <d v="2047-11-01T00:00:00"/>
    <d v="2023-01-01T00:00:00"/>
    <n v="0.02"/>
    <n v="9.5000000000000001E-2"/>
    <n v="2.6800000000000001E-2"/>
    <n v="562500"/>
    <n v="562500"/>
    <n v="3.2748311069733056"/>
    <n v="49368.078937622588"/>
    <n v="300"/>
    <n v="2.1698630136986301"/>
    <n v="297.8301369863014"/>
    <x v="13"/>
    <n v="0.05"/>
    <n v="5"/>
    <m/>
    <x v="41"/>
    <m/>
  </r>
  <r>
    <s v="Truist"/>
    <n v="4372549103"/>
    <m/>
    <m/>
    <s v="KENLEIGHCO, LLC DBA JOSEPH ZELL AND CO"/>
    <s v="WILMINGTON"/>
    <x v="26"/>
    <n v="812112"/>
    <s v="Q"/>
    <s v="ACT/365"/>
    <d v="2022-10-27T00:00:00"/>
    <d v="2047-10-27T00:00:00"/>
    <d v="2023-01-01T00:00:00"/>
    <n v="0.02"/>
    <n v="9.5000000000000001E-2"/>
    <n v="3.2300000000000002E-2"/>
    <n v="212250"/>
    <n v="212250"/>
    <n v="3.2748311069733056"/>
    <n v="22451.177749299219"/>
    <n v="300"/>
    <n v="2.1698630136986301"/>
    <n v="297.8301369863014"/>
    <x v="84"/>
    <n v="0.05"/>
    <n v="5"/>
    <m/>
    <x v="59"/>
    <m/>
  </r>
  <r>
    <s v="Truist"/>
    <n v="4378049107"/>
    <m/>
    <m/>
    <s v="EMDAD H. BHUIYAN"/>
    <s v="AUBURN"/>
    <x v="14"/>
    <n v="441120"/>
    <s v="Q"/>
    <s v="ACT/365"/>
    <d v="2022-10-18T00:00:00"/>
    <d v="2047-10-28T00:00:00"/>
    <d v="2023-01-01T00:00:00"/>
    <n v="2.75E-2"/>
    <n v="0.10249999999999999"/>
    <n v="3.4300000000000004E-2"/>
    <n v="480000"/>
    <n v="480000"/>
    <n v="3.2748311069733056"/>
    <n v="53916.819345208511"/>
    <n v="300"/>
    <n v="2.4657534246575343"/>
    <n v="297.53424657534248"/>
    <x v="25"/>
    <n v="0.05"/>
    <n v="5"/>
    <m/>
    <x v="41"/>
    <m/>
  </r>
  <r>
    <s v="Truist"/>
    <n v="4393949104"/>
    <m/>
    <m/>
    <s v="BLOOM SEASIDE CHIC BOUTIQUE LLC"/>
    <s v="VENICE"/>
    <x v="4"/>
    <n v="448120"/>
    <s v="Q"/>
    <s v="ACT/365"/>
    <d v="2022-10-31T00:00:00"/>
    <d v="2032-10-31T00:00:00"/>
    <d v="2023-01-01T00:00:00"/>
    <n v="2.5000000000000001E-2"/>
    <n v="0.1"/>
    <n v="1.3050000000000001E-2"/>
    <n v="535500"/>
    <n v="535500"/>
    <n v="3.2748311069733056"/>
    <n v="22885.420354083879"/>
    <n v="120"/>
    <n v="2.0383561643835617"/>
    <n v="117.96164383561644"/>
    <x v="85"/>
    <n v="0"/>
    <n v="2"/>
    <m/>
    <x v="60"/>
    <m/>
  </r>
  <r>
    <s v="Truist"/>
    <n v="4394859103"/>
    <m/>
    <m/>
    <s v="EBONY COURT, LLC"/>
    <s v="BROOKLYN "/>
    <x v="16"/>
    <n v="624410"/>
    <s v="Q"/>
    <s v="ACT/365"/>
    <d v="2022-10-19T00:00:00"/>
    <d v="2047-10-28T00:00:00"/>
    <d v="2023-01-01T00:00:00"/>
    <n v="2.5000000000000001E-2"/>
    <n v="0.1"/>
    <n v="3.1800000000000002E-2"/>
    <n v="465000"/>
    <n v="465000"/>
    <n v="3.2748311069733056"/>
    <n v="48424.927578814277"/>
    <n v="300"/>
    <n v="2.4328767123287669"/>
    <n v="297.56712328767122"/>
    <x v="4"/>
    <n v="0.05"/>
    <n v="5"/>
    <m/>
    <x v="41"/>
    <m/>
  </r>
  <r>
    <s v="Truist"/>
    <n v="4398329105"/>
    <m/>
    <m/>
    <s v="CLEAN &amp; SAFE GLOBAL INC. DBA SANI-CHEM CLEANING SUPPLIES"/>
    <s v="CLEARWATER"/>
    <x v="4"/>
    <n v="424690"/>
    <s v="Q"/>
    <s v="ACT/365"/>
    <d v="2022-10-31T00:00:00"/>
    <d v="2047-10-31T00:00:00"/>
    <d v="2023-01-01T00:00:00"/>
    <n v="0.02"/>
    <n v="9.5000000000000001E-2"/>
    <n v="2.6800000000000001E-2"/>
    <n v="680250"/>
    <n v="680250"/>
    <n v="3.2748311069733056"/>
    <n v="59702.463461898238"/>
    <n v="300"/>
    <n v="2.0383561643835617"/>
    <n v="297.96164383561643"/>
    <x v="86"/>
    <n v="0.05"/>
    <n v="5"/>
    <m/>
    <x v="60"/>
    <m/>
  </r>
  <r>
    <s v="Truist"/>
    <n v="4399789105"/>
    <m/>
    <m/>
    <s v="WNC BUSINESS IT SOLUTIONS LLC"/>
    <s v="ASHEVILLE"/>
    <x v="26"/>
    <n v="541519"/>
    <s v="Q"/>
    <s v="ACT/365"/>
    <d v="2022-10-31T00:00:00"/>
    <d v="2032-10-31T00:00:00"/>
    <d v="2023-01-01T00:00:00"/>
    <n v="2.75E-2"/>
    <n v="0.10249999999999999"/>
    <n v="3.4549999999999997E-2"/>
    <n v="877500"/>
    <n v="877500"/>
    <n v="3.2748311069733056"/>
    <n v="99285.101439551567"/>
    <n v="120"/>
    <n v="2.0383561643835617"/>
    <n v="117.96164383561644"/>
    <x v="78"/>
    <n v="0"/>
    <n v="2"/>
    <m/>
    <x v="18"/>
    <m/>
  </r>
  <r>
    <s v="Truist"/>
    <n v="4408599110"/>
    <m/>
    <m/>
    <s v="FRANKEL INVESTMENTS LLC"/>
    <s v="WEST PALM BEACH"/>
    <x v="4"/>
    <n v="561730"/>
    <s v="Q"/>
    <s v="ACT/365"/>
    <d v="2022-10-31T00:00:00"/>
    <d v="2032-10-31T00:00:00"/>
    <d v="2023-01-01T00:00:00"/>
    <n v="1.7500000000000002E-2"/>
    <n v="9.2499999999999999E-2"/>
    <n v="2.4550000000000002E-2"/>
    <n v="968250"/>
    <n v="968250"/>
    <n v="3.2748311069733056"/>
    <n v="77844.495634475476"/>
    <n v="120"/>
    <n v="2.0383561643835617"/>
    <n v="117.96164383561644"/>
    <x v="32"/>
    <n v="0"/>
    <n v="2"/>
    <m/>
    <x v="61"/>
    <m/>
  </r>
  <r>
    <s v="Truist"/>
    <n v="4409109105"/>
    <m/>
    <m/>
    <s v="PANTS AND BAGS LLC; SMALL BATCH LIQUORS, LLC; ELI P. COX AND MARK A. HANSEN"/>
    <s v="DENVER"/>
    <x v="21"/>
    <n v="445320"/>
    <s v="Q"/>
    <s v="ACT/365"/>
    <d v="2022-10-24T00:00:00"/>
    <d v="2047-10-31T00:00:00"/>
    <d v="2023-01-01T00:00:00"/>
    <n v="2.75E-2"/>
    <n v="0.10249999999999999"/>
    <n v="3.4300000000000004E-2"/>
    <n v="433875"/>
    <n v="433875"/>
    <n v="3.2748311069733056"/>
    <n v="48735.749986254879"/>
    <n v="300"/>
    <n v="2.2684931506849315"/>
    <n v="297.73150684931505"/>
    <x v="11"/>
    <n v="0.05"/>
    <n v="5"/>
    <m/>
    <x v="41"/>
    <m/>
  </r>
  <r>
    <s v="Truist"/>
    <n v="4409779107"/>
    <m/>
    <m/>
    <s v="LOGEX PROPERTIES LLC"/>
    <s v="EMPORIA"/>
    <x v="18"/>
    <n v="484121"/>
    <s v="Q"/>
    <s v="ACT/365"/>
    <d v="2022-10-21T00:00:00"/>
    <d v="2047-10-28T00:00:00"/>
    <d v="2023-01-01T00:00:00"/>
    <n v="2.2499999999999999E-2"/>
    <n v="9.7500000000000003E-2"/>
    <n v="2.9299999999999996E-2"/>
    <n v="415875"/>
    <n v="415875"/>
    <n v="3.2748311069733056"/>
    <n v="39904.267327746937"/>
    <n v="300"/>
    <n v="2.3671232876712329"/>
    <n v="297.63287671232877"/>
    <x v="87"/>
    <n v="0.05"/>
    <n v="5"/>
    <m/>
    <x v="41"/>
    <m/>
  </r>
  <r>
    <s v="Truist"/>
    <n v="4430769109"/>
    <m/>
    <m/>
    <s v="JOSE RAMOS"/>
    <s v="LEBEC"/>
    <x v="0"/>
    <n v="488410"/>
    <s v="Q"/>
    <s v="ACT/365"/>
    <d v="2022-10-25T00:00:00"/>
    <d v="2047-11-01T00:00:00"/>
    <d v="2023-01-01T00:00:00"/>
    <n v="2.5000000000000001E-2"/>
    <n v="0.1"/>
    <n v="3.1800000000000002E-2"/>
    <n v="506775"/>
    <n v="506775"/>
    <n v="3.2748311069733056"/>
    <n v="52775.360588717427"/>
    <n v="300"/>
    <n v="2.2356164383561645"/>
    <n v="297.76438356164385"/>
    <x v="88"/>
    <n v="0.05"/>
    <n v="5"/>
    <m/>
    <x v="41"/>
    <m/>
  </r>
  <r>
    <s v="Truist"/>
    <n v="5254949000"/>
    <m/>
    <m/>
    <s v="SSTHIND INC DBA GIFFORDS MARKET"/>
    <s v="SPRINGVILLE"/>
    <x v="0"/>
    <n v="447110"/>
    <s v="Q"/>
    <s v="ACT/365"/>
    <d v="2021-05-26T00:00:00"/>
    <d v="2046-06-17T00:00:00"/>
    <d v="2023-01-01T00:00:00"/>
    <n v="1.7500000000000002E-2"/>
    <n v="9.2499999999999999E-2"/>
    <n v="3.4049999999999997E-2"/>
    <n v="2244002.5099999998"/>
    <n v="2244002.5099999998"/>
    <n v="3.2748311069733056"/>
    <n v="250224.23007291567"/>
    <n v="300"/>
    <n v="19.232876712328768"/>
    <n v="280.76712328767121"/>
    <x v="7"/>
    <n v="0.03"/>
    <n v="5"/>
    <m/>
    <x v="6"/>
    <m/>
  </r>
  <r>
    <s v="Truist"/>
    <n v="6282888208"/>
    <m/>
    <m/>
    <s v="W&amp;N STEARNS LLC"/>
    <s v="LEEDS"/>
    <x v="15"/>
    <n v="722513"/>
    <s v="Q"/>
    <s v="ACT/365"/>
    <d v="2021-03-12T00:00:00"/>
    <d v="2041-11-12T00:00:00"/>
    <d v="2023-01-01T00:00:00"/>
    <n v="2.75E-2"/>
    <n v="0.10249999999999999"/>
    <n v="3.8550000000000001E-2"/>
    <n v="480026.72"/>
    <n v="480026.72"/>
    <n v="3.2748311069733056"/>
    <n v="60600.848062864774"/>
    <n v="248"/>
    <n v="21.698630136986299"/>
    <n v="226.30136986301369"/>
    <x v="13"/>
    <n v="0.03"/>
    <n v="4"/>
    <m/>
    <x v="21"/>
    <m/>
  </r>
  <r>
    <s v="Truist"/>
    <n v="7409768504"/>
    <m/>
    <m/>
    <s v="HANN'S HARVARD, INC."/>
    <s v="WASHINGTON"/>
    <x v="32"/>
    <n v="445310"/>
    <s v="Q"/>
    <s v="ACT/365"/>
    <d v="2021-03-31T00:00:00"/>
    <d v="2046-03-31T00:00:00"/>
    <d v="2023-01-01T00:00:00"/>
    <n v="1.2500000000000001E-2"/>
    <n v="8.7499999999999994E-2"/>
    <n v="2.9049999999999999E-2"/>
    <n v="557103.23"/>
    <n v="557103.23"/>
    <n v="3.2748311069733056"/>
    <n v="52999.371583949782"/>
    <n v="300"/>
    <n v="21.073972602739726"/>
    <n v="278.92602739726027"/>
    <x v="38"/>
    <n v="0.03"/>
    <n v="5"/>
    <m/>
    <x v="62"/>
    <m/>
  </r>
  <r>
    <s v="Truist"/>
    <n v="7411028504"/>
    <m/>
    <m/>
    <s v="WOPLLI REAL ESTATE LLC"/>
    <s v="LACEY TOWNSHIP"/>
    <x v="3"/>
    <n v="722511"/>
    <s v="Q"/>
    <s v="ACT/365"/>
    <d v="2022-10-31T00:00:00"/>
    <d v="2047-10-31T00:00:00"/>
    <d v="2023-01-01T00:00:00"/>
    <n v="1.7500000000000002E-2"/>
    <n v="9.2499999999999999E-2"/>
    <n v="2.98E-2"/>
    <n v="828000"/>
    <n v="828000"/>
    <n v="3.2748311069733056"/>
    <n v="80804.492665902144"/>
    <n v="300"/>
    <n v="2.0383561643835617"/>
    <n v="297.96164383561643"/>
    <x v="27"/>
    <n v="0.05"/>
    <n v="5"/>
    <m/>
    <x v="26"/>
    <m/>
  </r>
  <r>
    <s v="Truist"/>
    <n v="9387858210"/>
    <m/>
    <m/>
    <s v="SCAL PROPERTIES, LLC"/>
    <s v="ATLANTA"/>
    <x v="2"/>
    <n v="236118"/>
    <s v="Q"/>
    <s v="ACT/365"/>
    <d v="2021-04-15T00:00:00"/>
    <d v="2046-04-15T00:00:00"/>
    <d v="2023-01-01T00:00:00"/>
    <n v="0.02"/>
    <n v="9.5000000000000001E-2"/>
    <n v="1.3049999999999999E-2"/>
    <n v="568108.76"/>
    <n v="568108.76"/>
    <n v="3.2748311069733056"/>
    <n v="24279.006124066014"/>
    <n v="300"/>
    <n v="20.580821917808219"/>
    <n v="279.41917808219176"/>
    <x v="89"/>
    <n v="0.03"/>
    <n v="5"/>
    <m/>
    <x v="63"/>
    <m/>
  </r>
  <r>
    <s v="Truist"/>
    <n v="9864629004"/>
    <m/>
    <m/>
    <s v="OWL CREEK FEED STORE LLC"/>
    <s v="PARK HILLS"/>
    <x v="5"/>
    <n v="444220"/>
    <s v="Q"/>
    <s v="ACT/365"/>
    <d v="2021-07-02T00:00:00"/>
    <d v="2041-07-02T00:00:00"/>
    <d v="2023-01-01T00:00:00"/>
    <n v="2.75E-2"/>
    <n v="0.10249999999999999"/>
    <n v="4.4050000000000006E-2"/>
    <n v="276343.21000000002"/>
    <n v="276343.21000000002"/>
    <n v="3.2748311069733056"/>
    <n v="39864.251840605146"/>
    <n v="240"/>
    <n v="18.016438356164386"/>
    <n v="221.98356164383563"/>
    <x v="90"/>
    <n v="0.03"/>
    <n v="4"/>
    <m/>
    <x v="22"/>
    <m/>
  </r>
  <r>
    <s v="Truist"/>
    <n v="9963979010"/>
    <m/>
    <m/>
    <s v="DAISY CAKES LLC"/>
    <s v="KENT"/>
    <x v="10"/>
    <n v="311812"/>
    <s v="Q"/>
    <s v="ACT/365"/>
    <d v="2021-08-11T00:00:00"/>
    <d v="2031-08-11T00:00:00"/>
    <d v="2023-01-01T00:00:00"/>
    <n v="0.02"/>
    <n v="9.5000000000000001E-2"/>
    <n v="3.6549999999999999E-2"/>
    <n v="80706.14"/>
    <n v="80706.14"/>
    <n v="3.2748311069733056"/>
    <n v="9660.127638434391"/>
    <n v="120"/>
    <n v="16.701369863013699"/>
    <n v="103.2986301369863"/>
    <x v="91"/>
    <n v="0"/>
    <n v="2"/>
    <m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38917-E594-48B4-9B98-4A0B38BF005F}" name="PivotTable18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Term ">
  <location ref="AH4:AJ8" firstHeaderRow="0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showAll="0"/>
    <pivotField dataField="1" showAll="0"/>
    <pivotField numFmtId="43" showAll="0"/>
    <pivotField numFmtId="43" showAll="0"/>
    <pivotField numFmtId="1" showAll="0"/>
    <pivotField numFmtId="169" showAll="0"/>
    <pivotField numFmtId="1" showAll="0"/>
    <pivotField showAll="0"/>
    <pivotField numFmtId="10" showAll="0"/>
    <pivotField axis="axisRow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1">
    <field x="2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3" hier="-1"/>
  </pageFields>
  <dataFields count="2">
    <dataField name="Sum of Current Balance" fld="14" baseField="0" baseItem="0" numFmtId="164"/>
    <dataField name="% of Pool " fld="14" showDataAs="percentOfCol" baseField="20" baseItem="0" numFmtId="170"/>
  </dataFields>
  <formats count="14">
    <format dxfId="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2" type="button" dataOnly="0" labelOnly="1" outline="0" axis="axisRow" fieldPosition="0"/>
    </format>
    <format dxfId="16">
      <pivotArea dataOnly="0" labelOnly="1" fieldPosition="0">
        <references count="1">
          <reference field="22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2" type="button" dataOnly="0" labelOnly="1" outline="0" axis="axisRow" fieldPosition="0"/>
    </format>
    <format dxfId="10">
      <pivotArea dataOnly="0" labelOnly="1" fieldPosition="0">
        <references count="1">
          <reference field="22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88A90-1F2A-40D2-926F-F4F731C7629C}" name="PivotTable40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H68:J161" firstHeaderRow="0" firstDataRow="1" firstDataCol="1"/>
  <pivotFields count="29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numFmtId="3" showAll="0"/>
    <pivotField dataField="1" numFmtId="3" showAll="0"/>
    <pivotField numFmtId="43" showAll="0"/>
    <pivotField numFmtId="43" showAll="0"/>
    <pivotField numFmtId="1" showAll="0"/>
    <pivotField numFmtId="169" showAll="0"/>
    <pivotField numFmtId="1" showAll="0"/>
    <pivotField axis="axisRow" showAll="0" sortType="descending">
      <items count="93">
        <item x="5"/>
        <item x="11"/>
        <item x="10"/>
        <item x="13"/>
        <item x="4"/>
        <item x="69"/>
        <item x="3"/>
        <item x="32"/>
        <item x="38"/>
        <item x="30"/>
        <item x="25"/>
        <item x="29"/>
        <item x="27"/>
        <item x="42"/>
        <item x="43"/>
        <item x="26"/>
        <item x="56"/>
        <item x="70"/>
        <item x="21"/>
        <item x="50"/>
        <item x="57"/>
        <item x="41"/>
        <item x="58"/>
        <item x="19"/>
        <item x="53"/>
        <item x="0"/>
        <item x="1"/>
        <item x="2"/>
        <item x="6"/>
        <item x="7"/>
        <item x="8"/>
        <item x="9"/>
        <item x="12"/>
        <item x="14"/>
        <item x="15"/>
        <item x="16"/>
        <item x="17"/>
        <item x="18"/>
        <item x="20"/>
        <item x="22"/>
        <item x="23"/>
        <item x="24"/>
        <item x="28"/>
        <item x="31"/>
        <item x="33"/>
        <item x="34"/>
        <item x="35"/>
        <item x="36"/>
        <item x="37"/>
        <item x="39"/>
        <item x="40"/>
        <item x="44"/>
        <item x="45"/>
        <item x="46"/>
        <item x="47"/>
        <item x="48"/>
        <item x="49"/>
        <item x="51"/>
        <item x="52"/>
        <item x="54"/>
        <item x="55"/>
        <item x="59"/>
        <item x="60"/>
        <item x="61"/>
        <item x="62"/>
        <item x="63"/>
        <item x="64"/>
        <item x="65"/>
        <item x="66"/>
        <item x="67"/>
        <item x="68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0" showAll="0"/>
    <pivotField showAll="0"/>
    <pivotField showAll="0"/>
    <pivotField showAll="0"/>
    <pivotField showAll="0"/>
  </pivotFields>
  <rowFields count="1">
    <field x="23"/>
  </rowFields>
  <rowItems count="93">
    <i>
      <x/>
    </i>
    <i>
      <x v="29"/>
    </i>
    <i>
      <x v="12"/>
    </i>
    <i>
      <x v="1"/>
    </i>
    <i>
      <x v="4"/>
    </i>
    <i>
      <x v="18"/>
    </i>
    <i>
      <x v="10"/>
    </i>
    <i>
      <x v="3"/>
    </i>
    <i>
      <x v="8"/>
    </i>
    <i>
      <x v="28"/>
    </i>
    <i>
      <x v="43"/>
    </i>
    <i>
      <x v="2"/>
    </i>
    <i>
      <x v="26"/>
    </i>
    <i>
      <x v="7"/>
    </i>
    <i>
      <x v="39"/>
    </i>
    <i>
      <x v="67"/>
    </i>
    <i>
      <x v="15"/>
    </i>
    <i>
      <x v="24"/>
    </i>
    <i>
      <x v="22"/>
    </i>
    <i>
      <x v="46"/>
    </i>
    <i>
      <x v="77"/>
    </i>
    <i>
      <x v="32"/>
    </i>
    <i>
      <x v="20"/>
    </i>
    <i>
      <x v="6"/>
    </i>
    <i>
      <x v="47"/>
    </i>
    <i>
      <x v="36"/>
    </i>
    <i>
      <x v="35"/>
    </i>
    <i>
      <x v="27"/>
    </i>
    <i>
      <x v="54"/>
    </i>
    <i>
      <x v="13"/>
    </i>
    <i>
      <x v="9"/>
    </i>
    <i>
      <x v="30"/>
    </i>
    <i>
      <x v="62"/>
    </i>
    <i>
      <x v="78"/>
    </i>
    <i>
      <x v="65"/>
    </i>
    <i>
      <x v="82"/>
    </i>
    <i>
      <x v="45"/>
    </i>
    <i>
      <x v="53"/>
    </i>
    <i>
      <x v="41"/>
    </i>
    <i>
      <x v="86"/>
    </i>
    <i>
      <x v="83"/>
    </i>
    <i>
      <x v="5"/>
    </i>
    <i>
      <x v="14"/>
    </i>
    <i>
      <x v="89"/>
    </i>
    <i>
      <x v="52"/>
    </i>
    <i>
      <x v="50"/>
    </i>
    <i>
      <x v="85"/>
    </i>
    <i>
      <x v="25"/>
    </i>
    <i>
      <x v="58"/>
    </i>
    <i>
      <x v="88"/>
    </i>
    <i>
      <x v="16"/>
    </i>
    <i>
      <x v="55"/>
    </i>
    <i>
      <x v="73"/>
    </i>
    <i>
      <x v="69"/>
    </i>
    <i>
      <x v="21"/>
    </i>
    <i>
      <x v="59"/>
    </i>
    <i>
      <x v="64"/>
    </i>
    <i>
      <x v="80"/>
    </i>
    <i>
      <x v="33"/>
    </i>
    <i>
      <x v="60"/>
    </i>
    <i>
      <x v="68"/>
    </i>
    <i>
      <x v="63"/>
    </i>
    <i>
      <x v="87"/>
    </i>
    <i>
      <x v="76"/>
    </i>
    <i>
      <x v="44"/>
    </i>
    <i>
      <x v="19"/>
    </i>
    <i>
      <x v="40"/>
    </i>
    <i>
      <x v="38"/>
    </i>
    <i>
      <x v="37"/>
    </i>
    <i>
      <x v="90"/>
    </i>
    <i>
      <x v="56"/>
    </i>
    <i>
      <x v="11"/>
    </i>
    <i>
      <x v="84"/>
    </i>
    <i>
      <x v="23"/>
    </i>
    <i>
      <x v="51"/>
    </i>
    <i>
      <x v="49"/>
    </i>
    <i>
      <x v="71"/>
    </i>
    <i>
      <x v="48"/>
    </i>
    <i>
      <x v="66"/>
    </i>
    <i>
      <x v="57"/>
    </i>
    <i>
      <x v="42"/>
    </i>
    <i>
      <x v="61"/>
    </i>
    <i>
      <x v="17"/>
    </i>
    <i>
      <x v="34"/>
    </i>
    <i>
      <x v="31"/>
    </i>
    <i>
      <x v="81"/>
    </i>
    <i>
      <x v="79"/>
    </i>
    <i>
      <x v="91"/>
    </i>
    <i>
      <x v="75"/>
    </i>
    <i>
      <x v="70"/>
    </i>
    <i>
      <x v="74"/>
    </i>
    <i>
      <x v="7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17" baseField="0" baseItem="0"/>
    <dataField name="Count of Current Balance2" fld="17" subtotal="count" baseField="18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AA551-D197-4FCD-A466-11A53C327379}" name="PivotTable13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P68:R133" firstHeaderRow="0" firstDataRow="1" firstDataCol="1"/>
  <pivotFields count="29">
    <pivotField showAll="0"/>
    <pivotField showAll="0"/>
    <pivotField numFmtId="164" showAll="0"/>
    <pivotField showAll="0"/>
    <pivotField showAll="0"/>
    <pivotField showAll="0"/>
    <pivotField showAll="0" sortType="descending">
      <items count="34">
        <item x="0"/>
        <item x="4"/>
        <item x="3"/>
        <item x="1"/>
        <item x="16"/>
        <item x="10"/>
        <item x="17"/>
        <item x="9"/>
        <item x="24"/>
        <item x="2"/>
        <item x="5"/>
        <item x="26"/>
        <item x="22"/>
        <item x="20"/>
        <item x="31"/>
        <item x="11"/>
        <item x="21"/>
        <item x="27"/>
        <item x="14"/>
        <item x="30"/>
        <item x="6"/>
        <item x="7"/>
        <item x="8"/>
        <item x="12"/>
        <item x="13"/>
        <item x="15"/>
        <item x="18"/>
        <item x="19"/>
        <item x="23"/>
        <item x="25"/>
        <item x="28"/>
        <item x="2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numFmtId="3" showAll="0"/>
    <pivotField dataField="1" numFmtId="3" showAll="0"/>
    <pivotField numFmtId="43" showAll="0"/>
    <pivotField numFmtId="43" showAll="0"/>
    <pivotField numFmtId="1" showAll="0"/>
    <pivotField numFmtId="169" showAll="0"/>
    <pivotField numFmtId="1" showAll="0"/>
    <pivotField showAll="0"/>
    <pivotField numFmtId="10" showAll="0"/>
    <pivotField showAll="0"/>
    <pivotField showAll="0"/>
    <pivotField axis="axisRow" showAll="0" sortType="descending">
      <items count="65">
        <item x="55"/>
        <item x="1"/>
        <item x="4"/>
        <item x="34"/>
        <item x="8"/>
        <item x="40"/>
        <item x="14"/>
        <item x="22"/>
        <item x="60"/>
        <item x="31"/>
        <item x="29"/>
        <item x="28"/>
        <item x="46"/>
        <item x="10"/>
        <item x="39"/>
        <item x="9"/>
        <item x="61"/>
        <item x="24"/>
        <item x="18"/>
        <item x="47"/>
        <item x="43"/>
        <item x="36"/>
        <item x="42"/>
        <item x="19"/>
        <item x="52"/>
        <item x="59"/>
        <item x="27"/>
        <item x="30"/>
        <item x="41"/>
        <item x="16"/>
        <item x="12"/>
        <item x="37"/>
        <item x="13"/>
        <item x="17"/>
        <item x="62"/>
        <item x="49"/>
        <item x="23"/>
        <item x="38"/>
        <item x="3"/>
        <item x="11"/>
        <item x="58"/>
        <item x="7"/>
        <item x="6"/>
        <item x="57"/>
        <item x="54"/>
        <item x="56"/>
        <item x="32"/>
        <item x="48"/>
        <item x="33"/>
        <item x="20"/>
        <item x="26"/>
        <item x="25"/>
        <item x="0"/>
        <item x="63"/>
        <item x="15"/>
        <item x="45"/>
        <item x="35"/>
        <item x="21"/>
        <item x="5"/>
        <item x="53"/>
        <item x="44"/>
        <item x="51"/>
        <item x="5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7"/>
  </rowFields>
  <rowItems count="65">
    <i>
      <x v="5"/>
    </i>
    <i>
      <x v="6"/>
    </i>
    <i>
      <x v="58"/>
    </i>
    <i>
      <x v="39"/>
    </i>
    <i>
      <x v="32"/>
    </i>
    <i>
      <x v="17"/>
    </i>
    <i>
      <x v="49"/>
    </i>
    <i>
      <x v="28"/>
    </i>
    <i>
      <x v="48"/>
    </i>
    <i>
      <x v="36"/>
    </i>
    <i>
      <x v="9"/>
    </i>
    <i>
      <x v="46"/>
    </i>
    <i>
      <x v="2"/>
    </i>
    <i>
      <x v="21"/>
    </i>
    <i>
      <x v="33"/>
    </i>
    <i>
      <x v="50"/>
    </i>
    <i>
      <x v="42"/>
    </i>
    <i>
      <x v="18"/>
    </i>
    <i>
      <x v="4"/>
    </i>
    <i>
      <x v="20"/>
    </i>
    <i>
      <x v="29"/>
    </i>
    <i>
      <x v="13"/>
    </i>
    <i>
      <x v="30"/>
    </i>
    <i>
      <x v="57"/>
    </i>
    <i>
      <x v="52"/>
    </i>
    <i>
      <x v="19"/>
    </i>
    <i>
      <x v="15"/>
    </i>
    <i>
      <x v="54"/>
    </i>
    <i>
      <x v="26"/>
    </i>
    <i>
      <x v="40"/>
    </i>
    <i>
      <x v="55"/>
    </i>
    <i>
      <x v="22"/>
    </i>
    <i>
      <x v="8"/>
    </i>
    <i>
      <x v="7"/>
    </i>
    <i>
      <x v="61"/>
    </i>
    <i>
      <x v="16"/>
    </i>
    <i>
      <x v="63"/>
    </i>
    <i>
      <x v="27"/>
    </i>
    <i>
      <x v="1"/>
    </i>
    <i>
      <x v="37"/>
    </i>
    <i>
      <x v="14"/>
    </i>
    <i>
      <x v="45"/>
    </i>
    <i>
      <x v="44"/>
    </i>
    <i>
      <x v="31"/>
    </i>
    <i>
      <x v="24"/>
    </i>
    <i>
      <x v="38"/>
    </i>
    <i>
      <x v="3"/>
    </i>
    <i>
      <x v="35"/>
    </i>
    <i>
      <x v="53"/>
    </i>
    <i>
      <x v="34"/>
    </i>
    <i>
      <x v="47"/>
    </i>
    <i>
      <x v="43"/>
    </i>
    <i>
      <x v="60"/>
    </i>
    <i>
      <x v="10"/>
    </i>
    <i>
      <x v="23"/>
    </i>
    <i>
      <x v="11"/>
    </i>
    <i>
      <x/>
    </i>
    <i>
      <x v="25"/>
    </i>
    <i>
      <x v="59"/>
    </i>
    <i>
      <x v="12"/>
    </i>
    <i>
      <x v="62"/>
    </i>
    <i>
      <x v="51"/>
    </i>
    <i>
      <x v="56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17" baseField="0" baseItem="0" numFmtId="164"/>
    <dataField name="Count of Current Balance2" fld="17" subtotal="count" baseField="3" baseItem="8"/>
  </dataFields>
  <formats count="1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5D574-81CD-4683-A12F-D2A3E0533D97}" name="PivotTable41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L68:N102" firstHeaderRow="0" firstDataRow="1" firstDataCol="1"/>
  <pivotFields count="29">
    <pivotField showAll="0"/>
    <pivotField showAll="0"/>
    <pivotField numFmtId="164" showAll="0"/>
    <pivotField showAll="0"/>
    <pivotField showAll="0"/>
    <pivotField showAll="0"/>
    <pivotField axis="axisRow" showAll="0" sortType="descending">
      <items count="34">
        <item x="0"/>
        <item x="4"/>
        <item x="3"/>
        <item x="1"/>
        <item x="16"/>
        <item x="10"/>
        <item x="17"/>
        <item x="9"/>
        <item x="24"/>
        <item x="2"/>
        <item x="5"/>
        <item x="26"/>
        <item x="22"/>
        <item x="20"/>
        <item x="31"/>
        <item x="11"/>
        <item x="21"/>
        <item x="27"/>
        <item x="14"/>
        <item x="30"/>
        <item x="6"/>
        <item x="7"/>
        <item x="8"/>
        <item x="12"/>
        <item x="13"/>
        <item x="15"/>
        <item x="18"/>
        <item x="19"/>
        <item x="23"/>
        <item x="25"/>
        <item x="28"/>
        <item x="29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4" showAll="0"/>
    <pivotField numFmtId="14" showAll="0"/>
    <pivotField numFmtId="14" showAll="0"/>
    <pivotField numFmtId="10" showAll="0"/>
    <pivotField numFmtId="10" showAll="0"/>
    <pivotField numFmtId="168" showAll="0"/>
    <pivotField numFmtId="3" showAll="0"/>
    <pivotField dataField="1" numFmtId="3" showAll="0"/>
    <pivotField numFmtId="43" showAll="0"/>
    <pivotField numFmtId="43" showAll="0"/>
    <pivotField numFmtId="1" showAll="0"/>
    <pivotField numFmtId="169" showAll="0"/>
    <pivotField numFmtId="1" showAll="0"/>
    <pivotField showAll="0"/>
    <pivotField numFmtId="10" showAll="0"/>
    <pivotField showAll="0"/>
    <pivotField showAll="0"/>
    <pivotField showAll="0"/>
    <pivotField showAll="0"/>
  </pivotFields>
  <rowFields count="1">
    <field x="6"/>
  </rowFields>
  <rowItems count="34">
    <i>
      <x/>
    </i>
    <i>
      <x v="3"/>
    </i>
    <i>
      <x v="1"/>
    </i>
    <i>
      <x v="9"/>
    </i>
    <i>
      <x v="2"/>
    </i>
    <i>
      <x v="6"/>
    </i>
    <i>
      <x v="21"/>
    </i>
    <i>
      <x v="4"/>
    </i>
    <i>
      <x v="16"/>
    </i>
    <i>
      <x v="5"/>
    </i>
    <i>
      <x v="24"/>
    </i>
    <i>
      <x v="15"/>
    </i>
    <i>
      <x v="26"/>
    </i>
    <i>
      <x v="10"/>
    </i>
    <i>
      <x v="18"/>
    </i>
    <i>
      <x v="20"/>
    </i>
    <i>
      <x v="7"/>
    </i>
    <i>
      <x v="22"/>
    </i>
    <i>
      <x v="12"/>
    </i>
    <i>
      <x v="23"/>
    </i>
    <i>
      <x v="11"/>
    </i>
    <i>
      <x v="13"/>
    </i>
    <i>
      <x v="8"/>
    </i>
    <i>
      <x v="27"/>
    </i>
    <i>
      <x v="19"/>
    </i>
    <i>
      <x v="30"/>
    </i>
    <i>
      <x v="25"/>
    </i>
    <i>
      <x v="32"/>
    </i>
    <i>
      <x v="28"/>
    </i>
    <i>
      <x v="17"/>
    </i>
    <i>
      <x v="14"/>
    </i>
    <i>
      <x v="29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17" baseField="0" baseItem="0" numFmtId="164"/>
    <dataField name="Count of Current Balance2" fld="17" subtotal="count" baseField="3" baseItem="8"/>
  </dataFields>
  <formats count="1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5A91DD-B8DB-4001-AB65-06B61D6FFECF}" name="PivotTable10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U41:X46" firstHeaderRow="0" firstDataRow="1" firstDataCol="1"/>
  <pivotFields count="24">
    <pivotField numFmtId="167" showAll="0"/>
    <pivotField showAll="0"/>
    <pivotField showAll="0"/>
    <pivotField showAll="0"/>
    <pivotField numFmtId="167" showAll="0"/>
    <pivotField dataField="1" numFmtId="39" showAll="0"/>
    <pivotField numFmtId="39" showAll="0"/>
    <pivotField axis="axisRow" numFmtId="171" showAll="0">
      <items count="7">
        <item x="0"/>
        <item x="1"/>
        <item x="2"/>
        <item x="3"/>
        <item x="4"/>
        <item x="5"/>
        <item t="default"/>
      </items>
    </pivotField>
    <pivotField numFmtId="172" showAll="0"/>
    <pivotField numFmtId="167" showAll="0"/>
    <pivotField numFmtId="14" showAll="0"/>
    <pivotField numFmtId="3" showAll="0"/>
    <pivotField numFmtId="167"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3" showAll="0"/>
    <pivotField numFmtId="10" showAll="0"/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tdBal" fld="5" baseField="0" baseItem="0"/>
    <dataField name="Count of GtdBal2" fld="5" subtotal="count" baseField="18" baseItem="0"/>
    <dataField name="Sum of GtdBal2" fld="5" showDataAs="percentOfCol" baseField="1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7D8D6-A91D-473D-B9C8-9EA7B5B89A93}" name="PivotTable6" cacheId="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V62:X114" firstHeaderRow="0" firstDataRow="1" firstDataCol="1"/>
  <pivotFields count="26">
    <pivotField numFmtId="167" showAll="0"/>
    <pivotField showAll="0"/>
    <pivotField showAll="0"/>
    <pivotField showAll="0"/>
    <pivotField numFmtId="167" showAll="0"/>
    <pivotField numFmtId="39" showAll="0"/>
    <pivotField dataField="1" numFmtId="39" showAll="0"/>
    <pivotField numFmtId="171" showAll="0"/>
    <pivotField numFmtId="172" showAll="0"/>
    <pivotField numFmtId="167" showAll="0"/>
    <pivotField numFmtId="14" showAll="0"/>
    <pivotField numFmtId="3" showAll="0"/>
    <pivotField numFmtId="167" showAll="0"/>
    <pivotField numFmtId="172" showAll="0"/>
    <pivotField showAll="0"/>
    <pivotField showAll="0"/>
    <pivotField showAll="0"/>
    <pivotField axis="axisRow" showAll="0" sortType="descending">
      <items count="52">
        <item x="26"/>
        <item x="35"/>
        <item x="25"/>
        <item x="5"/>
        <item x="10"/>
        <item x="33"/>
        <item x="36"/>
        <item x="18"/>
        <item x="1"/>
        <item x="2"/>
        <item x="38"/>
        <item x="16"/>
        <item x="3"/>
        <item x="39"/>
        <item x="7"/>
        <item x="20"/>
        <item x="4"/>
        <item x="19"/>
        <item x="41"/>
        <item x="8"/>
        <item x="24"/>
        <item x="28"/>
        <item x="23"/>
        <item x="6"/>
        <item x="27"/>
        <item x="43"/>
        <item x="42"/>
        <item x="17"/>
        <item x="12"/>
        <item x="40"/>
        <item x="15"/>
        <item x="9"/>
        <item x="32"/>
        <item x="21"/>
        <item x="11"/>
        <item x="31"/>
        <item x="22"/>
        <item x="30"/>
        <item x="0"/>
        <item x="34"/>
        <item x="29"/>
        <item x="45"/>
        <item x="13"/>
        <item x="14"/>
        <item x="37"/>
        <item x="44"/>
        <item x="46"/>
        <item x="47"/>
        <item x="48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73" showAll="0"/>
    <pivotField numFmtId="10" showAll="0"/>
    <pivotField showAll="0"/>
    <pivotField showAll="0"/>
  </pivotFields>
  <rowFields count="1">
    <field x="17"/>
  </rowFields>
  <rowItems count="52">
    <i>
      <x v="4"/>
    </i>
    <i>
      <x v="38"/>
    </i>
    <i>
      <x v="8"/>
    </i>
    <i>
      <x v="9"/>
    </i>
    <i>
      <x v="30"/>
    </i>
    <i>
      <x v="12"/>
    </i>
    <i>
      <x v="31"/>
    </i>
    <i>
      <x v="34"/>
    </i>
    <i>
      <x v="27"/>
    </i>
    <i>
      <x v="23"/>
    </i>
    <i>
      <x v="42"/>
    </i>
    <i>
      <x v="43"/>
    </i>
    <i>
      <x v="37"/>
    </i>
    <i>
      <x v="36"/>
    </i>
    <i>
      <x v="19"/>
    </i>
    <i>
      <x v="5"/>
    </i>
    <i>
      <x v="13"/>
    </i>
    <i>
      <x v="1"/>
    </i>
    <i>
      <x v="3"/>
    </i>
    <i>
      <x v="28"/>
    </i>
    <i>
      <x v="39"/>
    </i>
    <i>
      <x v="33"/>
    </i>
    <i>
      <x v="20"/>
    </i>
    <i>
      <x v="6"/>
    </i>
    <i>
      <x v="15"/>
    </i>
    <i>
      <x v="21"/>
    </i>
    <i>
      <x v="32"/>
    </i>
    <i>
      <x v="17"/>
    </i>
    <i>
      <x v="22"/>
    </i>
    <i>
      <x v="16"/>
    </i>
    <i>
      <x v="40"/>
    </i>
    <i>
      <x v="10"/>
    </i>
    <i>
      <x v="29"/>
    </i>
    <i>
      <x v="2"/>
    </i>
    <i>
      <x v="11"/>
    </i>
    <i>
      <x v="35"/>
    </i>
    <i>
      <x v="26"/>
    </i>
    <i>
      <x v="14"/>
    </i>
    <i>
      <x v="25"/>
    </i>
    <i>
      <x v="24"/>
    </i>
    <i>
      <x/>
    </i>
    <i>
      <x v="45"/>
    </i>
    <i>
      <x v="18"/>
    </i>
    <i>
      <x v="46"/>
    </i>
    <i>
      <x v="44"/>
    </i>
    <i>
      <x v="7"/>
    </i>
    <i>
      <x v="49"/>
    </i>
    <i>
      <x v="48"/>
    </i>
    <i>
      <x v="47"/>
    </i>
    <i>
      <x v="50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ent Balance" fld="6" baseField="0" baseItem="0"/>
    <dataField name="Count of Current Balance2" fld="6" subtotal="count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3064-4F3D-4043-87F4-AAFFC920C1C9}">
  <sheetPr>
    <pageSetUpPr autoPageBreaks="0"/>
  </sheetPr>
  <dimension ref="A1:AQ1349"/>
  <sheetViews>
    <sheetView showGridLines="0" zoomScale="75" zoomScaleNormal="75" workbookViewId="0">
      <selection activeCell="P25" sqref="P25"/>
    </sheetView>
  </sheetViews>
  <sheetFormatPr defaultColWidth="9.140625" defaultRowHeight="15"/>
  <cols>
    <col min="1" max="1" width="12.140625" style="2" bestFit="1" customWidth="1"/>
    <col min="2" max="2" width="13.28515625" style="36" bestFit="1" customWidth="1"/>
    <col min="3" max="4" width="13.28515625" style="2" hidden="1" customWidth="1"/>
    <col min="5" max="5" width="52.28515625" style="2" customWidth="1"/>
    <col min="6" max="6" width="10.85546875" style="2" bestFit="1" customWidth="1"/>
    <col min="7" max="7" width="5.5703125" style="2" bestFit="1" customWidth="1"/>
    <col min="8" max="8" width="12.7109375" style="2" bestFit="1" customWidth="1"/>
    <col min="9" max="9" width="5.28515625" style="2" bestFit="1" customWidth="1"/>
    <col min="10" max="10" width="8.7109375" style="2" bestFit="1" customWidth="1"/>
    <col min="11" max="12" width="12" style="2" bestFit="1" customWidth="1"/>
    <col min="13" max="13" width="13" style="2" customWidth="1"/>
    <col min="14" max="14" width="13.42578125" style="2" bestFit="1" customWidth="1"/>
    <col min="15" max="16" width="13.85546875" style="2" bestFit="1" customWidth="1"/>
    <col min="17" max="17" width="17.42578125" style="2" bestFit="1" customWidth="1"/>
    <col min="18" max="18" width="16.28515625" style="2" customWidth="1"/>
    <col min="19" max="19" width="16.28515625" customWidth="1"/>
    <col min="20" max="20" width="16.28515625" style="2" customWidth="1"/>
    <col min="21" max="21" width="13.85546875" style="2" bestFit="1" customWidth="1"/>
    <col min="22" max="22" width="13.85546875" style="9" bestFit="1" customWidth="1"/>
    <col min="23" max="23" width="13.85546875" style="2" bestFit="1" customWidth="1"/>
    <col min="24" max="24" width="107.140625" style="2" customWidth="1"/>
    <col min="25" max="25" width="13.42578125" style="9" customWidth="1"/>
    <col min="26" max="26" width="7.42578125" style="2" customWidth="1"/>
    <col min="27" max="27" width="9.5703125" style="2" hidden="1" customWidth="1"/>
    <col min="28" max="28" width="23.7109375" style="2" customWidth="1"/>
    <col min="29" max="30" width="9.140625" style="2" customWidth="1"/>
    <col min="31" max="31" width="15.7109375" style="2" bestFit="1" customWidth="1"/>
    <col min="32" max="32" width="22" style="2" bestFit="1" customWidth="1"/>
    <col min="33" max="33" width="9.7109375" style="2" bestFit="1" customWidth="1"/>
    <col min="34" max="34" width="15.7109375" style="2" bestFit="1" customWidth="1"/>
    <col min="35" max="35" width="22" style="2" bestFit="1" customWidth="1"/>
    <col min="36" max="36" width="9.7109375" style="2" bestFit="1" customWidth="1"/>
    <col min="37" max="39" width="9.140625" style="2"/>
    <col min="40" max="40" width="11.5703125" style="2" bestFit="1" customWidth="1"/>
    <col min="41" max="41" width="9.140625" style="2"/>
    <col min="42" max="42" width="15.7109375" style="2" bestFit="1" customWidth="1"/>
    <col min="43" max="16384" width="9.140625" style="2"/>
  </cols>
  <sheetData>
    <row r="1" spans="1:36">
      <c r="S1" s="207"/>
    </row>
    <row r="2" spans="1:36">
      <c r="N2" s="3">
        <v>43922</v>
      </c>
      <c r="S2" s="207"/>
      <c r="AE2" s="142">
        <v>0</v>
      </c>
      <c r="AF2" s="142">
        <f>8*12</f>
        <v>96</v>
      </c>
      <c r="AH2" s="141" t="s">
        <v>23</v>
      </c>
      <c r="AI2" s="9" t="s">
        <v>1228</v>
      </c>
    </row>
    <row r="3" spans="1:36">
      <c r="S3" s="207"/>
      <c r="AE3" s="142">
        <f>AF2</f>
        <v>96</v>
      </c>
      <c r="AF3" s="142">
        <f>11*12</f>
        <v>132</v>
      </c>
    </row>
    <row r="4" spans="1:36">
      <c r="S4" s="207"/>
      <c r="AE4" s="142">
        <f>AF3</f>
        <v>132</v>
      </c>
      <c r="AF4" s="142">
        <f>16*12</f>
        <v>192</v>
      </c>
      <c r="AH4" s="141" t="s">
        <v>44</v>
      </c>
      <c r="AI4" s="9" t="s">
        <v>45</v>
      </c>
      <c r="AJ4" s="9" t="s">
        <v>46</v>
      </c>
    </row>
    <row r="5" spans="1:36">
      <c r="M5" s="171" t="s">
        <v>1240</v>
      </c>
      <c r="N5" s="213">
        <v>7.4999999999999997E-2</v>
      </c>
      <c r="S5" s="207"/>
      <c r="AE5" s="142">
        <f>AF4</f>
        <v>192</v>
      </c>
      <c r="AF5" s="142">
        <f>21*12</f>
        <v>252</v>
      </c>
      <c r="AH5" s="9">
        <v>2</v>
      </c>
      <c r="AI5" s="34">
        <v>15221378.249999998</v>
      </c>
      <c r="AJ5" s="35">
        <v>0.27220662719524968</v>
      </c>
    </row>
    <row r="6" spans="1:36">
      <c r="S6" s="207"/>
      <c r="AE6" s="142">
        <f>AF5</f>
        <v>252</v>
      </c>
      <c r="AF6" s="142">
        <v>500</v>
      </c>
      <c r="AH6" s="9">
        <v>4</v>
      </c>
      <c r="AI6" s="34">
        <v>7543174.3300000001</v>
      </c>
      <c r="AJ6" s="35">
        <v>0.13489593445423298</v>
      </c>
    </row>
    <row r="7" spans="1:36">
      <c r="S7" s="207"/>
      <c r="AH7" s="9">
        <v>5</v>
      </c>
      <c r="AI7" s="34">
        <v>33153917.91</v>
      </c>
      <c r="AJ7" s="35">
        <v>0.59289743835051745</v>
      </c>
    </row>
    <row r="8" spans="1:36">
      <c r="B8" s="1"/>
      <c r="C8" s="3"/>
      <c r="D8" s="3"/>
      <c r="K8" s="3"/>
      <c r="M8" s="292">
        <v>45132</v>
      </c>
      <c r="P8" s="4"/>
      <c r="Q8" s="5"/>
      <c r="R8" s="6"/>
      <c r="S8" s="208"/>
      <c r="T8" s="156"/>
      <c r="U8" s="2" t="s">
        <v>0</v>
      </c>
      <c r="V8" s="7" t="s">
        <v>1</v>
      </c>
      <c r="W8" s="8"/>
      <c r="AA8" s="29" t="s">
        <v>0</v>
      </c>
      <c r="AH8" s="9" t="s">
        <v>56</v>
      </c>
      <c r="AI8" s="34">
        <v>55918470.489999995</v>
      </c>
      <c r="AJ8" s="35">
        <v>1</v>
      </c>
    </row>
    <row r="9" spans="1:36">
      <c r="B9" s="1"/>
      <c r="C9" s="3"/>
      <c r="D9" s="3"/>
      <c r="O9" s="10"/>
      <c r="Q9" s="5"/>
      <c r="R9" s="11"/>
      <c r="S9" s="209"/>
      <c r="T9" s="11"/>
      <c r="V9" s="7"/>
      <c r="W9" s="12"/>
      <c r="AH9"/>
      <c r="AI9"/>
      <c r="AJ9"/>
    </row>
    <row r="10" spans="1:36">
      <c r="B10" s="13"/>
      <c r="C10" s="169"/>
      <c r="D10" s="169"/>
      <c r="K10" s="3"/>
      <c r="L10" s="249">
        <f>MAX(L14:L1349)</f>
        <v>54182</v>
      </c>
      <c r="M10" s="174"/>
      <c r="O10" s="10"/>
      <c r="R10" s="14">
        <f>AVERAGE(R14:R1349)</f>
        <v>1244053.5012307691</v>
      </c>
      <c r="S10" s="210"/>
      <c r="T10" s="14"/>
    </row>
    <row r="11" spans="1:36">
      <c r="B11" s="15">
        <f>COUNTIF(R14:R1048576,"&gt;"&amp;0)</f>
        <v>65</v>
      </c>
      <c r="C11" s="16"/>
      <c r="D11" s="16"/>
      <c r="E11" s="16"/>
      <c r="F11" s="16"/>
      <c r="G11" s="16"/>
      <c r="H11" s="16"/>
      <c r="I11" s="16"/>
      <c r="J11" s="16"/>
      <c r="K11" s="173">
        <f>SUMPRODUCT(K14:K9706,$R$14:$R$9706)/$R$11</f>
        <v>44998.793839866667</v>
      </c>
      <c r="L11" s="173">
        <f>SUMPRODUCT(L14:L9706,$R$14:$R$9706)/$R$11</f>
        <v>54090.304285483217</v>
      </c>
      <c r="M11" s="173">
        <f>SUMPRODUCT(M14:M9706,$R$14:$R$9706)/$R$11</f>
        <v>45082</v>
      </c>
      <c r="N11" s="17">
        <f>SUMPRODUCT(N14:N1048576,$R$14:$R$1048576)/$R$11</f>
        <v>1.6919589951736033E-2</v>
      </c>
      <c r="O11" s="18" t="e">
        <f>SUMPRODUCT(O14:O1048576,$R$14:$R$1048576)/$R$11</f>
        <v>#VALUE!</v>
      </c>
      <c r="P11" s="19">
        <f>SUMPRODUCT(P14:P1048576,$R$14:$R$1048576)/$R$11</f>
        <v>8.0165006334556917E-3</v>
      </c>
      <c r="Q11" s="20">
        <f>SUM(Q14:Q1048576)</f>
        <v>80863477.579999998</v>
      </c>
      <c r="R11" s="20">
        <f>SUM(R14:R1048576)</f>
        <v>80863477.579999998</v>
      </c>
      <c r="S11" s="211"/>
      <c r="T11" s="20">
        <f>SUM(T14:T1223)</f>
        <v>2390239.51323485</v>
      </c>
      <c r="U11" s="21">
        <f>SUMPRODUCT(U14:U1048576,$R$14:$R$1048576)/R11</f>
        <v>298.62515831513662</v>
      </c>
      <c r="V11" s="246">
        <f>SUMPRODUCT(V14:V1048576,R14:R1048576)/R11</f>
        <v>2.7326062637093025</v>
      </c>
      <c r="W11" s="21">
        <f>SUMPRODUCT(W14:W1048576,$R$14:$R$1048576)/$R$11</f>
        <v>295.89255205142723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6">
      <c r="S12" s="207"/>
    </row>
    <row r="13" spans="1:36" ht="45.75" thickBot="1">
      <c r="A13" s="2" t="s">
        <v>1249</v>
      </c>
      <c r="B13" s="23" t="s">
        <v>2</v>
      </c>
      <c r="C13" s="170" t="s">
        <v>1245</v>
      </c>
      <c r="D13" s="170" t="s">
        <v>1246</v>
      </c>
      <c r="E13" s="24" t="s">
        <v>3</v>
      </c>
      <c r="F13" s="25" t="s">
        <v>4</v>
      </c>
      <c r="G13" s="25" t="s">
        <v>5</v>
      </c>
      <c r="H13" s="25" t="s">
        <v>6</v>
      </c>
      <c r="I13" s="25" t="s">
        <v>7</v>
      </c>
      <c r="J13" s="25" t="s">
        <v>8</v>
      </c>
      <c r="K13" s="25" t="s">
        <v>9</v>
      </c>
      <c r="L13" s="25" t="s">
        <v>10</v>
      </c>
      <c r="M13" s="25" t="s">
        <v>11</v>
      </c>
      <c r="N13" s="25" t="s">
        <v>12</v>
      </c>
      <c r="O13" s="25" t="s">
        <v>13</v>
      </c>
      <c r="P13" s="25" t="s">
        <v>14</v>
      </c>
      <c r="Q13" s="26" t="s">
        <v>15</v>
      </c>
      <c r="R13" s="27" t="s">
        <v>16</v>
      </c>
      <c r="S13" s="172" t="s">
        <v>1247</v>
      </c>
      <c r="T13" s="27" t="s">
        <v>1229</v>
      </c>
      <c r="U13" s="25" t="s">
        <v>17</v>
      </c>
      <c r="V13" s="25" t="s">
        <v>18</v>
      </c>
      <c r="W13" s="24" t="s">
        <v>19</v>
      </c>
      <c r="X13" s="24" t="s">
        <v>20</v>
      </c>
      <c r="Y13" s="28" t="s">
        <v>21</v>
      </c>
      <c r="Z13" s="28" t="s">
        <v>22</v>
      </c>
      <c r="AA13" s="28" t="s">
        <v>23</v>
      </c>
      <c r="AB13" s="28" t="s">
        <v>24</v>
      </c>
      <c r="AC13" s="28" t="s">
        <v>1250</v>
      </c>
      <c r="AH13" s="28"/>
    </row>
    <row r="14" spans="1:36" ht="15.75" thickTop="1">
      <c r="A14" t="s">
        <v>1320</v>
      </c>
      <c r="B14" s="36">
        <v>3999889110</v>
      </c>
      <c r="C14" s="216"/>
      <c r="D14" s="29"/>
      <c r="E14" s="275" t="s">
        <v>2148</v>
      </c>
      <c r="F14" s="227" t="s">
        <v>2149</v>
      </c>
      <c r="G14" s="294" t="s">
        <v>42</v>
      </c>
      <c r="H14" s="214">
        <v>722513</v>
      </c>
      <c r="I14" s="271" t="s">
        <v>26</v>
      </c>
      <c r="J14" s="2" t="s">
        <v>0</v>
      </c>
      <c r="K14" s="267">
        <v>44748</v>
      </c>
      <c r="L14" s="267">
        <v>52418</v>
      </c>
      <c r="M14" s="268">
        <f t="shared" ref="M14:M45" si="0">MAX($M$8-50,K14)</f>
        <v>45082</v>
      </c>
      <c r="N14" s="176">
        <v>0.02</v>
      </c>
      <c r="O14" s="269">
        <f t="shared" ref="O14:O45" si="1">$N$5+N14</f>
        <v>9.5000000000000001E-2</v>
      </c>
      <c r="P14" s="236">
        <v>2.615E-2</v>
      </c>
      <c r="Q14" s="282">
        <v>690000</v>
      </c>
      <c r="R14" s="282">
        <v>690000</v>
      </c>
      <c r="S14" s="218">
        <v>3.5</v>
      </c>
      <c r="T14" s="219">
        <f>S14*R14*P14</f>
        <v>63152.25</v>
      </c>
      <c r="U14" s="30">
        <f t="shared" ref="U14:U45" si="2">DATEDIF(K14,L14,"M")</f>
        <v>252</v>
      </c>
      <c r="V14" s="31">
        <f t="shared" ref="V14:V45" si="3">IF(R14=0,0,IF(J14=$AA$8,_xlfn.DAYS(M14,K14)/365*12,DAYS360(K14,M14)/360*12))</f>
        <v>10.980821917808219</v>
      </c>
      <c r="W14" s="30">
        <f t="shared" ref="W14:W45" si="4">U14-V14</f>
        <v>241.01917808219179</v>
      </c>
      <c r="X14" s="220" t="s">
        <v>34</v>
      </c>
      <c r="Y14" s="139">
        <f t="shared" ref="Y14:Y45" si="5">IF(U14&gt;=180,IF(V14&lt;=12,5%,IF(AND(V14&gt;12,V14&lt;24),3%,IF(AND(V14&gt;24,V14&lt;36),1%,0%))),0%)</f>
        <v>0.05</v>
      </c>
      <c r="Z14" s="9">
        <f t="shared" ref="Z14:Z45" si="6">IF(AND(U14&gt;=$AE$2,U14&lt;=$AF$2),1,IF(AND(U14&gt;$AE$3,U14&lt;=$AF$3),2,IF(AND(U14&gt;$AE$4,U14&lt;=$AF$4),3,IF(AND(U14&gt;$AE$5,U14&lt;=$AF$5),4,IF(AND(U14&gt;$AE$6,U14&lt;=$AF$6),5,"")))))</f>
        <v>4</v>
      </c>
      <c r="AA14" s="9"/>
    </row>
    <row r="15" spans="1:36">
      <c r="A15" t="s">
        <v>1320</v>
      </c>
      <c r="B15" s="36">
        <v>4099119101</v>
      </c>
      <c r="C15" s="216"/>
      <c r="D15" s="29"/>
      <c r="E15" s="242" t="s">
        <v>2150</v>
      </c>
      <c r="F15" s="227" t="s">
        <v>2151</v>
      </c>
      <c r="G15" s="294" t="s">
        <v>31</v>
      </c>
      <c r="H15" s="232">
        <v>561730</v>
      </c>
      <c r="I15" s="9" t="s">
        <v>26</v>
      </c>
      <c r="J15" s="2" t="s">
        <v>0</v>
      </c>
      <c r="K15" s="277">
        <v>44987</v>
      </c>
      <c r="L15" s="277">
        <v>54119</v>
      </c>
      <c r="M15" s="268">
        <f t="shared" si="0"/>
        <v>45082</v>
      </c>
      <c r="N15" s="176">
        <v>1.4999999999999999E-2</v>
      </c>
      <c r="O15" s="269">
        <f t="shared" si="1"/>
        <v>0.09</v>
      </c>
      <c r="P15" s="236">
        <v>7.9000000000000008E-3</v>
      </c>
      <c r="Q15" s="278">
        <v>421875</v>
      </c>
      <c r="R15" s="278">
        <v>421875</v>
      </c>
      <c r="S15" s="218">
        <v>3.7</v>
      </c>
      <c r="T15" s="219">
        <f t="shared" ref="T15:T45" si="7">S15*R15*P15</f>
        <v>12331.406250000002</v>
      </c>
      <c r="U15" s="30">
        <f t="shared" si="2"/>
        <v>300</v>
      </c>
      <c r="V15" s="31">
        <f t="shared" si="3"/>
        <v>3.1232876712328768</v>
      </c>
      <c r="W15" s="30">
        <f t="shared" si="4"/>
        <v>296.8767123287671</v>
      </c>
      <c r="X15" s="220" t="s">
        <v>117</v>
      </c>
      <c r="Y15" s="139">
        <f t="shared" si="5"/>
        <v>0.05</v>
      </c>
      <c r="Z15" s="9">
        <f t="shared" si="6"/>
        <v>5</v>
      </c>
      <c r="AA15" s="9"/>
    </row>
    <row r="16" spans="1:36">
      <c r="A16" t="s">
        <v>1320</v>
      </c>
      <c r="B16" s="36">
        <v>4185289102</v>
      </c>
      <c r="C16" s="216"/>
      <c r="D16" s="29"/>
      <c r="E16" s="275" t="s">
        <v>2152</v>
      </c>
      <c r="F16" s="227" t="s">
        <v>2153</v>
      </c>
      <c r="G16" s="294" t="s">
        <v>49</v>
      </c>
      <c r="H16" s="214">
        <v>611620</v>
      </c>
      <c r="I16" s="271" t="s">
        <v>26</v>
      </c>
      <c r="J16" s="2" t="s">
        <v>0</v>
      </c>
      <c r="K16" s="267">
        <v>44764</v>
      </c>
      <c r="L16" s="267">
        <v>54133</v>
      </c>
      <c r="M16" s="268">
        <f t="shared" si="0"/>
        <v>45082</v>
      </c>
      <c r="N16" s="176">
        <v>2.75E-2</v>
      </c>
      <c r="O16" s="269">
        <f t="shared" si="1"/>
        <v>0.10249999999999999</v>
      </c>
      <c r="P16" s="236">
        <v>2.0400000000000001E-2</v>
      </c>
      <c r="Q16" s="282">
        <v>291750</v>
      </c>
      <c r="R16" s="282">
        <v>291750</v>
      </c>
      <c r="S16" s="218">
        <v>3.7</v>
      </c>
      <c r="T16" s="219">
        <f t="shared" si="7"/>
        <v>22021.29</v>
      </c>
      <c r="U16" s="30">
        <f t="shared" si="2"/>
        <v>307</v>
      </c>
      <c r="V16" s="31">
        <f t="shared" si="3"/>
        <v>10.454794520547946</v>
      </c>
      <c r="W16" s="30">
        <f t="shared" si="4"/>
        <v>296.54520547945208</v>
      </c>
      <c r="X16" s="220" t="s">
        <v>71</v>
      </c>
      <c r="Y16" s="139">
        <f t="shared" si="5"/>
        <v>0.05</v>
      </c>
      <c r="Z16" s="9">
        <f t="shared" si="6"/>
        <v>5</v>
      </c>
      <c r="AA16" s="9"/>
    </row>
    <row r="17" spans="1:34">
      <c r="A17" t="s">
        <v>1320</v>
      </c>
      <c r="B17" s="36">
        <v>4208839105</v>
      </c>
      <c r="C17" s="216"/>
      <c r="D17" s="29"/>
      <c r="E17" s="2" t="s">
        <v>2154</v>
      </c>
      <c r="F17" s="32" t="s">
        <v>2155</v>
      </c>
      <c r="G17" s="293" t="s">
        <v>82</v>
      </c>
      <c r="H17" s="9">
        <v>238990</v>
      </c>
      <c r="I17" s="9" t="s">
        <v>26</v>
      </c>
      <c r="J17" s="2" t="s">
        <v>0</v>
      </c>
      <c r="K17" s="3">
        <v>44803</v>
      </c>
      <c r="L17" s="3">
        <v>51104</v>
      </c>
      <c r="M17" s="268">
        <f t="shared" si="0"/>
        <v>45082</v>
      </c>
      <c r="N17" s="222">
        <v>2.75E-2</v>
      </c>
      <c r="O17" s="269">
        <f t="shared" si="1"/>
        <v>0.10249999999999999</v>
      </c>
      <c r="P17" s="223">
        <v>3.3649999999999999E-2</v>
      </c>
      <c r="Q17" s="297">
        <v>342256.57</v>
      </c>
      <c r="R17" s="297">
        <v>342256.57</v>
      </c>
      <c r="S17" s="218">
        <v>3.5</v>
      </c>
      <c r="T17" s="219">
        <f t="shared" si="7"/>
        <v>40309.267531750003</v>
      </c>
      <c r="U17" s="30">
        <f t="shared" si="2"/>
        <v>207</v>
      </c>
      <c r="V17" s="31">
        <f t="shared" si="3"/>
        <v>9.1726027397260275</v>
      </c>
      <c r="W17" s="30">
        <f t="shared" si="4"/>
        <v>197.82739726027398</v>
      </c>
      <c r="X17" s="220" t="s">
        <v>125</v>
      </c>
      <c r="Y17" s="139">
        <f t="shared" si="5"/>
        <v>0.05</v>
      </c>
      <c r="Z17" s="9">
        <f t="shared" si="6"/>
        <v>4</v>
      </c>
      <c r="AA17" s="9"/>
    </row>
    <row r="18" spans="1:34">
      <c r="A18" t="s">
        <v>1320</v>
      </c>
      <c r="B18" s="36">
        <v>4261149109</v>
      </c>
      <c r="C18" s="216"/>
      <c r="D18" s="29"/>
      <c r="E18" s="32" t="s">
        <v>2156</v>
      </c>
      <c r="F18" s="32" t="s">
        <v>2157</v>
      </c>
      <c r="G18" s="293" t="s">
        <v>84</v>
      </c>
      <c r="H18" s="9">
        <v>445120</v>
      </c>
      <c r="I18" s="9" t="s">
        <v>26</v>
      </c>
      <c r="J18" s="2" t="s">
        <v>0</v>
      </c>
      <c r="K18" s="284">
        <v>44804</v>
      </c>
      <c r="L18" s="284">
        <v>53935</v>
      </c>
      <c r="M18" s="268">
        <f t="shared" si="0"/>
        <v>45082</v>
      </c>
      <c r="N18" s="226">
        <v>0.02</v>
      </c>
      <c r="O18" s="269">
        <f t="shared" si="1"/>
        <v>9.5000000000000001E-2</v>
      </c>
      <c r="P18" s="235">
        <v>1.78E-2</v>
      </c>
      <c r="Q18" s="237">
        <v>123710.38</v>
      </c>
      <c r="R18" s="237">
        <v>123710.38</v>
      </c>
      <c r="S18" s="218">
        <v>3.7</v>
      </c>
      <c r="T18" s="219">
        <f t="shared" si="7"/>
        <v>8147.5656268000002</v>
      </c>
      <c r="U18" s="30">
        <f t="shared" si="2"/>
        <v>300</v>
      </c>
      <c r="V18" s="31">
        <f t="shared" si="3"/>
        <v>9.1397260273972591</v>
      </c>
      <c r="W18" s="30">
        <f t="shared" si="4"/>
        <v>290.86027397260273</v>
      </c>
      <c r="X18" s="220" t="s">
        <v>212</v>
      </c>
      <c r="Y18" s="139">
        <f t="shared" si="5"/>
        <v>0.05</v>
      </c>
      <c r="Z18" s="9">
        <f t="shared" si="6"/>
        <v>5</v>
      </c>
      <c r="AA18" s="9"/>
    </row>
    <row r="19" spans="1:34">
      <c r="A19" t="s">
        <v>1320</v>
      </c>
      <c r="B19" s="36">
        <v>4352899106</v>
      </c>
      <c r="C19" s="216"/>
      <c r="D19" s="29"/>
      <c r="E19" s="2" t="s">
        <v>2158</v>
      </c>
      <c r="F19" s="32" t="s">
        <v>2159</v>
      </c>
      <c r="G19" s="293" t="s">
        <v>82</v>
      </c>
      <c r="H19" s="9">
        <v>722511</v>
      </c>
      <c r="I19" s="9" t="s">
        <v>26</v>
      </c>
      <c r="J19" t="s">
        <v>1</v>
      </c>
      <c r="K19" s="3">
        <v>44861</v>
      </c>
      <c r="L19" s="3">
        <v>54175</v>
      </c>
      <c r="M19" s="268">
        <f t="shared" si="0"/>
        <v>45082</v>
      </c>
      <c r="N19" s="222">
        <v>2.75E-2</v>
      </c>
      <c r="O19" s="269">
        <f t="shared" si="1"/>
        <v>0.10249999999999999</v>
      </c>
      <c r="P19" s="223">
        <v>2.53E-2</v>
      </c>
      <c r="Q19" s="297">
        <v>306600</v>
      </c>
      <c r="R19" s="297">
        <v>306600</v>
      </c>
      <c r="S19" s="218">
        <v>3.7</v>
      </c>
      <c r="T19" s="219">
        <f t="shared" si="7"/>
        <v>28700.826000000001</v>
      </c>
      <c r="U19" s="30">
        <f t="shared" si="2"/>
        <v>306</v>
      </c>
      <c r="V19" s="31">
        <f t="shared" si="3"/>
        <v>7.2666666666666657</v>
      </c>
      <c r="W19" s="30">
        <f t="shared" si="4"/>
        <v>298.73333333333335</v>
      </c>
      <c r="X19" s="220" t="s">
        <v>86</v>
      </c>
      <c r="Y19" s="139">
        <f t="shared" si="5"/>
        <v>0.05</v>
      </c>
      <c r="Z19" s="9">
        <f t="shared" si="6"/>
        <v>5</v>
      </c>
      <c r="AA19" s="9"/>
    </row>
    <row r="20" spans="1:34">
      <c r="A20" t="s">
        <v>1320</v>
      </c>
      <c r="B20" s="36">
        <v>4459609100</v>
      </c>
      <c r="C20" s="216"/>
      <c r="D20" s="29"/>
      <c r="E20" s="2" t="s">
        <v>2160</v>
      </c>
      <c r="F20" s="32" t="s">
        <v>2161</v>
      </c>
      <c r="G20" s="293" t="s">
        <v>76</v>
      </c>
      <c r="H20" s="9">
        <v>457110</v>
      </c>
      <c r="I20" s="9" t="s">
        <v>26</v>
      </c>
      <c r="J20" s="2" t="s">
        <v>0</v>
      </c>
      <c r="K20" s="3">
        <v>45014</v>
      </c>
      <c r="L20" s="3">
        <v>54146</v>
      </c>
      <c r="M20" s="268">
        <f t="shared" si="0"/>
        <v>45082</v>
      </c>
      <c r="N20" s="222">
        <v>0.02</v>
      </c>
      <c r="O20" s="269">
        <f t="shared" si="1"/>
        <v>9.5000000000000001E-2</v>
      </c>
      <c r="P20" s="223">
        <v>1.23E-2</v>
      </c>
      <c r="Q20" s="297">
        <v>1282875</v>
      </c>
      <c r="R20" s="297">
        <v>1282875</v>
      </c>
      <c r="S20" s="218">
        <v>3.7</v>
      </c>
      <c r="T20" s="219">
        <f t="shared" si="7"/>
        <v>58383.641250000001</v>
      </c>
      <c r="U20" s="30">
        <f t="shared" si="2"/>
        <v>300</v>
      </c>
      <c r="V20" s="31">
        <f t="shared" si="3"/>
        <v>2.2356164383561645</v>
      </c>
      <c r="W20" s="30">
        <f t="shared" si="4"/>
        <v>297.76438356164385</v>
      </c>
      <c r="X20" s="220"/>
      <c r="Y20" s="139">
        <f t="shared" si="5"/>
        <v>0.05</v>
      </c>
      <c r="Z20" s="9">
        <f t="shared" si="6"/>
        <v>5</v>
      </c>
      <c r="AA20" s="9"/>
    </row>
    <row r="21" spans="1:34">
      <c r="A21" t="s">
        <v>1320</v>
      </c>
      <c r="B21" s="36">
        <v>4459719109</v>
      </c>
      <c r="C21" s="216"/>
      <c r="D21" s="29"/>
      <c r="E21" s="32" t="s">
        <v>2162</v>
      </c>
      <c r="F21" s="32" t="s">
        <v>2163</v>
      </c>
      <c r="G21" s="293" t="s">
        <v>76</v>
      </c>
      <c r="H21" s="9">
        <v>457110</v>
      </c>
      <c r="I21" s="9" t="s">
        <v>26</v>
      </c>
      <c r="J21" s="2" t="s">
        <v>0</v>
      </c>
      <c r="K21" s="284">
        <v>45013</v>
      </c>
      <c r="L21" s="284">
        <v>54145</v>
      </c>
      <c r="M21" s="268">
        <f t="shared" si="0"/>
        <v>45082</v>
      </c>
      <c r="N21" s="226">
        <v>0.02</v>
      </c>
      <c r="O21" s="269">
        <f t="shared" si="1"/>
        <v>9.5000000000000001E-2</v>
      </c>
      <c r="P21" s="235">
        <v>1.23E-2</v>
      </c>
      <c r="Q21" s="237">
        <v>1136625</v>
      </c>
      <c r="R21" s="237">
        <v>1136625</v>
      </c>
      <c r="S21" s="218">
        <v>3.7</v>
      </c>
      <c r="T21" s="219">
        <f t="shared" si="7"/>
        <v>51727.803749999999</v>
      </c>
      <c r="U21" s="30">
        <f t="shared" si="2"/>
        <v>300</v>
      </c>
      <c r="V21" s="31">
        <f t="shared" si="3"/>
        <v>2.2684931506849315</v>
      </c>
      <c r="W21" s="30">
        <f t="shared" si="4"/>
        <v>297.73150684931505</v>
      </c>
      <c r="X21" s="220"/>
      <c r="Y21" s="139">
        <f t="shared" si="5"/>
        <v>0.05</v>
      </c>
      <c r="Z21" s="9">
        <f t="shared" si="6"/>
        <v>5</v>
      </c>
      <c r="AA21" s="9"/>
    </row>
    <row r="22" spans="1:34">
      <c r="A22" t="s">
        <v>1320</v>
      </c>
      <c r="B22" s="36">
        <v>4514019104</v>
      </c>
      <c r="C22" s="216"/>
      <c r="D22" s="29"/>
      <c r="E22" s="2" t="s">
        <v>2164</v>
      </c>
      <c r="F22" s="32" t="s">
        <v>2165</v>
      </c>
      <c r="G22" s="293" t="s">
        <v>120</v>
      </c>
      <c r="H22" s="9">
        <v>811192</v>
      </c>
      <c r="I22" s="9" t="s">
        <v>26</v>
      </c>
      <c r="J22" t="s">
        <v>1</v>
      </c>
      <c r="K22" s="3">
        <v>44880</v>
      </c>
      <c r="L22" s="3">
        <v>54011</v>
      </c>
      <c r="M22" s="268">
        <f t="shared" si="0"/>
        <v>45082</v>
      </c>
      <c r="N22" s="222">
        <v>2.5000000000000001E-2</v>
      </c>
      <c r="O22" s="269">
        <f t="shared" si="1"/>
        <v>0.1</v>
      </c>
      <c r="P22" s="223">
        <v>1.23E-2</v>
      </c>
      <c r="Q22" s="297">
        <v>866590.23</v>
      </c>
      <c r="R22" s="297">
        <v>866590.23</v>
      </c>
      <c r="S22" s="218">
        <v>3.7</v>
      </c>
      <c r="T22" s="219">
        <f t="shared" si="7"/>
        <v>39438.521367300003</v>
      </c>
      <c r="U22" s="30">
        <f t="shared" si="2"/>
        <v>300</v>
      </c>
      <c r="V22" s="31">
        <f t="shared" si="3"/>
        <v>6.666666666666667</v>
      </c>
      <c r="W22" s="30">
        <f t="shared" si="4"/>
        <v>293.33333333333331</v>
      </c>
      <c r="X22" s="220" t="s">
        <v>65</v>
      </c>
      <c r="Y22" s="139">
        <f t="shared" si="5"/>
        <v>0.05</v>
      </c>
      <c r="Z22" s="9">
        <f t="shared" si="6"/>
        <v>5</v>
      </c>
      <c r="AA22" s="9">
        <f>IF(OR(H22=721110,H22=447110,H22=722511,H22=811192,H22=624410),1,0)</f>
        <v>1</v>
      </c>
    </row>
    <row r="23" spans="1:34">
      <c r="A23" t="s">
        <v>1320</v>
      </c>
      <c r="B23" s="36">
        <v>4535359100</v>
      </c>
      <c r="C23" s="216"/>
      <c r="D23" s="29"/>
      <c r="E23" s="2" t="s">
        <v>2166</v>
      </c>
      <c r="F23" s="32" t="s">
        <v>2167</v>
      </c>
      <c r="G23" s="293" t="s">
        <v>112</v>
      </c>
      <c r="H23" s="9">
        <v>722410</v>
      </c>
      <c r="I23" s="9" t="s">
        <v>26</v>
      </c>
      <c r="J23" s="2" t="s">
        <v>0</v>
      </c>
      <c r="K23" s="3">
        <v>44925</v>
      </c>
      <c r="L23" s="3">
        <v>54056</v>
      </c>
      <c r="M23" s="268">
        <f t="shared" si="0"/>
        <v>45082</v>
      </c>
      <c r="N23" s="222">
        <v>2.75E-2</v>
      </c>
      <c r="O23" s="269">
        <f t="shared" si="1"/>
        <v>0.10249999999999999</v>
      </c>
      <c r="P23" s="223">
        <v>1.9800000000000002E-2</v>
      </c>
      <c r="Q23" s="297">
        <v>588750</v>
      </c>
      <c r="R23" s="297">
        <v>588750</v>
      </c>
      <c r="S23" s="218">
        <v>3.7</v>
      </c>
      <c r="T23" s="219">
        <f t="shared" si="7"/>
        <v>43131.825000000004</v>
      </c>
      <c r="U23" s="30">
        <f t="shared" si="2"/>
        <v>300</v>
      </c>
      <c r="V23" s="31">
        <f t="shared" si="3"/>
        <v>5.161643835616438</v>
      </c>
      <c r="W23" s="30">
        <f t="shared" si="4"/>
        <v>294.83835616438358</v>
      </c>
      <c r="X23" s="220" t="s">
        <v>101</v>
      </c>
      <c r="Y23" s="139">
        <f t="shared" si="5"/>
        <v>0.05</v>
      </c>
      <c r="Z23" s="9">
        <f t="shared" si="6"/>
        <v>5</v>
      </c>
      <c r="AA23" s="9"/>
      <c r="AF23" s="14"/>
      <c r="AH23" s="32"/>
    </row>
    <row r="24" spans="1:34">
      <c r="A24" t="s">
        <v>1320</v>
      </c>
      <c r="B24" s="36">
        <v>4788509106</v>
      </c>
      <c r="C24" s="216"/>
      <c r="D24" s="29"/>
      <c r="E24" s="275" t="s">
        <v>2168</v>
      </c>
      <c r="F24" s="227" t="s">
        <v>2169</v>
      </c>
      <c r="G24" s="294" t="s">
        <v>74</v>
      </c>
      <c r="H24" s="214">
        <v>484110</v>
      </c>
      <c r="I24" s="271" t="s">
        <v>26</v>
      </c>
      <c r="J24" s="2" t="s">
        <v>0</v>
      </c>
      <c r="K24" s="267">
        <v>44959</v>
      </c>
      <c r="L24" s="267">
        <v>51168</v>
      </c>
      <c r="M24" s="268">
        <f t="shared" si="0"/>
        <v>45082</v>
      </c>
      <c r="N24" s="176">
        <v>1.4999999999999999E-2</v>
      </c>
      <c r="O24" s="269">
        <f t="shared" si="1"/>
        <v>0.09</v>
      </c>
      <c r="P24" s="236">
        <v>2.0549999999999999E-2</v>
      </c>
      <c r="Q24" s="282">
        <v>570375</v>
      </c>
      <c r="R24" s="282">
        <v>570375</v>
      </c>
      <c r="S24" s="218">
        <v>3.5</v>
      </c>
      <c r="T24" s="219">
        <f t="shared" si="7"/>
        <v>41024.221874999996</v>
      </c>
      <c r="U24" s="30">
        <f t="shared" si="2"/>
        <v>204</v>
      </c>
      <c r="V24" s="31">
        <f t="shared" si="3"/>
        <v>4.043835616438356</v>
      </c>
      <c r="W24" s="30">
        <f t="shared" si="4"/>
        <v>199.95616438356166</v>
      </c>
      <c r="X24" s="220" t="s">
        <v>289</v>
      </c>
      <c r="Y24" s="139">
        <f t="shared" si="5"/>
        <v>0.05</v>
      </c>
      <c r="Z24" s="9">
        <f t="shared" si="6"/>
        <v>4</v>
      </c>
      <c r="AA24" s="9"/>
      <c r="AH24" s="32"/>
    </row>
    <row r="25" spans="1:34">
      <c r="A25" t="s">
        <v>1320</v>
      </c>
      <c r="B25" s="221">
        <v>4795679109</v>
      </c>
      <c r="C25" s="216"/>
      <c r="D25" s="29"/>
      <c r="E25" s="275" t="s">
        <v>2170</v>
      </c>
      <c r="F25" s="227" t="s">
        <v>2171</v>
      </c>
      <c r="G25" s="294" t="s">
        <v>52</v>
      </c>
      <c r="H25" s="214">
        <v>445131</v>
      </c>
      <c r="I25" s="271" t="s">
        <v>26</v>
      </c>
      <c r="J25" s="2" t="s">
        <v>0</v>
      </c>
      <c r="K25" s="267">
        <v>44980</v>
      </c>
      <c r="L25" s="267">
        <v>54111</v>
      </c>
      <c r="M25" s="268">
        <f t="shared" si="0"/>
        <v>45082</v>
      </c>
      <c r="N25" s="176">
        <v>1.2500000000000001E-2</v>
      </c>
      <c r="O25" s="269">
        <f t="shared" si="1"/>
        <v>8.7499999999999994E-2</v>
      </c>
      <c r="P25" s="236">
        <v>4.7999999999999996E-3</v>
      </c>
      <c r="Q25" s="282">
        <v>1450500</v>
      </c>
      <c r="R25" s="282">
        <v>1450500</v>
      </c>
      <c r="S25" s="218">
        <v>3.7</v>
      </c>
      <c r="T25" s="219">
        <f t="shared" si="7"/>
        <v>25760.879999999997</v>
      </c>
      <c r="U25" s="30">
        <f t="shared" si="2"/>
        <v>300</v>
      </c>
      <c r="V25" s="31">
        <f t="shared" si="3"/>
        <v>3.353424657534247</v>
      </c>
      <c r="W25" s="30">
        <f t="shared" si="4"/>
        <v>296.64657534246578</v>
      </c>
      <c r="X25" s="220"/>
      <c r="Y25" s="139">
        <f t="shared" si="5"/>
        <v>0.05</v>
      </c>
      <c r="Z25" s="9">
        <f t="shared" si="6"/>
        <v>5</v>
      </c>
      <c r="AA25" s="9">
        <f>IF(OR(H25=721110,H25=447110,H25=722511,H25=811192,H25=624410),1,0)</f>
        <v>0</v>
      </c>
    </row>
    <row r="26" spans="1:34">
      <c r="A26" t="s">
        <v>1320</v>
      </c>
      <c r="B26" s="36">
        <v>4812249101</v>
      </c>
      <c r="C26" s="216"/>
      <c r="D26" s="29"/>
      <c r="E26" s="2" t="s">
        <v>2172</v>
      </c>
      <c r="F26" s="32" t="s">
        <v>2173</v>
      </c>
      <c r="G26" s="293" t="s">
        <v>42</v>
      </c>
      <c r="H26" s="9">
        <v>811310</v>
      </c>
      <c r="I26" s="9" t="s">
        <v>26</v>
      </c>
      <c r="J26" s="2" t="s">
        <v>0</v>
      </c>
      <c r="K26" s="3">
        <v>45006</v>
      </c>
      <c r="L26" s="3">
        <v>54138</v>
      </c>
      <c r="M26" s="268">
        <f t="shared" si="0"/>
        <v>45082</v>
      </c>
      <c r="N26" s="222" t="s">
        <v>2277</v>
      </c>
      <c r="O26" s="269" t="e">
        <f t="shared" si="1"/>
        <v>#VALUE!</v>
      </c>
      <c r="P26" s="223">
        <v>2.955E-2</v>
      </c>
      <c r="Q26" s="297">
        <v>280500</v>
      </c>
      <c r="R26" s="297">
        <v>280500</v>
      </c>
      <c r="S26" s="218">
        <v>3.7</v>
      </c>
      <c r="T26" s="219">
        <f t="shared" si="7"/>
        <v>30668.467499999999</v>
      </c>
      <c r="U26" s="30">
        <f t="shared" si="2"/>
        <v>300</v>
      </c>
      <c r="V26" s="31">
        <f t="shared" si="3"/>
        <v>2.4986301369863013</v>
      </c>
      <c r="W26" s="30">
        <f t="shared" si="4"/>
        <v>297.50136986301368</v>
      </c>
      <c r="X26" s="220" t="s">
        <v>241</v>
      </c>
      <c r="Y26" s="139">
        <f t="shared" si="5"/>
        <v>0.05</v>
      </c>
      <c r="Z26" s="9">
        <f t="shared" si="6"/>
        <v>5</v>
      </c>
      <c r="AA26" s="9"/>
      <c r="AH26" s="32"/>
    </row>
    <row r="27" spans="1:34">
      <c r="A27" t="s">
        <v>1320</v>
      </c>
      <c r="B27" s="36">
        <v>4903239104</v>
      </c>
      <c r="C27" s="216"/>
      <c r="D27" s="29"/>
      <c r="E27" s="32" t="s">
        <v>2174</v>
      </c>
      <c r="F27" s="32" t="s">
        <v>2175</v>
      </c>
      <c r="G27" s="293" t="s">
        <v>25</v>
      </c>
      <c r="H27" s="9">
        <v>721110</v>
      </c>
      <c r="I27" s="9" t="s">
        <v>26</v>
      </c>
      <c r="J27" s="2" t="s">
        <v>0</v>
      </c>
      <c r="K27" s="284">
        <v>45005</v>
      </c>
      <c r="L27" s="284">
        <v>54140</v>
      </c>
      <c r="M27" s="268">
        <f t="shared" si="0"/>
        <v>45082</v>
      </c>
      <c r="N27" s="226">
        <v>1.4999999999999999E-2</v>
      </c>
      <c r="O27" s="269">
        <f t="shared" si="1"/>
        <v>0.09</v>
      </c>
      <c r="P27" s="235">
        <v>7.3000000000000001E-3</v>
      </c>
      <c r="Q27" s="237">
        <v>2312250</v>
      </c>
      <c r="R27" s="237">
        <v>2312250</v>
      </c>
      <c r="S27" s="218">
        <v>3.7</v>
      </c>
      <c r="T27" s="219">
        <f t="shared" si="7"/>
        <v>62453.872499999998</v>
      </c>
      <c r="U27" s="30">
        <f t="shared" si="2"/>
        <v>300</v>
      </c>
      <c r="V27" s="31">
        <f t="shared" si="3"/>
        <v>2.5315068493150683</v>
      </c>
      <c r="W27" s="30">
        <f t="shared" si="4"/>
        <v>297.46849315068494</v>
      </c>
      <c r="X27" s="220" t="s">
        <v>51</v>
      </c>
      <c r="Y27" s="139">
        <f t="shared" si="5"/>
        <v>0.05</v>
      </c>
      <c r="Z27" s="9">
        <f t="shared" si="6"/>
        <v>5</v>
      </c>
      <c r="AA27" s="9"/>
    </row>
    <row r="28" spans="1:34">
      <c r="A28" t="s">
        <v>1320</v>
      </c>
      <c r="B28" s="36">
        <v>4912019110</v>
      </c>
      <c r="C28" s="216"/>
      <c r="D28" s="29"/>
      <c r="E28" s="2" t="s">
        <v>2176</v>
      </c>
      <c r="F28" s="32" t="s">
        <v>2177</v>
      </c>
      <c r="G28" s="293" t="s">
        <v>54</v>
      </c>
      <c r="H28" s="9">
        <v>561790</v>
      </c>
      <c r="I28" s="9" t="s">
        <v>26</v>
      </c>
      <c r="J28" t="s">
        <v>1</v>
      </c>
      <c r="K28" s="3">
        <v>45013</v>
      </c>
      <c r="L28" s="3">
        <v>54153</v>
      </c>
      <c r="M28" s="268">
        <f t="shared" si="0"/>
        <v>45082</v>
      </c>
      <c r="N28" s="222">
        <v>2.75E-2</v>
      </c>
      <c r="O28" s="269">
        <f t="shared" si="1"/>
        <v>0.10249999999999999</v>
      </c>
      <c r="P28" s="223">
        <v>2.53E-2</v>
      </c>
      <c r="Q28" s="297">
        <v>286875</v>
      </c>
      <c r="R28" s="297">
        <v>286875</v>
      </c>
      <c r="S28" s="218">
        <v>3.7</v>
      </c>
      <c r="T28" s="219">
        <f t="shared" si="7"/>
        <v>26854.368749999998</v>
      </c>
      <c r="U28" s="30">
        <f t="shared" si="2"/>
        <v>300</v>
      </c>
      <c r="V28" s="31">
        <f t="shared" si="3"/>
        <v>2.2333333333333334</v>
      </c>
      <c r="W28" s="30">
        <f t="shared" si="4"/>
        <v>297.76666666666665</v>
      </c>
      <c r="X28" s="220" t="s">
        <v>96</v>
      </c>
      <c r="Y28" s="139">
        <f t="shared" si="5"/>
        <v>0.05</v>
      </c>
      <c r="Z28" s="9">
        <f t="shared" si="6"/>
        <v>5</v>
      </c>
      <c r="AA28" s="9"/>
      <c r="AH28" s="32"/>
    </row>
    <row r="29" spans="1:34">
      <c r="A29" t="s">
        <v>1320</v>
      </c>
      <c r="B29" s="36">
        <v>4912419101</v>
      </c>
      <c r="C29" s="216"/>
      <c r="D29" s="29"/>
      <c r="E29" s="32" t="s">
        <v>2178</v>
      </c>
      <c r="F29" s="2" t="s">
        <v>2179</v>
      </c>
      <c r="G29" s="296" t="s">
        <v>40</v>
      </c>
      <c r="H29" s="9">
        <v>561710</v>
      </c>
      <c r="I29" s="9" t="s">
        <v>26</v>
      </c>
      <c r="J29" s="2" t="s">
        <v>0</v>
      </c>
      <c r="K29" s="284">
        <v>45013</v>
      </c>
      <c r="L29" s="284">
        <v>54145</v>
      </c>
      <c r="M29" s="268">
        <f t="shared" si="0"/>
        <v>45082</v>
      </c>
      <c r="N29" s="222">
        <v>0.02</v>
      </c>
      <c r="O29" s="269">
        <f t="shared" si="1"/>
        <v>9.5000000000000001E-2</v>
      </c>
      <c r="P29" s="223">
        <v>1.23E-2</v>
      </c>
      <c r="Q29" s="237">
        <v>471750</v>
      </c>
      <c r="R29" s="237">
        <v>471750</v>
      </c>
      <c r="S29" s="218">
        <v>3.7</v>
      </c>
      <c r="T29" s="219">
        <f t="shared" si="7"/>
        <v>21469.342499999999</v>
      </c>
      <c r="U29" s="30">
        <f t="shared" si="2"/>
        <v>300</v>
      </c>
      <c r="V29" s="31">
        <f t="shared" si="3"/>
        <v>2.2684931506849315</v>
      </c>
      <c r="W29" s="30">
        <f t="shared" si="4"/>
        <v>297.73150684931505</v>
      </c>
      <c r="X29" s="220" t="s">
        <v>193</v>
      </c>
      <c r="Y29" s="139">
        <f t="shared" si="5"/>
        <v>0.05</v>
      </c>
      <c r="Z29" s="9">
        <f t="shared" si="6"/>
        <v>5</v>
      </c>
      <c r="AA29" s="9"/>
    </row>
    <row r="30" spans="1:34">
      <c r="A30" t="s">
        <v>1320</v>
      </c>
      <c r="B30" s="36">
        <v>4913519109</v>
      </c>
      <c r="C30" s="216"/>
      <c r="D30" s="29"/>
      <c r="E30" s="2" t="s">
        <v>2180</v>
      </c>
      <c r="F30" s="32" t="s">
        <v>2181</v>
      </c>
      <c r="G30" s="293" t="s">
        <v>42</v>
      </c>
      <c r="H30" s="9">
        <v>721110</v>
      </c>
      <c r="I30" s="9" t="s">
        <v>26</v>
      </c>
      <c r="J30" s="2" t="s">
        <v>1</v>
      </c>
      <c r="K30" s="3">
        <v>45002</v>
      </c>
      <c r="L30" s="3">
        <v>54147</v>
      </c>
      <c r="M30" s="268">
        <f t="shared" si="0"/>
        <v>45082</v>
      </c>
      <c r="N30" s="222">
        <v>1.2500000000000001E-2</v>
      </c>
      <c r="O30" s="269">
        <f t="shared" si="1"/>
        <v>8.7499999999999994E-2</v>
      </c>
      <c r="P30" s="223">
        <v>4.7999999999999996E-3</v>
      </c>
      <c r="Q30" s="297">
        <v>1191000</v>
      </c>
      <c r="R30" s="297">
        <v>1191000</v>
      </c>
      <c r="S30" s="218">
        <v>3.7</v>
      </c>
      <c r="T30" s="219">
        <f t="shared" si="7"/>
        <v>21152.16</v>
      </c>
      <c r="U30" s="30">
        <f t="shared" si="2"/>
        <v>300</v>
      </c>
      <c r="V30" s="31">
        <f t="shared" si="3"/>
        <v>2.6</v>
      </c>
      <c r="W30" s="30">
        <f t="shared" si="4"/>
        <v>297.39999999999998</v>
      </c>
      <c r="X30" s="220" t="s">
        <v>51</v>
      </c>
      <c r="Y30" s="139">
        <f t="shared" si="5"/>
        <v>0.05</v>
      </c>
      <c r="Z30" s="9">
        <f t="shared" si="6"/>
        <v>5</v>
      </c>
      <c r="AA30" s="9"/>
    </row>
    <row r="31" spans="1:34">
      <c r="A31" t="s">
        <v>1320</v>
      </c>
      <c r="B31" s="36">
        <v>4915979100</v>
      </c>
      <c r="C31" s="216"/>
      <c r="D31" s="29"/>
      <c r="E31" s="32" t="s">
        <v>2182</v>
      </c>
      <c r="F31" s="32" t="s">
        <v>2183</v>
      </c>
      <c r="G31" s="293" t="s">
        <v>49</v>
      </c>
      <c r="H31" s="9">
        <v>238220</v>
      </c>
      <c r="I31" s="9" t="s">
        <v>26</v>
      </c>
      <c r="J31" s="2" t="s">
        <v>0</v>
      </c>
      <c r="K31" s="284">
        <v>45016</v>
      </c>
      <c r="L31" s="284">
        <v>54148</v>
      </c>
      <c r="M31" s="268">
        <f t="shared" si="0"/>
        <v>45082</v>
      </c>
      <c r="N31" s="226">
        <v>0.02</v>
      </c>
      <c r="O31" s="269">
        <f t="shared" si="1"/>
        <v>9.5000000000000001E-2</v>
      </c>
      <c r="P31" s="235">
        <v>1.78E-2</v>
      </c>
      <c r="Q31" s="237">
        <v>375000</v>
      </c>
      <c r="R31" s="237">
        <v>375000</v>
      </c>
      <c r="S31" s="218">
        <v>3.7</v>
      </c>
      <c r="T31" s="219">
        <f t="shared" si="7"/>
        <v>24697.5</v>
      </c>
      <c r="U31" s="30">
        <f t="shared" si="2"/>
        <v>300</v>
      </c>
      <c r="V31" s="31">
        <f t="shared" si="3"/>
        <v>2.1698630136986301</v>
      </c>
      <c r="W31" s="30">
        <f t="shared" si="4"/>
        <v>297.8301369863014</v>
      </c>
      <c r="X31" s="220" t="s">
        <v>62</v>
      </c>
      <c r="Y31" s="139">
        <f t="shared" si="5"/>
        <v>0.05</v>
      </c>
      <c r="Z31" s="9">
        <f t="shared" si="6"/>
        <v>5</v>
      </c>
      <c r="AA31" s="9"/>
    </row>
    <row r="32" spans="1:34">
      <c r="A32" t="s">
        <v>1320</v>
      </c>
      <c r="B32" s="221">
        <v>4923569106</v>
      </c>
      <c r="C32" s="216"/>
      <c r="D32" s="29"/>
      <c r="E32" s="2" t="s">
        <v>2184</v>
      </c>
      <c r="F32" s="32" t="s">
        <v>2185</v>
      </c>
      <c r="G32" s="293" t="s">
        <v>109</v>
      </c>
      <c r="H32" s="9">
        <v>458110</v>
      </c>
      <c r="I32" s="9" t="s">
        <v>26</v>
      </c>
      <c r="J32" s="2" t="s">
        <v>0</v>
      </c>
      <c r="K32" s="3">
        <v>45014</v>
      </c>
      <c r="L32" s="3">
        <v>54146</v>
      </c>
      <c r="M32" s="268">
        <f t="shared" si="0"/>
        <v>45082</v>
      </c>
      <c r="N32" s="222">
        <v>0.02</v>
      </c>
      <c r="O32" s="269">
        <f t="shared" si="1"/>
        <v>9.5000000000000001E-2</v>
      </c>
      <c r="P32" s="223">
        <v>1.78E-2</v>
      </c>
      <c r="Q32" s="297">
        <v>367875</v>
      </c>
      <c r="R32" s="297">
        <v>367875</v>
      </c>
      <c r="S32" s="218">
        <v>3.7</v>
      </c>
      <c r="T32" s="219">
        <f t="shared" si="7"/>
        <v>24228.247500000001</v>
      </c>
      <c r="U32" s="30">
        <f t="shared" si="2"/>
        <v>300</v>
      </c>
      <c r="V32" s="31">
        <f t="shared" si="3"/>
        <v>2.2356164383561645</v>
      </c>
      <c r="W32" s="30">
        <f t="shared" si="4"/>
        <v>297.76438356164385</v>
      </c>
      <c r="X32" s="220"/>
      <c r="Y32" s="139">
        <f t="shared" si="5"/>
        <v>0.05</v>
      </c>
      <c r="Z32" s="9">
        <f t="shared" si="6"/>
        <v>5</v>
      </c>
      <c r="AA32" s="9">
        <f>IF(OR(H32=721110,H32=447110,H32=722511,H32=811192,H32=624410),1,0)</f>
        <v>0</v>
      </c>
    </row>
    <row r="33" spans="1:34">
      <c r="A33" t="s">
        <v>1320</v>
      </c>
      <c r="B33" s="36">
        <v>4929629101</v>
      </c>
      <c r="C33" s="216"/>
      <c r="D33" s="29"/>
      <c r="E33" s="32" t="s">
        <v>2186</v>
      </c>
      <c r="F33" s="32" t="s">
        <v>2183</v>
      </c>
      <c r="G33" s="293" t="s">
        <v>49</v>
      </c>
      <c r="H33" s="9">
        <v>236118</v>
      </c>
      <c r="I33" s="9" t="s">
        <v>26</v>
      </c>
      <c r="J33" s="2" t="s">
        <v>0</v>
      </c>
      <c r="K33" s="284">
        <v>45016</v>
      </c>
      <c r="L33" s="284">
        <v>54148</v>
      </c>
      <c r="M33" s="268">
        <f t="shared" si="0"/>
        <v>45082</v>
      </c>
      <c r="N33" s="226">
        <v>0.02</v>
      </c>
      <c r="O33" s="269">
        <f t="shared" si="1"/>
        <v>9.5000000000000001E-2</v>
      </c>
      <c r="P33" s="235">
        <v>1.78E-2</v>
      </c>
      <c r="Q33" s="237">
        <v>243750</v>
      </c>
      <c r="R33" s="237">
        <v>243750</v>
      </c>
      <c r="S33" s="218">
        <v>3.7</v>
      </c>
      <c r="T33" s="219">
        <f t="shared" si="7"/>
        <v>16053.375</v>
      </c>
      <c r="U33" s="30">
        <f t="shared" si="2"/>
        <v>300</v>
      </c>
      <c r="V33" s="31">
        <f t="shared" si="3"/>
        <v>2.1698630136986301</v>
      </c>
      <c r="W33" s="30">
        <f t="shared" si="4"/>
        <v>297.8301369863014</v>
      </c>
      <c r="X33" s="220" t="s">
        <v>119</v>
      </c>
      <c r="Y33" s="139">
        <f t="shared" si="5"/>
        <v>0.05</v>
      </c>
      <c r="Z33" s="9">
        <f t="shared" si="6"/>
        <v>5</v>
      </c>
      <c r="AA33" s="9"/>
    </row>
    <row r="34" spans="1:34">
      <c r="A34" t="s">
        <v>1320</v>
      </c>
      <c r="B34" s="36">
        <v>4939679109</v>
      </c>
      <c r="C34" s="216"/>
      <c r="D34" s="29"/>
      <c r="E34" s="32" t="s">
        <v>2187</v>
      </c>
      <c r="F34" s="32" t="s">
        <v>2188</v>
      </c>
      <c r="G34" s="293" t="s">
        <v>76</v>
      </c>
      <c r="H34" s="9">
        <v>561730</v>
      </c>
      <c r="I34" s="9" t="s">
        <v>26</v>
      </c>
      <c r="J34" s="2" t="s">
        <v>0</v>
      </c>
      <c r="K34" s="284">
        <v>45014</v>
      </c>
      <c r="L34" s="284">
        <v>54146</v>
      </c>
      <c r="M34" s="268">
        <f t="shared" si="0"/>
        <v>45082</v>
      </c>
      <c r="N34" s="226">
        <v>0.02</v>
      </c>
      <c r="O34" s="269">
        <f t="shared" si="1"/>
        <v>9.5000000000000001E-2</v>
      </c>
      <c r="P34" s="235">
        <v>1.23E-2</v>
      </c>
      <c r="Q34" s="237">
        <v>562275</v>
      </c>
      <c r="R34" s="237">
        <v>562275</v>
      </c>
      <c r="S34" s="218">
        <v>3.7</v>
      </c>
      <c r="T34" s="219">
        <f t="shared" si="7"/>
        <v>25589.135249999999</v>
      </c>
      <c r="U34" s="30">
        <f t="shared" si="2"/>
        <v>300</v>
      </c>
      <c r="V34" s="31">
        <f t="shared" si="3"/>
        <v>2.2356164383561645</v>
      </c>
      <c r="W34" s="30">
        <f t="shared" si="4"/>
        <v>297.76438356164385</v>
      </c>
      <c r="X34" s="220" t="s">
        <v>117</v>
      </c>
      <c r="Y34" s="139">
        <f t="shared" si="5"/>
        <v>0.05</v>
      </c>
      <c r="Z34" s="9">
        <f t="shared" si="6"/>
        <v>5</v>
      </c>
      <c r="AA34" s="9"/>
      <c r="AH34" s="32"/>
    </row>
    <row r="35" spans="1:34">
      <c r="A35" t="s">
        <v>1320</v>
      </c>
      <c r="B35" s="36">
        <v>4942309104</v>
      </c>
      <c r="C35" s="216"/>
      <c r="D35" s="29"/>
      <c r="E35" s="2" t="s">
        <v>2189</v>
      </c>
      <c r="F35" s="32" t="s">
        <v>2190</v>
      </c>
      <c r="G35" s="293" t="s">
        <v>31</v>
      </c>
      <c r="H35" s="9">
        <v>721110</v>
      </c>
      <c r="I35" s="9" t="s">
        <v>26</v>
      </c>
      <c r="J35" t="s">
        <v>1</v>
      </c>
      <c r="K35" s="3">
        <v>45015</v>
      </c>
      <c r="L35" s="3">
        <v>54147</v>
      </c>
      <c r="M35" s="268">
        <f t="shared" si="0"/>
        <v>45082</v>
      </c>
      <c r="N35" s="222">
        <v>0.01</v>
      </c>
      <c r="O35" s="269">
        <f t="shared" si="1"/>
        <v>8.4999999999999992E-2</v>
      </c>
      <c r="P35" s="223">
        <v>2.3E-3</v>
      </c>
      <c r="Q35" s="297">
        <v>3750000</v>
      </c>
      <c r="R35" s="297">
        <v>3750000</v>
      </c>
      <c r="S35" s="218">
        <v>3.7</v>
      </c>
      <c r="T35" s="219">
        <f t="shared" si="7"/>
        <v>31912.5</v>
      </c>
      <c r="U35" s="30">
        <f t="shared" si="2"/>
        <v>300</v>
      </c>
      <c r="V35" s="31">
        <f t="shared" si="3"/>
        <v>2.1666666666666665</v>
      </c>
      <c r="W35" s="30">
        <f t="shared" si="4"/>
        <v>297.83333333333331</v>
      </c>
      <c r="X35" s="220" t="s">
        <v>51</v>
      </c>
      <c r="Y35" s="139">
        <f t="shared" si="5"/>
        <v>0.05</v>
      </c>
      <c r="Z35" s="9">
        <f t="shared" si="6"/>
        <v>5</v>
      </c>
      <c r="AA35" s="9"/>
      <c r="AH35" s="32"/>
    </row>
    <row r="36" spans="1:34">
      <c r="A36" t="s">
        <v>1320</v>
      </c>
      <c r="B36" s="36">
        <v>4947809100</v>
      </c>
      <c r="C36" s="216"/>
      <c r="D36" s="29"/>
      <c r="E36" s="32" t="s">
        <v>2191</v>
      </c>
      <c r="F36" s="32" t="s">
        <v>2192</v>
      </c>
      <c r="G36" s="293" t="s">
        <v>60</v>
      </c>
      <c r="H36" s="9">
        <v>721110</v>
      </c>
      <c r="I36" s="9" t="s">
        <v>26</v>
      </c>
      <c r="J36" s="2" t="s">
        <v>0</v>
      </c>
      <c r="K36" s="284">
        <v>45015</v>
      </c>
      <c r="L36" s="284">
        <v>54147</v>
      </c>
      <c r="M36" s="268">
        <f t="shared" si="0"/>
        <v>45082</v>
      </c>
      <c r="N36" s="226">
        <v>1.2500000000000001E-2</v>
      </c>
      <c r="O36" s="269">
        <f t="shared" si="1"/>
        <v>8.7499999999999994E-2</v>
      </c>
      <c r="P36" s="235">
        <v>4.7999999999999996E-3</v>
      </c>
      <c r="Q36" s="237">
        <v>3112500</v>
      </c>
      <c r="R36" s="237">
        <v>3112500</v>
      </c>
      <c r="S36" s="218">
        <v>3.7</v>
      </c>
      <c r="T36" s="219">
        <f t="shared" si="7"/>
        <v>55277.999999999993</v>
      </c>
      <c r="U36" s="30">
        <f t="shared" si="2"/>
        <v>300</v>
      </c>
      <c r="V36" s="31">
        <f t="shared" si="3"/>
        <v>2.2027397260273971</v>
      </c>
      <c r="W36" s="30">
        <f t="shared" si="4"/>
        <v>297.7972602739726</v>
      </c>
      <c r="X36" s="220" t="s">
        <v>51</v>
      </c>
      <c r="Y36" s="139">
        <f t="shared" si="5"/>
        <v>0.05</v>
      </c>
      <c r="Z36" s="9">
        <f t="shared" si="6"/>
        <v>5</v>
      </c>
      <c r="AA36" s="9"/>
    </row>
    <row r="37" spans="1:34">
      <c r="A37" t="s">
        <v>1320</v>
      </c>
      <c r="B37" s="221">
        <v>4949079110</v>
      </c>
      <c r="C37" s="216"/>
      <c r="D37" s="29"/>
      <c r="E37" s="275" t="s">
        <v>2193</v>
      </c>
      <c r="F37" s="227" t="s">
        <v>2194</v>
      </c>
      <c r="G37" s="294" t="s">
        <v>105</v>
      </c>
      <c r="H37" s="214">
        <v>722511</v>
      </c>
      <c r="I37" s="271" t="s">
        <v>26</v>
      </c>
      <c r="J37" s="2" t="s">
        <v>0</v>
      </c>
      <c r="K37" s="267">
        <v>45013</v>
      </c>
      <c r="L37" s="267">
        <v>54148</v>
      </c>
      <c r="M37" s="268">
        <f t="shared" si="0"/>
        <v>45082</v>
      </c>
      <c r="N37" s="176">
        <v>2.2499999999999999E-2</v>
      </c>
      <c r="O37" s="269">
        <f t="shared" si="1"/>
        <v>9.7500000000000003E-2</v>
      </c>
      <c r="P37" s="236">
        <v>1.4800000000000001E-2</v>
      </c>
      <c r="Q37" s="282">
        <v>500250</v>
      </c>
      <c r="R37" s="282">
        <v>500250</v>
      </c>
      <c r="S37" s="218">
        <v>3.7</v>
      </c>
      <c r="T37" s="219">
        <f t="shared" si="7"/>
        <v>27393.690000000002</v>
      </c>
      <c r="U37" s="30">
        <f t="shared" si="2"/>
        <v>300</v>
      </c>
      <c r="V37" s="31">
        <f t="shared" si="3"/>
        <v>2.2684931506849315</v>
      </c>
      <c r="W37" s="30">
        <f t="shared" si="4"/>
        <v>297.73150684931505</v>
      </c>
      <c r="X37" s="220" t="s">
        <v>86</v>
      </c>
      <c r="Y37" s="139">
        <f t="shared" si="5"/>
        <v>0.05</v>
      </c>
      <c r="Z37" s="9">
        <f t="shared" si="6"/>
        <v>5</v>
      </c>
      <c r="AA37" s="9">
        <f>IF(OR(H37=721110,H37=447110,H37=722511,H37=811192,H37=624410),1,0)</f>
        <v>1</v>
      </c>
    </row>
    <row r="38" spans="1:34">
      <c r="A38" t="s">
        <v>1320</v>
      </c>
      <c r="B38" s="36">
        <v>4950749107</v>
      </c>
      <c r="C38" s="216"/>
      <c r="D38" s="29"/>
      <c r="E38" s="32" t="s">
        <v>2195</v>
      </c>
      <c r="F38" s="32" t="s">
        <v>2196</v>
      </c>
      <c r="G38" s="293" t="s">
        <v>87</v>
      </c>
      <c r="H38" s="9">
        <v>721110</v>
      </c>
      <c r="I38" s="9" t="s">
        <v>26</v>
      </c>
      <c r="J38" s="2" t="s">
        <v>1</v>
      </c>
      <c r="K38" s="284">
        <v>45015</v>
      </c>
      <c r="L38" s="284">
        <v>54147</v>
      </c>
      <c r="M38" s="268">
        <f t="shared" si="0"/>
        <v>45082</v>
      </c>
      <c r="N38" s="226">
        <v>1.2500000000000001E-2</v>
      </c>
      <c r="O38" s="269">
        <f t="shared" si="1"/>
        <v>8.7499999999999994E-2</v>
      </c>
      <c r="P38" s="235">
        <v>4.7999999999999996E-3</v>
      </c>
      <c r="Q38" s="237">
        <v>2185050.9300000002</v>
      </c>
      <c r="R38" s="237">
        <v>2185050.9300000002</v>
      </c>
      <c r="S38" s="218">
        <v>3.7</v>
      </c>
      <c r="T38" s="219">
        <f t="shared" si="7"/>
        <v>38806.5045168</v>
      </c>
      <c r="U38" s="30">
        <f t="shared" si="2"/>
        <v>300</v>
      </c>
      <c r="V38" s="31">
        <f t="shared" si="3"/>
        <v>2.1666666666666665</v>
      </c>
      <c r="W38" s="30">
        <f t="shared" si="4"/>
        <v>297.83333333333331</v>
      </c>
      <c r="X38" s="220" t="s">
        <v>51</v>
      </c>
      <c r="Y38" s="139">
        <f t="shared" si="5"/>
        <v>0.05</v>
      </c>
      <c r="Z38" s="9">
        <f t="shared" si="6"/>
        <v>5</v>
      </c>
      <c r="AA38" s="9"/>
    </row>
    <row r="39" spans="1:34">
      <c r="A39" t="s">
        <v>1320</v>
      </c>
      <c r="B39" s="36">
        <v>4270299110</v>
      </c>
      <c r="C39" s="216"/>
      <c r="D39" s="29"/>
      <c r="E39" s="275" t="s">
        <v>2197</v>
      </c>
      <c r="F39" s="227" t="s">
        <v>2198</v>
      </c>
      <c r="G39" s="294" t="s">
        <v>343</v>
      </c>
      <c r="H39" s="214">
        <v>621111</v>
      </c>
      <c r="I39" s="271" t="s">
        <v>26</v>
      </c>
      <c r="J39" s="2" t="s">
        <v>0</v>
      </c>
      <c r="K39" s="267">
        <v>44827</v>
      </c>
      <c r="L39" s="267">
        <v>54143</v>
      </c>
      <c r="M39" s="268">
        <f t="shared" si="0"/>
        <v>45082</v>
      </c>
      <c r="N39" s="176">
        <v>0.02</v>
      </c>
      <c r="O39" s="269">
        <f t="shared" si="1"/>
        <v>9.5000000000000001E-2</v>
      </c>
      <c r="P39" s="236">
        <v>1.04E-2</v>
      </c>
      <c r="Q39" s="282">
        <v>585000</v>
      </c>
      <c r="R39" s="282">
        <v>585000</v>
      </c>
      <c r="S39" s="218">
        <v>3.7</v>
      </c>
      <c r="T39" s="219">
        <f t="shared" si="7"/>
        <v>22510.799999999999</v>
      </c>
      <c r="U39" s="30">
        <f t="shared" si="2"/>
        <v>306</v>
      </c>
      <c r="V39" s="31">
        <f t="shared" si="3"/>
        <v>8.3835616438356162</v>
      </c>
      <c r="W39" s="30">
        <f t="shared" si="4"/>
        <v>297.61643835616439</v>
      </c>
      <c r="X39" s="220" t="s">
        <v>98</v>
      </c>
      <c r="Y39" s="139">
        <f t="shared" si="5"/>
        <v>0.05</v>
      </c>
      <c r="Z39" s="9">
        <f t="shared" si="6"/>
        <v>5</v>
      </c>
      <c r="AA39" s="9"/>
    </row>
    <row r="40" spans="1:34">
      <c r="A40" t="s">
        <v>1320</v>
      </c>
      <c r="B40" s="36">
        <v>4334629102</v>
      </c>
      <c r="C40" s="216"/>
      <c r="D40" s="29"/>
      <c r="E40" s="242" t="s">
        <v>2199</v>
      </c>
      <c r="F40" s="227" t="s">
        <v>2200</v>
      </c>
      <c r="G40" s="294" t="s">
        <v>42</v>
      </c>
      <c r="H40" s="232">
        <v>457110</v>
      </c>
      <c r="I40" s="9" t="s">
        <v>26</v>
      </c>
      <c r="J40" s="2" t="s">
        <v>0</v>
      </c>
      <c r="K40" s="217">
        <v>44854</v>
      </c>
      <c r="L40" s="217">
        <v>53985</v>
      </c>
      <c r="M40" s="268">
        <f t="shared" si="0"/>
        <v>45082</v>
      </c>
      <c r="N40" s="176">
        <v>1.2500000000000001E-2</v>
      </c>
      <c r="O40" s="269">
        <f t="shared" si="1"/>
        <v>8.7499999999999994E-2</v>
      </c>
      <c r="P40" s="236">
        <v>2.3E-3</v>
      </c>
      <c r="Q40" s="238">
        <v>1181796.33</v>
      </c>
      <c r="R40" s="238">
        <v>1181796.33</v>
      </c>
      <c r="S40" s="218">
        <v>3.7</v>
      </c>
      <c r="T40" s="219">
        <f t="shared" si="7"/>
        <v>10057.0867683</v>
      </c>
      <c r="U40" s="30">
        <f t="shared" si="2"/>
        <v>300</v>
      </c>
      <c r="V40" s="31">
        <f t="shared" si="3"/>
        <v>7.4958904109589035</v>
      </c>
      <c r="W40" s="30">
        <f t="shared" si="4"/>
        <v>292.50410958904109</v>
      </c>
      <c r="X40" s="220"/>
      <c r="Y40" s="139">
        <f t="shared" si="5"/>
        <v>0.05</v>
      </c>
      <c r="Z40" s="9">
        <f t="shared" si="6"/>
        <v>5</v>
      </c>
      <c r="AA40" s="9"/>
    </row>
    <row r="41" spans="1:34">
      <c r="A41" t="s">
        <v>1320</v>
      </c>
      <c r="B41" s="36">
        <v>4403259103</v>
      </c>
      <c r="C41" s="216"/>
      <c r="D41" s="29"/>
      <c r="E41" s="32" t="s">
        <v>2201</v>
      </c>
      <c r="F41" s="32" t="s">
        <v>2202</v>
      </c>
      <c r="G41" s="293" t="s">
        <v>40</v>
      </c>
      <c r="H41" s="9">
        <v>812910</v>
      </c>
      <c r="I41" s="9" t="s">
        <v>26</v>
      </c>
      <c r="J41" s="2" t="s">
        <v>0</v>
      </c>
      <c r="K41" s="284">
        <v>44865</v>
      </c>
      <c r="L41" s="284">
        <v>54178</v>
      </c>
      <c r="M41" s="268">
        <f t="shared" si="0"/>
        <v>45082</v>
      </c>
      <c r="N41" s="226">
        <v>0.02</v>
      </c>
      <c r="O41" s="269">
        <f t="shared" si="1"/>
        <v>9.5000000000000001E-2</v>
      </c>
      <c r="P41" s="235">
        <v>1.5299999999999999E-2</v>
      </c>
      <c r="Q41" s="237">
        <v>227906.25</v>
      </c>
      <c r="R41" s="237">
        <v>227906.25</v>
      </c>
      <c r="S41" s="218">
        <v>3.7</v>
      </c>
      <c r="T41" s="219">
        <f t="shared" si="7"/>
        <v>12901.772812499999</v>
      </c>
      <c r="U41" s="30">
        <f t="shared" si="2"/>
        <v>305</v>
      </c>
      <c r="V41" s="31">
        <f t="shared" si="3"/>
        <v>7.1342465753424662</v>
      </c>
      <c r="W41" s="30">
        <f t="shared" si="4"/>
        <v>297.86575342465756</v>
      </c>
      <c r="X41" s="220" t="s">
        <v>108</v>
      </c>
      <c r="Y41" s="139">
        <f t="shared" si="5"/>
        <v>0.05</v>
      </c>
      <c r="Z41" s="9">
        <f t="shared" si="6"/>
        <v>5</v>
      </c>
      <c r="AA41" s="9"/>
      <c r="AH41" s="32"/>
    </row>
    <row r="42" spans="1:34">
      <c r="A42" t="s">
        <v>1320</v>
      </c>
      <c r="B42" s="221">
        <v>4404589110</v>
      </c>
      <c r="C42" s="216"/>
      <c r="D42" s="29"/>
      <c r="E42" s="275" t="s">
        <v>2203</v>
      </c>
      <c r="F42" s="227" t="s">
        <v>2204</v>
      </c>
      <c r="G42" s="294" t="s">
        <v>37</v>
      </c>
      <c r="H42" s="214">
        <v>621310</v>
      </c>
      <c r="I42" s="271" t="s">
        <v>26</v>
      </c>
      <c r="J42" s="2" t="s">
        <v>0</v>
      </c>
      <c r="K42" s="267">
        <v>44866</v>
      </c>
      <c r="L42" s="267">
        <v>53997</v>
      </c>
      <c r="M42" s="268">
        <f t="shared" si="0"/>
        <v>45082</v>
      </c>
      <c r="N42" s="176">
        <v>1.4999999999999999E-2</v>
      </c>
      <c r="O42" s="269">
        <f t="shared" si="1"/>
        <v>0.09</v>
      </c>
      <c r="P42" s="236">
        <v>4.7999999999999996E-3</v>
      </c>
      <c r="Q42" s="282">
        <v>889920.72</v>
      </c>
      <c r="R42" s="282">
        <v>889920.72</v>
      </c>
      <c r="S42" s="218">
        <v>3.7</v>
      </c>
      <c r="T42" s="219">
        <f t="shared" si="7"/>
        <v>15804.991987199997</v>
      </c>
      <c r="U42" s="30">
        <f t="shared" si="2"/>
        <v>300</v>
      </c>
      <c r="V42" s="31">
        <f t="shared" si="3"/>
        <v>7.1013698630136988</v>
      </c>
      <c r="W42" s="30">
        <f t="shared" si="4"/>
        <v>292.8986301369863</v>
      </c>
      <c r="X42" s="220" t="s">
        <v>162</v>
      </c>
      <c r="Y42" s="139">
        <f t="shared" si="5"/>
        <v>0.05</v>
      </c>
      <c r="Z42" s="9">
        <f t="shared" si="6"/>
        <v>5</v>
      </c>
      <c r="AA42" s="9">
        <f>IF(OR(H42=721110,H42=447110,H42=722511,H42=811192,H42=624410),1,0)</f>
        <v>0</v>
      </c>
      <c r="AH42" s="32"/>
    </row>
    <row r="43" spans="1:34">
      <c r="A43" t="s">
        <v>1320</v>
      </c>
      <c r="B43" s="221">
        <v>4515289106</v>
      </c>
      <c r="C43" s="216"/>
      <c r="D43" s="29"/>
      <c r="E43" s="2" t="s">
        <v>2205</v>
      </c>
      <c r="F43" s="32" t="s">
        <v>2206</v>
      </c>
      <c r="G43" s="293" t="s">
        <v>40</v>
      </c>
      <c r="H43" s="9">
        <v>445320</v>
      </c>
      <c r="I43" s="9" t="s">
        <v>26</v>
      </c>
      <c r="J43" s="2" t="s">
        <v>0</v>
      </c>
      <c r="K43" s="3">
        <v>44917</v>
      </c>
      <c r="L43" s="3">
        <v>54048</v>
      </c>
      <c r="M43" s="268">
        <f t="shared" si="0"/>
        <v>45082</v>
      </c>
      <c r="N43" s="222">
        <v>1.4999999999999999E-2</v>
      </c>
      <c r="O43" s="269">
        <f t="shared" si="1"/>
        <v>0.09</v>
      </c>
      <c r="P43" s="223">
        <v>4.7999999999999996E-3</v>
      </c>
      <c r="Q43" s="297">
        <v>3740590.23</v>
      </c>
      <c r="R43" s="297">
        <v>3740590.23</v>
      </c>
      <c r="S43" s="218">
        <v>3.7</v>
      </c>
      <c r="T43" s="219">
        <f t="shared" si="7"/>
        <v>66432.882484799993</v>
      </c>
      <c r="U43" s="30">
        <f t="shared" si="2"/>
        <v>300</v>
      </c>
      <c r="V43" s="31">
        <f t="shared" si="3"/>
        <v>5.4246575342465748</v>
      </c>
      <c r="W43" s="30">
        <f t="shared" si="4"/>
        <v>294.57534246575341</v>
      </c>
      <c r="X43" s="220"/>
      <c r="Y43" s="139">
        <f t="shared" si="5"/>
        <v>0.05</v>
      </c>
      <c r="Z43" s="9">
        <f t="shared" si="6"/>
        <v>5</v>
      </c>
      <c r="AA43" s="9">
        <f>IF(OR(H43=721110,H43=447110,H43=722511,H43=811192,H43=624410),1,0)</f>
        <v>0</v>
      </c>
    </row>
    <row r="44" spans="1:34">
      <c r="A44" t="s">
        <v>1320</v>
      </c>
      <c r="B44" s="221">
        <v>4630419103</v>
      </c>
      <c r="C44" s="216"/>
      <c r="D44" s="29"/>
      <c r="E44" s="275" t="s">
        <v>2207</v>
      </c>
      <c r="F44" s="227" t="s">
        <v>2208</v>
      </c>
      <c r="G44" s="294" t="s">
        <v>60</v>
      </c>
      <c r="H44" s="214">
        <v>423130</v>
      </c>
      <c r="I44" s="271" t="s">
        <v>26</v>
      </c>
      <c r="J44" s="2" t="s">
        <v>0</v>
      </c>
      <c r="K44" s="267">
        <v>44943</v>
      </c>
      <c r="L44" s="267">
        <v>54074</v>
      </c>
      <c r="M44" s="268">
        <f t="shared" si="0"/>
        <v>45082</v>
      </c>
      <c r="N44" s="176">
        <v>1.2500000000000001E-2</v>
      </c>
      <c r="O44" s="269">
        <f t="shared" si="1"/>
        <v>8.7499999999999994E-2</v>
      </c>
      <c r="P44" s="236">
        <v>2.3E-3</v>
      </c>
      <c r="Q44" s="282">
        <v>1891818.92</v>
      </c>
      <c r="R44" s="282">
        <v>1891818.92</v>
      </c>
      <c r="S44" s="218">
        <v>3.7</v>
      </c>
      <c r="T44" s="219">
        <f t="shared" si="7"/>
        <v>16099.3790092</v>
      </c>
      <c r="U44" s="30">
        <f t="shared" si="2"/>
        <v>300</v>
      </c>
      <c r="V44" s="31">
        <f t="shared" si="3"/>
        <v>4.5698630136986296</v>
      </c>
      <c r="W44" s="30">
        <f t="shared" si="4"/>
        <v>295.43013698630136</v>
      </c>
      <c r="X44" s="220" t="s">
        <v>847</v>
      </c>
      <c r="Y44" s="139">
        <f t="shared" si="5"/>
        <v>0.05</v>
      </c>
      <c r="Z44" s="9">
        <f t="shared" si="6"/>
        <v>5</v>
      </c>
      <c r="AA44" s="9">
        <f>IF(OR(H44=721110,H44=447110,H44=722511,H44=811192,H44=624410),1,0)</f>
        <v>0</v>
      </c>
    </row>
    <row r="45" spans="1:34">
      <c r="A45" t="s">
        <v>1320</v>
      </c>
      <c r="B45" s="36">
        <v>4804159109</v>
      </c>
      <c r="C45" s="216"/>
      <c r="D45" s="29"/>
      <c r="E45" s="32" t="s">
        <v>2209</v>
      </c>
      <c r="F45" s="32" t="s">
        <v>2210</v>
      </c>
      <c r="G45" s="293" t="s">
        <v>42</v>
      </c>
      <c r="H45" s="9">
        <v>457110</v>
      </c>
      <c r="I45" s="9" t="s">
        <v>26</v>
      </c>
      <c r="J45" s="2" t="s">
        <v>0</v>
      </c>
      <c r="K45" s="284">
        <v>45050</v>
      </c>
      <c r="L45" s="284">
        <v>54182</v>
      </c>
      <c r="M45" s="268">
        <f t="shared" si="0"/>
        <v>45082</v>
      </c>
      <c r="N45" s="226">
        <v>1.4999999999999999E-2</v>
      </c>
      <c r="O45" s="269">
        <f t="shared" si="1"/>
        <v>0.09</v>
      </c>
      <c r="P45" s="235">
        <v>4.7999999999999996E-3</v>
      </c>
      <c r="Q45" s="237">
        <v>1850250</v>
      </c>
      <c r="R45" s="237">
        <v>1850250</v>
      </c>
      <c r="S45" s="218">
        <v>3.7</v>
      </c>
      <c r="T45" s="219">
        <f t="shared" si="7"/>
        <v>32860.439999999995</v>
      </c>
      <c r="U45" s="30">
        <f t="shared" si="2"/>
        <v>300</v>
      </c>
      <c r="V45" s="31">
        <f t="shared" si="3"/>
        <v>1.0520547945205481</v>
      </c>
      <c r="W45" s="30">
        <f t="shared" si="4"/>
        <v>298.94794520547947</v>
      </c>
      <c r="X45" s="220"/>
      <c r="Y45" s="139">
        <f t="shared" si="5"/>
        <v>0.05</v>
      </c>
      <c r="Z45" s="9">
        <f t="shared" si="6"/>
        <v>5</v>
      </c>
      <c r="AA45" s="9"/>
    </row>
    <row r="46" spans="1:34">
      <c r="A46" t="s">
        <v>1320</v>
      </c>
      <c r="B46" s="36">
        <v>4854959100</v>
      </c>
      <c r="C46" s="216"/>
      <c r="D46" s="29"/>
      <c r="E46" s="32" t="s">
        <v>2211</v>
      </c>
      <c r="F46" s="32" t="s">
        <v>2212</v>
      </c>
      <c r="G46" s="293" t="s">
        <v>31</v>
      </c>
      <c r="H46" s="9">
        <v>811111</v>
      </c>
      <c r="I46" s="9" t="s">
        <v>26</v>
      </c>
      <c r="J46" s="2" t="s">
        <v>0</v>
      </c>
      <c r="K46" s="284">
        <v>44987</v>
      </c>
      <c r="L46" s="284">
        <v>54119</v>
      </c>
      <c r="M46" s="268">
        <f t="shared" ref="M46:M77" si="8">MAX($M$8-50,K46)</f>
        <v>45082</v>
      </c>
      <c r="N46" s="226">
        <v>0.03</v>
      </c>
      <c r="O46" s="269">
        <f t="shared" ref="O46:O77" si="9">$N$5+N46</f>
        <v>0.105</v>
      </c>
      <c r="P46" s="235">
        <v>1.9800000000000002E-2</v>
      </c>
      <c r="Q46" s="237">
        <v>639300</v>
      </c>
      <c r="R46" s="237">
        <v>639300</v>
      </c>
      <c r="S46" s="218">
        <v>3.7</v>
      </c>
      <c r="T46" s="219">
        <f t="shared" ref="T46:T77" si="10">S46*R46*P46</f>
        <v>46835.118000000002</v>
      </c>
      <c r="U46" s="30">
        <f t="shared" ref="U46:U77" si="11">DATEDIF(K46,L46,"M")</f>
        <v>300</v>
      </c>
      <c r="V46" s="31">
        <f t="shared" ref="V46:V77" si="12">IF(R46=0,0,IF(J46=$AA$8,_xlfn.DAYS(M46,K46)/365*12,DAYS360(K46,M46)/360*12))</f>
        <v>3.1232876712328768</v>
      </c>
      <c r="W46" s="30">
        <f t="shared" ref="W46:W77" si="13">U46-V46</f>
        <v>296.8767123287671</v>
      </c>
      <c r="X46" s="220" t="s">
        <v>100</v>
      </c>
      <c r="Y46" s="139">
        <f t="shared" ref="Y46:Y77" si="14">IF(U46&gt;=180,IF(V46&lt;=12,5%,IF(AND(V46&gt;12,V46&lt;24),3%,IF(AND(V46&gt;24,V46&lt;36),1%,0%))),0%)</f>
        <v>0.05</v>
      </c>
      <c r="Z46" s="9">
        <f t="shared" ref="Z46:Z77" si="15">IF(AND(U46&gt;=$AE$2,U46&lt;=$AF$2),1,IF(AND(U46&gt;$AE$3,U46&lt;=$AF$3),2,IF(AND(U46&gt;$AE$4,U46&lt;=$AF$4),3,IF(AND(U46&gt;$AE$5,U46&lt;=$AF$5),4,IF(AND(U46&gt;$AE$6,U46&lt;=$AF$6),5,"")))))</f>
        <v>5</v>
      </c>
      <c r="AA46" s="9"/>
    </row>
    <row r="47" spans="1:34">
      <c r="A47" t="s">
        <v>1320</v>
      </c>
      <c r="B47" s="36">
        <v>4857539109</v>
      </c>
      <c r="C47" s="216"/>
      <c r="D47" s="29"/>
      <c r="E47" s="275" t="s">
        <v>2213</v>
      </c>
      <c r="F47" s="227" t="s">
        <v>2214</v>
      </c>
      <c r="G47" s="294" t="s">
        <v>40</v>
      </c>
      <c r="H47" s="214">
        <v>811198</v>
      </c>
      <c r="I47" s="271" t="s">
        <v>26</v>
      </c>
      <c r="J47" s="2" t="s">
        <v>0</v>
      </c>
      <c r="K47" s="267">
        <v>45016</v>
      </c>
      <c r="L47" s="267">
        <v>54148</v>
      </c>
      <c r="M47" s="268">
        <f t="shared" si="8"/>
        <v>45082</v>
      </c>
      <c r="N47" s="176">
        <v>0.03</v>
      </c>
      <c r="O47" s="269">
        <f t="shared" si="9"/>
        <v>0.105</v>
      </c>
      <c r="P47" s="236">
        <v>2.53E-2</v>
      </c>
      <c r="Q47" s="282">
        <v>187500</v>
      </c>
      <c r="R47" s="282">
        <v>187500</v>
      </c>
      <c r="S47" s="218">
        <v>3.7</v>
      </c>
      <c r="T47" s="219">
        <f t="shared" si="10"/>
        <v>17551.875</v>
      </c>
      <c r="U47" s="30">
        <f t="shared" si="11"/>
        <v>300</v>
      </c>
      <c r="V47" s="31">
        <f t="shared" si="12"/>
        <v>2.1698630136986301</v>
      </c>
      <c r="W47" s="30">
        <f t="shared" si="13"/>
        <v>297.8301369863014</v>
      </c>
      <c r="X47" s="220" t="s">
        <v>66</v>
      </c>
      <c r="Y47" s="139">
        <f t="shared" si="14"/>
        <v>0.05</v>
      </c>
      <c r="Z47" s="9">
        <f t="shared" si="15"/>
        <v>5</v>
      </c>
      <c r="AA47" s="9"/>
    </row>
    <row r="48" spans="1:34">
      <c r="A48" t="s">
        <v>1320</v>
      </c>
      <c r="B48" s="221">
        <v>4870339102</v>
      </c>
      <c r="C48" s="216"/>
      <c r="D48" s="29"/>
      <c r="E48" s="275" t="s">
        <v>2215</v>
      </c>
      <c r="F48" s="227" t="s">
        <v>2216</v>
      </c>
      <c r="G48" s="294" t="s">
        <v>49</v>
      </c>
      <c r="H48" s="214">
        <v>621391</v>
      </c>
      <c r="I48" s="271" t="s">
        <v>26</v>
      </c>
      <c r="J48" s="2" t="s">
        <v>0</v>
      </c>
      <c r="K48" s="267">
        <v>45022</v>
      </c>
      <c r="L48" s="267">
        <v>54154</v>
      </c>
      <c r="M48" s="268">
        <f t="shared" si="8"/>
        <v>45082</v>
      </c>
      <c r="N48" s="176">
        <v>2.75E-2</v>
      </c>
      <c r="O48" s="269">
        <f t="shared" si="9"/>
        <v>0.10249999999999999</v>
      </c>
      <c r="P48" s="236">
        <v>2.2800000000000001E-2</v>
      </c>
      <c r="Q48" s="282">
        <v>262500</v>
      </c>
      <c r="R48" s="282">
        <v>262500</v>
      </c>
      <c r="S48" s="218">
        <v>3.7</v>
      </c>
      <c r="T48" s="219">
        <f t="shared" si="10"/>
        <v>22144.5</v>
      </c>
      <c r="U48" s="30">
        <f t="shared" si="11"/>
        <v>300</v>
      </c>
      <c r="V48" s="31">
        <f t="shared" si="12"/>
        <v>1.9726027397260273</v>
      </c>
      <c r="W48" s="30">
        <f t="shared" si="13"/>
        <v>298.02739726027397</v>
      </c>
      <c r="X48" s="220" t="s">
        <v>1123</v>
      </c>
      <c r="Y48" s="139">
        <f t="shared" si="14"/>
        <v>0.05</v>
      </c>
      <c r="Z48" s="9">
        <f t="shared" si="15"/>
        <v>5</v>
      </c>
      <c r="AA48" s="9">
        <f>IF(OR(H48=721110,H48=447110,H48=722511,H48=811192,H48=624410),1,0)</f>
        <v>0</v>
      </c>
    </row>
    <row r="49" spans="1:34">
      <c r="A49" t="s">
        <v>1320</v>
      </c>
      <c r="B49" s="36">
        <v>4894749101</v>
      </c>
      <c r="C49" s="216"/>
      <c r="D49" s="29"/>
      <c r="E49" s="2" t="s">
        <v>2217</v>
      </c>
      <c r="F49" s="32" t="s">
        <v>2218</v>
      </c>
      <c r="G49" s="293" t="s">
        <v>52</v>
      </c>
      <c r="H49" s="9">
        <v>447100</v>
      </c>
      <c r="I49" s="9" t="s">
        <v>26</v>
      </c>
      <c r="J49" s="2" t="s">
        <v>0</v>
      </c>
      <c r="K49" s="3">
        <v>44994</v>
      </c>
      <c r="L49" s="3">
        <v>54126</v>
      </c>
      <c r="M49" s="268">
        <f t="shared" si="8"/>
        <v>45082</v>
      </c>
      <c r="N49" s="222">
        <v>1.4999999999999999E-2</v>
      </c>
      <c r="O49" s="269">
        <f t="shared" si="9"/>
        <v>0.09</v>
      </c>
      <c r="P49" s="223">
        <v>4.7999999999999996E-3</v>
      </c>
      <c r="Q49" s="297">
        <v>2790000</v>
      </c>
      <c r="R49" s="297">
        <v>2790000</v>
      </c>
      <c r="S49" s="218">
        <v>3.7</v>
      </c>
      <c r="T49" s="219">
        <f t="shared" si="10"/>
        <v>49550.399999999994</v>
      </c>
      <c r="U49" s="30">
        <f t="shared" si="11"/>
        <v>300</v>
      </c>
      <c r="V49" s="31">
        <f t="shared" si="12"/>
        <v>2.893150684931507</v>
      </c>
      <c r="W49" s="30">
        <f t="shared" si="13"/>
        <v>297.10684931506847</v>
      </c>
      <c r="X49" s="220"/>
      <c r="Y49" s="139">
        <f t="shared" si="14"/>
        <v>0.05</v>
      </c>
      <c r="Z49" s="9">
        <f t="shared" si="15"/>
        <v>5</v>
      </c>
      <c r="AA49" s="9">
        <f>IF(OR(H49=721110,H49=447110,H49=722511,H49=811192,H49=624410),1,0)</f>
        <v>0</v>
      </c>
    </row>
    <row r="50" spans="1:34">
      <c r="A50" t="s">
        <v>1320</v>
      </c>
      <c r="B50" s="36">
        <v>4895479105</v>
      </c>
      <c r="C50" s="216"/>
      <c r="D50" s="29"/>
      <c r="E50" s="2" t="s">
        <v>2219</v>
      </c>
      <c r="F50" s="32" t="s">
        <v>2220</v>
      </c>
      <c r="G50" s="293" t="s">
        <v>52</v>
      </c>
      <c r="H50" s="9">
        <v>722511</v>
      </c>
      <c r="I50" s="9" t="s">
        <v>26</v>
      </c>
      <c r="J50" s="2" t="s">
        <v>0</v>
      </c>
      <c r="K50" s="3">
        <v>45002</v>
      </c>
      <c r="L50" s="3">
        <v>54140</v>
      </c>
      <c r="M50" s="268">
        <f t="shared" si="8"/>
        <v>45082</v>
      </c>
      <c r="N50" s="222">
        <v>1.2500000000000001E-2</v>
      </c>
      <c r="O50" s="269">
        <f t="shared" si="9"/>
        <v>8.7499999999999994E-2</v>
      </c>
      <c r="P50" s="223">
        <v>2.3E-3</v>
      </c>
      <c r="Q50" s="297">
        <v>2007750</v>
      </c>
      <c r="R50" s="297">
        <v>2007750</v>
      </c>
      <c r="S50" s="218">
        <v>3.7</v>
      </c>
      <c r="T50" s="219">
        <f t="shared" si="10"/>
        <v>17085.952499999999</v>
      </c>
      <c r="U50" s="30">
        <f t="shared" si="11"/>
        <v>300</v>
      </c>
      <c r="V50" s="31">
        <f t="shared" si="12"/>
        <v>2.6301369863013697</v>
      </c>
      <c r="W50" s="30">
        <f t="shared" si="13"/>
        <v>297.36986301369865</v>
      </c>
      <c r="X50" s="220" t="s">
        <v>86</v>
      </c>
      <c r="Y50" s="139">
        <f t="shared" si="14"/>
        <v>0.05</v>
      </c>
      <c r="Z50" s="9">
        <f t="shared" si="15"/>
        <v>5</v>
      </c>
      <c r="AA50" s="9">
        <f>IF(OR(H50=721110,H50=447110,H50=722511,H50=811192,H50=624410),1,0)</f>
        <v>1</v>
      </c>
    </row>
    <row r="51" spans="1:34">
      <c r="A51" t="s">
        <v>1320</v>
      </c>
      <c r="B51" s="36">
        <v>4896119104</v>
      </c>
      <c r="C51" s="216"/>
      <c r="D51" s="29"/>
      <c r="E51" s="32" t="s">
        <v>2221</v>
      </c>
      <c r="F51" s="32" t="s">
        <v>2222</v>
      </c>
      <c r="G51" s="293" t="s">
        <v>74</v>
      </c>
      <c r="H51" s="9">
        <v>541211</v>
      </c>
      <c r="I51" s="9" t="s">
        <v>26</v>
      </c>
      <c r="J51" s="2" t="s">
        <v>0</v>
      </c>
      <c r="K51" s="284">
        <v>44995</v>
      </c>
      <c r="L51" s="284">
        <v>54127</v>
      </c>
      <c r="M51" s="268">
        <f t="shared" si="8"/>
        <v>45082</v>
      </c>
      <c r="N51" s="226">
        <v>0.02</v>
      </c>
      <c r="O51" s="269">
        <f t="shared" si="9"/>
        <v>9.5000000000000001E-2</v>
      </c>
      <c r="P51" s="235">
        <v>9.7999999999999997E-3</v>
      </c>
      <c r="Q51" s="281">
        <v>3187500</v>
      </c>
      <c r="R51" s="281">
        <v>3187500</v>
      </c>
      <c r="S51" s="218">
        <v>3.7</v>
      </c>
      <c r="T51" s="219">
        <f t="shared" si="10"/>
        <v>115578.75</v>
      </c>
      <c r="U51" s="30">
        <f t="shared" si="11"/>
        <v>300</v>
      </c>
      <c r="V51" s="31">
        <f t="shared" si="12"/>
        <v>2.8602739726027395</v>
      </c>
      <c r="W51" s="30">
        <f t="shared" si="13"/>
        <v>297.13972602739727</v>
      </c>
      <c r="X51" s="220" t="s">
        <v>32</v>
      </c>
      <c r="Y51" s="139">
        <f t="shared" si="14"/>
        <v>0.05</v>
      </c>
      <c r="Z51" s="9">
        <f t="shared" si="15"/>
        <v>5</v>
      </c>
      <c r="AA51" s="9"/>
    </row>
    <row r="52" spans="1:34">
      <c r="A52" t="s">
        <v>1320</v>
      </c>
      <c r="B52" s="36">
        <v>4896269103</v>
      </c>
      <c r="C52" s="216"/>
      <c r="D52" s="29"/>
      <c r="E52" s="32" t="s">
        <v>2223</v>
      </c>
      <c r="F52" s="32" t="s">
        <v>2224</v>
      </c>
      <c r="G52" s="293" t="s">
        <v>40</v>
      </c>
      <c r="H52" s="9">
        <v>811198</v>
      </c>
      <c r="I52" s="9" t="s">
        <v>26</v>
      </c>
      <c r="J52" s="2" t="s">
        <v>0</v>
      </c>
      <c r="K52" s="3">
        <v>45021</v>
      </c>
      <c r="L52" s="3">
        <v>54153</v>
      </c>
      <c r="M52" s="268">
        <f t="shared" si="8"/>
        <v>45082</v>
      </c>
      <c r="N52" s="222">
        <v>2.5000000000000001E-2</v>
      </c>
      <c r="O52" s="269">
        <f t="shared" si="9"/>
        <v>0.1</v>
      </c>
      <c r="P52" s="223">
        <v>1.4800000000000001E-2</v>
      </c>
      <c r="Q52" s="298">
        <v>459600</v>
      </c>
      <c r="R52" s="298">
        <v>459600</v>
      </c>
      <c r="S52" s="218">
        <v>3.7</v>
      </c>
      <c r="T52" s="219">
        <f t="shared" si="10"/>
        <v>25167.696</v>
      </c>
      <c r="U52" s="30">
        <f t="shared" si="11"/>
        <v>300</v>
      </c>
      <c r="V52" s="31">
        <f t="shared" si="12"/>
        <v>2.0054794520547947</v>
      </c>
      <c r="W52" s="30">
        <f t="shared" si="13"/>
        <v>297.99452054794523</v>
      </c>
      <c r="X52" s="220" t="s">
        <v>66</v>
      </c>
      <c r="Y52" s="139">
        <f t="shared" si="14"/>
        <v>0.05</v>
      </c>
      <c r="Z52" s="9">
        <f t="shared" si="15"/>
        <v>5</v>
      </c>
      <c r="AA52" s="9"/>
    </row>
    <row r="53" spans="1:34">
      <c r="A53" t="s">
        <v>1320</v>
      </c>
      <c r="B53" s="36">
        <v>4897359108</v>
      </c>
      <c r="C53" s="216"/>
      <c r="D53" s="29"/>
      <c r="E53" s="32" t="s">
        <v>2225</v>
      </c>
      <c r="F53" s="32" t="s">
        <v>2226</v>
      </c>
      <c r="G53" s="293" t="s">
        <v>87</v>
      </c>
      <c r="H53" s="9">
        <v>524210</v>
      </c>
      <c r="I53" s="9" t="s">
        <v>26</v>
      </c>
      <c r="J53" s="2" t="s">
        <v>0</v>
      </c>
      <c r="K53" s="284">
        <v>45013</v>
      </c>
      <c r="L53" s="284">
        <v>54145</v>
      </c>
      <c r="M53" s="268">
        <f t="shared" si="8"/>
        <v>45082</v>
      </c>
      <c r="N53" s="226">
        <v>2.3300000000000001E-2</v>
      </c>
      <c r="O53" s="269">
        <f t="shared" si="9"/>
        <v>9.8299999999999998E-2</v>
      </c>
      <c r="P53" s="235">
        <v>1.8599999999999998E-2</v>
      </c>
      <c r="Q53" s="237">
        <v>192975</v>
      </c>
      <c r="R53" s="237">
        <v>192975</v>
      </c>
      <c r="S53" s="218">
        <v>3.7</v>
      </c>
      <c r="T53" s="219">
        <f t="shared" si="10"/>
        <v>13280.539499999999</v>
      </c>
      <c r="U53" s="30">
        <f t="shared" si="11"/>
        <v>300</v>
      </c>
      <c r="V53" s="31">
        <f t="shared" si="12"/>
        <v>2.2684931506849315</v>
      </c>
      <c r="W53" s="30">
        <f t="shared" si="13"/>
        <v>297.73150684931505</v>
      </c>
      <c r="X53" s="220" t="s">
        <v>80</v>
      </c>
      <c r="Y53" s="139">
        <f t="shared" si="14"/>
        <v>0.05</v>
      </c>
      <c r="Z53" s="9">
        <f t="shared" si="15"/>
        <v>5</v>
      </c>
      <c r="AA53" s="9"/>
      <c r="AH53" s="32"/>
    </row>
    <row r="54" spans="1:34">
      <c r="A54" t="s">
        <v>1320</v>
      </c>
      <c r="B54" s="36">
        <v>4903219109</v>
      </c>
      <c r="C54" s="216"/>
      <c r="D54" s="29"/>
      <c r="E54" s="242" t="s">
        <v>2227</v>
      </c>
      <c r="F54" s="227" t="s">
        <v>2228</v>
      </c>
      <c r="G54" s="294" t="s">
        <v>52</v>
      </c>
      <c r="H54" s="232">
        <v>622110</v>
      </c>
      <c r="I54" s="9" t="s">
        <v>26</v>
      </c>
      <c r="J54" s="2" t="s">
        <v>0</v>
      </c>
      <c r="K54" s="217">
        <v>45019</v>
      </c>
      <c r="L54" s="217">
        <v>54151</v>
      </c>
      <c r="M54" s="268">
        <f t="shared" si="8"/>
        <v>45082</v>
      </c>
      <c r="N54" s="176">
        <v>0.02</v>
      </c>
      <c r="O54" s="269">
        <f t="shared" si="9"/>
        <v>9.5000000000000001E-2</v>
      </c>
      <c r="P54" s="236">
        <v>9.7999999999999997E-3</v>
      </c>
      <c r="Q54" s="282">
        <v>3750000</v>
      </c>
      <c r="R54" s="282">
        <v>3750000</v>
      </c>
      <c r="S54" s="218">
        <v>3.7</v>
      </c>
      <c r="T54" s="219">
        <f t="shared" si="10"/>
        <v>135975</v>
      </c>
      <c r="U54" s="30">
        <f t="shared" si="11"/>
        <v>300</v>
      </c>
      <c r="V54" s="31">
        <f t="shared" si="12"/>
        <v>2.0712328767123287</v>
      </c>
      <c r="W54" s="30">
        <f t="shared" si="13"/>
        <v>297.92876712328768</v>
      </c>
      <c r="X54" s="220" t="s">
        <v>1132</v>
      </c>
      <c r="Y54" s="139">
        <f t="shared" si="14"/>
        <v>0.05</v>
      </c>
      <c r="Z54" s="9">
        <f t="shared" si="15"/>
        <v>5</v>
      </c>
      <c r="AA54" s="9"/>
    </row>
    <row r="55" spans="1:34">
      <c r="A55" t="s">
        <v>1320</v>
      </c>
      <c r="B55" s="36">
        <v>4910729107</v>
      </c>
      <c r="C55" s="216"/>
      <c r="D55" s="29"/>
      <c r="E55" s="32" t="s">
        <v>2229</v>
      </c>
      <c r="F55" s="32" t="s">
        <v>2230</v>
      </c>
      <c r="G55" s="293" t="s">
        <v>60</v>
      </c>
      <c r="H55" s="9">
        <v>424990</v>
      </c>
      <c r="I55" s="9" t="s">
        <v>26</v>
      </c>
      <c r="J55" s="2" t="s">
        <v>0</v>
      </c>
      <c r="K55" s="284">
        <v>45005</v>
      </c>
      <c r="L55" s="284">
        <v>54141</v>
      </c>
      <c r="M55" s="268">
        <f t="shared" si="8"/>
        <v>45082</v>
      </c>
      <c r="N55" s="226">
        <v>1.4999999999999999E-2</v>
      </c>
      <c r="O55" s="269">
        <f t="shared" si="9"/>
        <v>0.09</v>
      </c>
      <c r="P55" s="235">
        <v>4.7999999999999996E-3</v>
      </c>
      <c r="Q55" s="237">
        <v>3590811.78</v>
      </c>
      <c r="R55" s="237">
        <v>3590811.78</v>
      </c>
      <c r="S55" s="218">
        <v>3.7</v>
      </c>
      <c r="T55" s="219">
        <f t="shared" si="10"/>
        <v>63772.817212799993</v>
      </c>
      <c r="U55" s="30">
        <f t="shared" si="11"/>
        <v>300</v>
      </c>
      <c r="V55" s="31">
        <f t="shared" si="12"/>
        <v>2.5315068493150683</v>
      </c>
      <c r="W55" s="30">
        <f t="shared" si="13"/>
        <v>297.46849315068494</v>
      </c>
      <c r="X55" s="220" t="s">
        <v>214</v>
      </c>
      <c r="Y55" s="139">
        <f t="shared" si="14"/>
        <v>0.05</v>
      </c>
      <c r="Z55" s="9">
        <f t="shared" si="15"/>
        <v>5</v>
      </c>
      <c r="AA55" s="9"/>
    </row>
    <row r="56" spans="1:34">
      <c r="A56" t="s">
        <v>1320</v>
      </c>
      <c r="B56" s="36">
        <v>4921509106</v>
      </c>
      <c r="C56" s="216"/>
      <c r="D56" s="29"/>
      <c r="E56" s="2" t="s">
        <v>2231</v>
      </c>
      <c r="F56" s="32" t="s">
        <v>2232</v>
      </c>
      <c r="G56" s="293" t="s">
        <v>49</v>
      </c>
      <c r="H56" s="9">
        <v>812990</v>
      </c>
      <c r="I56" s="9" t="s">
        <v>26</v>
      </c>
      <c r="J56" s="2" t="s">
        <v>0</v>
      </c>
      <c r="K56" s="3">
        <v>45044</v>
      </c>
      <c r="L56" s="3">
        <v>54176</v>
      </c>
      <c r="M56" s="268">
        <f t="shared" si="8"/>
        <v>45082</v>
      </c>
      <c r="N56" s="222">
        <v>2.2499999999999999E-2</v>
      </c>
      <c r="O56" s="269">
        <f t="shared" si="9"/>
        <v>9.7500000000000003E-2</v>
      </c>
      <c r="P56" s="223">
        <v>1.23E-2</v>
      </c>
      <c r="Q56" s="297">
        <v>450000</v>
      </c>
      <c r="R56" s="297">
        <v>450000</v>
      </c>
      <c r="S56" s="218">
        <v>3.7</v>
      </c>
      <c r="T56" s="219">
        <f t="shared" si="10"/>
        <v>20479.5</v>
      </c>
      <c r="U56" s="30">
        <f t="shared" si="11"/>
        <v>300</v>
      </c>
      <c r="V56" s="31">
        <f t="shared" si="12"/>
        <v>1.2493150684931507</v>
      </c>
      <c r="W56" s="30">
        <f t="shared" si="13"/>
        <v>298.75068493150684</v>
      </c>
      <c r="X56" s="220" t="s">
        <v>164</v>
      </c>
      <c r="Y56" s="139">
        <f t="shared" si="14"/>
        <v>0.05</v>
      </c>
      <c r="Z56" s="9">
        <f t="shared" si="15"/>
        <v>5</v>
      </c>
      <c r="AA56" s="9"/>
    </row>
    <row r="57" spans="1:34">
      <c r="A57" t="s">
        <v>1320</v>
      </c>
      <c r="B57" s="36">
        <v>4928279101</v>
      </c>
      <c r="C57" s="216"/>
      <c r="D57" s="29"/>
      <c r="E57" s="32" t="s">
        <v>2233</v>
      </c>
      <c r="F57" s="32" t="s">
        <v>2234</v>
      </c>
      <c r="G57" s="293" t="s">
        <v>52</v>
      </c>
      <c r="H57" s="9">
        <v>721110</v>
      </c>
      <c r="I57" s="9" t="s">
        <v>26</v>
      </c>
      <c r="J57" s="2" t="s">
        <v>0</v>
      </c>
      <c r="K57" s="284">
        <v>45019</v>
      </c>
      <c r="L57" s="284">
        <v>54151</v>
      </c>
      <c r="M57" s="268">
        <f t="shared" si="8"/>
        <v>45082</v>
      </c>
      <c r="N57" s="226">
        <v>0.02</v>
      </c>
      <c r="O57" s="269">
        <f t="shared" si="9"/>
        <v>9.5000000000000001E-2</v>
      </c>
      <c r="P57" s="235">
        <v>9.7999999999999997E-3</v>
      </c>
      <c r="Q57" s="237">
        <v>1203750</v>
      </c>
      <c r="R57" s="237">
        <v>1203750</v>
      </c>
      <c r="S57" s="218">
        <v>3.7</v>
      </c>
      <c r="T57" s="219">
        <f t="shared" si="10"/>
        <v>43647.974999999999</v>
      </c>
      <c r="U57" s="30">
        <f t="shared" si="11"/>
        <v>300</v>
      </c>
      <c r="V57" s="31">
        <f t="shared" si="12"/>
        <v>2.0712328767123287</v>
      </c>
      <c r="W57" s="30">
        <f t="shared" si="13"/>
        <v>297.92876712328768</v>
      </c>
      <c r="X57" s="220" t="s">
        <v>51</v>
      </c>
      <c r="Y57" s="139">
        <f t="shared" si="14"/>
        <v>0.05</v>
      </c>
      <c r="Z57" s="9">
        <f t="shared" si="15"/>
        <v>5</v>
      </c>
      <c r="AA57" s="9"/>
    </row>
    <row r="58" spans="1:34">
      <c r="A58" t="s">
        <v>1320</v>
      </c>
      <c r="B58" s="36">
        <v>4935729103</v>
      </c>
      <c r="C58" s="216"/>
      <c r="D58" s="29"/>
      <c r="E58" s="2" t="s">
        <v>2235</v>
      </c>
      <c r="F58" s="32" t="s">
        <v>2236</v>
      </c>
      <c r="G58" s="293" t="s">
        <v>49</v>
      </c>
      <c r="H58" s="9">
        <v>238190</v>
      </c>
      <c r="I58" s="9" t="s">
        <v>26</v>
      </c>
      <c r="J58" s="2" t="s">
        <v>0</v>
      </c>
      <c r="K58" s="3">
        <v>45012</v>
      </c>
      <c r="L58" s="3">
        <v>54148</v>
      </c>
      <c r="M58" s="268">
        <f t="shared" si="8"/>
        <v>45082</v>
      </c>
      <c r="N58" s="222">
        <v>2.75E-2</v>
      </c>
      <c r="O58" s="269">
        <f t="shared" si="9"/>
        <v>0.10249999999999999</v>
      </c>
      <c r="P58" s="223">
        <v>1.7299999999999999E-2</v>
      </c>
      <c r="Q58" s="297">
        <v>2591250</v>
      </c>
      <c r="R58" s="297">
        <v>2591250</v>
      </c>
      <c r="S58" s="218">
        <v>3.7</v>
      </c>
      <c r="T58" s="219">
        <f t="shared" si="10"/>
        <v>165865.91250000001</v>
      </c>
      <c r="U58" s="30">
        <f t="shared" si="11"/>
        <v>300</v>
      </c>
      <c r="V58" s="31">
        <f t="shared" si="12"/>
        <v>2.3013698630136985</v>
      </c>
      <c r="W58" s="30">
        <f t="shared" si="13"/>
        <v>297.69863013698631</v>
      </c>
      <c r="X58" s="220" t="s">
        <v>494</v>
      </c>
      <c r="Y58" s="139">
        <f t="shared" si="14"/>
        <v>0.05</v>
      </c>
      <c r="Z58" s="9">
        <f t="shared" si="15"/>
        <v>5</v>
      </c>
      <c r="AA58" s="9">
        <f>IF(OR(H58=721110,H58=447110,H58=722511,H58=811192,H58=624410),1,0)</f>
        <v>0</v>
      </c>
    </row>
    <row r="59" spans="1:34">
      <c r="A59" t="s">
        <v>1320</v>
      </c>
      <c r="B59" s="215">
        <v>4938609108</v>
      </c>
      <c r="C59" s="216"/>
      <c r="D59" s="29"/>
      <c r="E59" s="2" t="s">
        <v>2237</v>
      </c>
      <c r="F59" s="32" t="s">
        <v>2238</v>
      </c>
      <c r="G59" s="293" t="s">
        <v>54</v>
      </c>
      <c r="H59" s="9">
        <v>623312</v>
      </c>
      <c r="I59" s="9" t="s">
        <v>26</v>
      </c>
      <c r="J59" s="2" t="s">
        <v>0</v>
      </c>
      <c r="K59" s="3">
        <v>45023</v>
      </c>
      <c r="L59" s="3">
        <v>54165</v>
      </c>
      <c r="M59" s="268">
        <f t="shared" si="8"/>
        <v>45082</v>
      </c>
      <c r="N59" s="222">
        <v>2.2499999999999999E-2</v>
      </c>
      <c r="O59" s="269">
        <f t="shared" si="9"/>
        <v>9.7500000000000003E-2</v>
      </c>
      <c r="P59" s="223">
        <v>1.23E-2</v>
      </c>
      <c r="Q59" s="297">
        <v>747975</v>
      </c>
      <c r="R59" s="297">
        <v>747975</v>
      </c>
      <c r="S59" s="218">
        <v>3.7</v>
      </c>
      <c r="T59" s="219">
        <f t="shared" si="10"/>
        <v>34040.342250000002</v>
      </c>
      <c r="U59" s="30">
        <f t="shared" si="11"/>
        <v>300</v>
      </c>
      <c r="V59" s="31">
        <f t="shared" si="12"/>
        <v>1.9397260273972603</v>
      </c>
      <c r="W59" s="30">
        <f t="shared" si="13"/>
        <v>298.06027397260272</v>
      </c>
      <c r="X59" s="220" t="s">
        <v>122</v>
      </c>
      <c r="Y59" s="139">
        <f t="shared" si="14"/>
        <v>0.05</v>
      </c>
      <c r="Z59" s="9">
        <f t="shared" si="15"/>
        <v>5</v>
      </c>
      <c r="AA59" s="9">
        <f>IF(OR(H59=721110,H59=447110,H59=722511,H59=811192,H59=624410),1,0)</f>
        <v>0</v>
      </c>
      <c r="AB59" s="32"/>
    </row>
    <row r="60" spans="1:34">
      <c r="A60" t="s">
        <v>1320</v>
      </c>
      <c r="B60" s="36">
        <v>4940529107</v>
      </c>
      <c r="C60" s="216"/>
      <c r="D60" s="29"/>
      <c r="E60" s="275" t="s">
        <v>2239</v>
      </c>
      <c r="F60" s="58" t="s">
        <v>2240</v>
      </c>
      <c r="G60" s="295" t="s">
        <v>247</v>
      </c>
      <c r="H60" s="29">
        <v>721110</v>
      </c>
      <c r="I60" s="271" t="s">
        <v>26</v>
      </c>
      <c r="J60" s="2" t="s">
        <v>0</v>
      </c>
      <c r="K60" s="267">
        <v>45014</v>
      </c>
      <c r="L60" s="267">
        <v>54146</v>
      </c>
      <c r="M60" s="268">
        <f t="shared" si="8"/>
        <v>45082</v>
      </c>
      <c r="N60" s="176">
        <v>1.4999999999999999E-2</v>
      </c>
      <c r="O60" s="269">
        <f t="shared" si="9"/>
        <v>0.09</v>
      </c>
      <c r="P60" s="236">
        <v>4.7999999999999996E-3</v>
      </c>
      <c r="Q60" s="282">
        <v>618750</v>
      </c>
      <c r="R60" s="282">
        <v>618750</v>
      </c>
      <c r="S60" s="218">
        <v>3.7</v>
      </c>
      <c r="T60" s="219">
        <f t="shared" si="10"/>
        <v>10988.999999999998</v>
      </c>
      <c r="U60" s="30">
        <f t="shared" si="11"/>
        <v>300</v>
      </c>
      <c r="V60" s="31">
        <f t="shared" si="12"/>
        <v>2.2356164383561645</v>
      </c>
      <c r="W60" s="30">
        <f t="shared" si="13"/>
        <v>297.76438356164385</v>
      </c>
      <c r="X60" s="220" t="s">
        <v>51</v>
      </c>
      <c r="Y60" s="139">
        <f t="shared" si="14"/>
        <v>0.05</v>
      </c>
      <c r="Z60" s="9">
        <f t="shared" si="15"/>
        <v>5</v>
      </c>
      <c r="AA60" s="9">
        <f>IF(OR(H60=721110,H60=447110,H60=722511,H60=811192,H60=624410),1,0)</f>
        <v>1</v>
      </c>
    </row>
    <row r="61" spans="1:34">
      <c r="A61" t="s">
        <v>1320</v>
      </c>
      <c r="B61" s="36">
        <v>4942489101</v>
      </c>
      <c r="C61" s="216"/>
      <c r="D61" s="29"/>
      <c r="E61" s="2" t="s">
        <v>2241</v>
      </c>
      <c r="F61" s="32" t="s">
        <v>2242</v>
      </c>
      <c r="G61" s="293" t="s">
        <v>42</v>
      </c>
      <c r="H61" s="9">
        <v>213112</v>
      </c>
      <c r="I61" s="9" t="s">
        <v>26</v>
      </c>
      <c r="J61" s="2" t="s">
        <v>0</v>
      </c>
      <c r="K61" s="3">
        <v>45030</v>
      </c>
      <c r="L61" s="3">
        <v>54162</v>
      </c>
      <c r="M61" s="268">
        <f t="shared" si="8"/>
        <v>45082</v>
      </c>
      <c r="N61" s="222">
        <v>0.02</v>
      </c>
      <c r="O61" s="269">
        <f t="shared" si="9"/>
        <v>9.5000000000000001E-2</v>
      </c>
      <c r="P61" s="223">
        <v>9.7999999999999997E-3</v>
      </c>
      <c r="Q61" s="297">
        <v>626250</v>
      </c>
      <c r="R61" s="297">
        <v>626250</v>
      </c>
      <c r="S61" s="218">
        <v>3.7</v>
      </c>
      <c r="T61" s="219">
        <f t="shared" si="10"/>
        <v>22707.825000000001</v>
      </c>
      <c r="U61" s="30">
        <f t="shared" si="11"/>
        <v>300</v>
      </c>
      <c r="V61" s="31">
        <f t="shared" si="12"/>
        <v>1.7095890410958905</v>
      </c>
      <c r="W61" s="30">
        <f t="shared" si="13"/>
        <v>298.29041095890409</v>
      </c>
      <c r="X61" s="220" t="s">
        <v>460</v>
      </c>
      <c r="Y61" s="139">
        <f t="shared" si="14"/>
        <v>0.05</v>
      </c>
      <c r="Z61" s="9">
        <f t="shared" si="15"/>
        <v>5</v>
      </c>
      <c r="AA61" s="9"/>
      <c r="AH61" s="32"/>
    </row>
    <row r="62" spans="1:34">
      <c r="A62" t="s">
        <v>1320</v>
      </c>
      <c r="B62" s="36">
        <v>4943169101</v>
      </c>
      <c r="C62" s="216"/>
      <c r="D62" s="29"/>
      <c r="E62" s="2" t="s">
        <v>2243</v>
      </c>
      <c r="F62" s="32" t="s">
        <v>2244</v>
      </c>
      <c r="G62" s="293" t="s">
        <v>29</v>
      </c>
      <c r="H62" s="9">
        <v>722410</v>
      </c>
      <c r="I62" s="9" t="s">
        <v>26</v>
      </c>
      <c r="J62" s="2" t="s">
        <v>0</v>
      </c>
      <c r="K62" s="3">
        <v>45043</v>
      </c>
      <c r="L62" s="3">
        <v>54175</v>
      </c>
      <c r="M62" s="268">
        <f t="shared" si="8"/>
        <v>45082</v>
      </c>
      <c r="N62" s="222">
        <v>1.7500000000000002E-2</v>
      </c>
      <c r="O62" s="269">
        <f t="shared" si="9"/>
        <v>9.2499999999999999E-2</v>
      </c>
      <c r="P62" s="223">
        <v>7.3000000000000001E-3</v>
      </c>
      <c r="Q62" s="297">
        <v>656250</v>
      </c>
      <c r="R62" s="297">
        <v>656250</v>
      </c>
      <c r="S62" s="218">
        <v>3.7</v>
      </c>
      <c r="T62" s="219">
        <f t="shared" si="10"/>
        <v>17725.3125</v>
      </c>
      <c r="U62" s="30">
        <f t="shared" si="11"/>
        <v>300</v>
      </c>
      <c r="V62" s="31">
        <f t="shared" si="12"/>
        <v>1.2821917808219179</v>
      </c>
      <c r="W62" s="30">
        <f t="shared" si="13"/>
        <v>298.7178082191781</v>
      </c>
      <c r="X62" s="220" t="s">
        <v>101</v>
      </c>
      <c r="Y62" s="139">
        <f t="shared" si="14"/>
        <v>0.05</v>
      </c>
      <c r="Z62" s="9">
        <f t="shared" si="15"/>
        <v>5</v>
      </c>
      <c r="AA62" s="9">
        <f>IF(OR(H62=721110,H62=447110,H62=722511,H62=811192,H62=624410),1,0)</f>
        <v>0</v>
      </c>
      <c r="AH62" s="32"/>
    </row>
    <row r="63" spans="1:34">
      <c r="A63" t="s">
        <v>1320</v>
      </c>
      <c r="B63" s="215">
        <v>4953269100</v>
      </c>
      <c r="C63" s="216"/>
      <c r="D63" s="29"/>
      <c r="E63" s="2" t="s">
        <v>2245</v>
      </c>
      <c r="F63" s="32" t="s">
        <v>2246</v>
      </c>
      <c r="G63" s="293" t="s">
        <v>74</v>
      </c>
      <c r="H63" s="9">
        <v>722511</v>
      </c>
      <c r="I63" s="9" t="s">
        <v>26</v>
      </c>
      <c r="J63" s="2" t="s">
        <v>0</v>
      </c>
      <c r="K63" s="3">
        <v>45042</v>
      </c>
      <c r="L63" s="3">
        <v>54174</v>
      </c>
      <c r="M63" s="268">
        <f t="shared" si="8"/>
        <v>45082</v>
      </c>
      <c r="N63" s="222">
        <v>1.4999999999999999E-2</v>
      </c>
      <c r="O63" s="269">
        <f t="shared" si="9"/>
        <v>0.09</v>
      </c>
      <c r="P63" s="223">
        <v>4.7999999999999996E-3</v>
      </c>
      <c r="Q63" s="297">
        <v>1755000</v>
      </c>
      <c r="R63" s="297">
        <v>1755000</v>
      </c>
      <c r="S63" s="218">
        <v>3.7</v>
      </c>
      <c r="T63" s="219">
        <f t="shared" si="10"/>
        <v>31168.799999999996</v>
      </c>
      <c r="U63" s="30">
        <f t="shared" si="11"/>
        <v>300</v>
      </c>
      <c r="V63" s="31">
        <f t="shared" si="12"/>
        <v>1.3150684931506849</v>
      </c>
      <c r="W63" s="30">
        <f t="shared" si="13"/>
        <v>298.6849315068493</v>
      </c>
      <c r="X63" s="220" t="s">
        <v>86</v>
      </c>
      <c r="Y63" s="139">
        <f t="shared" si="14"/>
        <v>0.05</v>
      </c>
      <c r="Z63" s="9">
        <f t="shared" si="15"/>
        <v>5</v>
      </c>
      <c r="AA63" s="9">
        <f>IF(OR(H63=721110,H63=447110,H63=722511,H63=811192,H63=624410),1,0)</f>
        <v>1</v>
      </c>
      <c r="AB63" s="32"/>
    </row>
    <row r="64" spans="1:34">
      <c r="A64" t="s">
        <v>1320</v>
      </c>
      <c r="B64" s="221">
        <v>4960809105</v>
      </c>
      <c r="C64" s="216">
        <f>$K64-$N$2</f>
        <v>1100</v>
      </c>
      <c r="D64" s="29">
        <f>IF(AND(C64&gt;0,H64=721110),1,IF(AND(C64&gt;0,U64&gt;239),2,IF(AND(C64&gt;0,U64&lt;=239),3,IF(AND(C64&lt;0,U64&lt;=239),4,IF(AND(C64&lt;0,U64&gt;239),5,0)))))</f>
        <v>2</v>
      </c>
      <c r="E64" s="275" t="s">
        <v>2247</v>
      </c>
      <c r="F64" s="227" t="s">
        <v>2248</v>
      </c>
      <c r="G64" s="294" t="s">
        <v>208</v>
      </c>
      <c r="H64" s="214">
        <v>332710</v>
      </c>
      <c r="I64" s="271" t="s">
        <v>26</v>
      </c>
      <c r="J64" s="2" t="s">
        <v>0</v>
      </c>
      <c r="K64" s="267">
        <v>45022</v>
      </c>
      <c r="L64" s="267">
        <v>54174</v>
      </c>
      <c r="M64" s="268">
        <f t="shared" si="8"/>
        <v>45082</v>
      </c>
      <c r="N64" s="176">
        <v>2.2499999999999999E-2</v>
      </c>
      <c r="O64" s="269">
        <f t="shared" si="9"/>
        <v>9.7500000000000003E-2</v>
      </c>
      <c r="P64" s="236">
        <v>1.23E-2</v>
      </c>
      <c r="Q64" s="282">
        <v>975000</v>
      </c>
      <c r="R64" s="282">
        <v>975000</v>
      </c>
      <c r="S64" s="218">
        <v>3.7</v>
      </c>
      <c r="T64" s="219">
        <f t="shared" si="10"/>
        <v>44372.25</v>
      </c>
      <c r="U64" s="30">
        <f t="shared" si="11"/>
        <v>300</v>
      </c>
      <c r="V64" s="31">
        <f t="shared" si="12"/>
        <v>1.9726027397260273</v>
      </c>
      <c r="W64" s="30">
        <f t="shared" si="13"/>
        <v>298.02739726027397</v>
      </c>
      <c r="X64" s="220" t="s">
        <v>270</v>
      </c>
      <c r="Y64" s="139">
        <f t="shared" si="14"/>
        <v>0.05</v>
      </c>
      <c r="Z64" s="9">
        <f t="shared" si="15"/>
        <v>5</v>
      </c>
      <c r="AA64" s="9">
        <f>IF(OR(H64=721110,H64=447110,H64=722511,H64=811192,H64=624410),1,0)</f>
        <v>0</v>
      </c>
      <c r="AH64" s="32"/>
    </row>
    <row r="65" spans="1:34">
      <c r="A65" t="s">
        <v>1320</v>
      </c>
      <c r="B65" s="36">
        <v>4961329105</v>
      </c>
      <c r="C65" s="216"/>
      <c r="D65" s="29"/>
      <c r="E65" s="242" t="s">
        <v>2249</v>
      </c>
      <c r="F65" s="58" t="s">
        <v>2250</v>
      </c>
      <c r="G65" s="295" t="s">
        <v>154</v>
      </c>
      <c r="H65" s="29">
        <v>721110</v>
      </c>
      <c r="I65" s="9" t="s">
        <v>26</v>
      </c>
      <c r="J65" s="2" t="s">
        <v>0</v>
      </c>
      <c r="K65" s="217">
        <v>45040</v>
      </c>
      <c r="L65" s="217">
        <v>54172</v>
      </c>
      <c r="M65" s="268">
        <f t="shared" si="8"/>
        <v>45082</v>
      </c>
      <c r="N65" s="176">
        <v>1.2500000000000001E-2</v>
      </c>
      <c r="O65" s="269">
        <f t="shared" si="9"/>
        <v>8.7499999999999994E-2</v>
      </c>
      <c r="P65" s="236">
        <v>2.3E-3</v>
      </c>
      <c r="Q65" s="238">
        <v>2100000</v>
      </c>
      <c r="R65" s="238">
        <v>2100000</v>
      </c>
      <c r="S65" s="218">
        <v>3.7</v>
      </c>
      <c r="T65" s="219">
        <f t="shared" si="10"/>
        <v>17871</v>
      </c>
      <c r="U65" s="30">
        <f t="shared" si="11"/>
        <v>300</v>
      </c>
      <c r="V65" s="31">
        <f t="shared" si="12"/>
        <v>1.3808219178082193</v>
      </c>
      <c r="W65" s="30">
        <f t="shared" si="13"/>
        <v>298.61917808219181</v>
      </c>
      <c r="X65" s="220" t="s">
        <v>51</v>
      </c>
      <c r="Y65" s="139">
        <f t="shared" si="14"/>
        <v>0.05</v>
      </c>
      <c r="Z65" s="9">
        <f t="shared" si="15"/>
        <v>5</v>
      </c>
      <c r="AA65" s="9"/>
      <c r="AH65" s="32"/>
    </row>
    <row r="66" spans="1:34">
      <c r="A66" t="s">
        <v>1320</v>
      </c>
      <c r="B66" s="36">
        <v>4965649104</v>
      </c>
      <c r="C66" s="216"/>
      <c r="D66" s="29"/>
      <c r="E66" s="32" t="s">
        <v>2251</v>
      </c>
      <c r="F66" s="32" t="s">
        <v>2252</v>
      </c>
      <c r="G66" s="293" t="s">
        <v>105</v>
      </c>
      <c r="H66" s="9">
        <v>722511</v>
      </c>
      <c r="I66" s="9" t="s">
        <v>26</v>
      </c>
      <c r="J66" s="2" t="s">
        <v>0</v>
      </c>
      <c r="K66" s="3">
        <v>45036</v>
      </c>
      <c r="L66" s="3">
        <v>54172</v>
      </c>
      <c r="M66" s="268">
        <f t="shared" si="8"/>
        <v>45082</v>
      </c>
      <c r="N66" s="222">
        <v>1.7500000000000002E-2</v>
      </c>
      <c r="O66" s="269">
        <f t="shared" si="9"/>
        <v>9.2499999999999999E-2</v>
      </c>
      <c r="P66" s="223">
        <v>1.2800000000000001E-2</v>
      </c>
      <c r="Q66" s="298">
        <v>187500</v>
      </c>
      <c r="R66" s="298">
        <v>187500</v>
      </c>
      <c r="S66" s="218">
        <v>3.7</v>
      </c>
      <c r="T66" s="219">
        <f t="shared" si="10"/>
        <v>8880</v>
      </c>
      <c r="U66" s="30">
        <f t="shared" si="11"/>
        <v>300</v>
      </c>
      <c r="V66" s="31">
        <f t="shared" si="12"/>
        <v>1.5123287671232877</v>
      </c>
      <c r="W66" s="30">
        <f t="shared" si="13"/>
        <v>298.48767123287672</v>
      </c>
      <c r="X66" s="220" t="s">
        <v>86</v>
      </c>
      <c r="Y66" s="139">
        <f t="shared" si="14"/>
        <v>0.05</v>
      </c>
      <c r="Z66" s="9">
        <f t="shared" si="15"/>
        <v>5</v>
      </c>
      <c r="AA66" s="9"/>
      <c r="AH66" s="32"/>
    </row>
    <row r="67" spans="1:34">
      <c r="A67" t="s">
        <v>1320</v>
      </c>
      <c r="B67" s="36">
        <v>4967319103</v>
      </c>
      <c r="C67" s="216"/>
      <c r="D67" s="29"/>
      <c r="E67" s="2" t="s">
        <v>2253</v>
      </c>
      <c r="F67" s="32" t="s">
        <v>2254</v>
      </c>
      <c r="G67" s="293" t="s">
        <v>29</v>
      </c>
      <c r="H67" s="9">
        <v>812210</v>
      </c>
      <c r="I67" s="9" t="s">
        <v>26</v>
      </c>
      <c r="J67" s="2" t="s">
        <v>0</v>
      </c>
      <c r="K67" s="3">
        <v>45027</v>
      </c>
      <c r="L67" s="3">
        <v>54159</v>
      </c>
      <c r="M67" s="268">
        <f t="shared" si="8"/>
        <v>45082</v>
      </c>
      <c r="N67" s="222">
        <v>2.2499999999999999E-2</v>
      </c>
      <c r="O67" s="269">
        <f t="shared" si="9"/>
        <v>9.7500000000000003E-2</v>
      </c>
      <c r="P67" s="223">
        <v>1.23E-2</v>
      </c>
      <c r="Q67" s="297">
        <v>1182750</v>
      </c>
      <c r="R67" s="297">
        <v>1182750</v>
      </c>
      <c r="S67" s="218">
        <v>3.7</v>
      </c>
      <c r="T67" s="219">
        <f t="shared" si="10"/>
        <v>53826.952499999999</v>
      </c>
      <c r="U67" s="30">
        <f t="shared" si="11"/>
        <v>300</v>
      </c>
      <c r="V67" s="31">
        <f t="shared" si="12"/>
        <v>1.8082191780821917</v>
      </c>
      <c r="W67" s="30">
        <f t="shared" si="13"/>
        <v>298.1917808219178</v>
      </c>
      <c r="X67" s="220" t="s">
        <v>36</v>
      </c>
      <c r="Y67" s="139">
        <f t="shared" si="14"/>
        <v>0.05</v>
      </c>
      <c r="Z67" s="9">
        <f t="shared" si="15"/>
        <v>5</v>
      </c>
      <c r="AA67" s="9">
        <f>IF(OR(H67=721110,H67=447110,H67=722511,H67=811192,H67=624410),1,0)</f>
        <v>0</v>
      </c>
    </row>
    <row r="68" spans="1:34">
      <c r="A68" t="s">
        <v>1320</v>
      </c>
      <c r="B68" s="36">
        <v>4967929109</v>
      </c>
      <c r="C68" s="216"/>
      <c r="D68" s="29"/>
      <c r="E68" s="242" t="s">
        <v>2255</v>
      </c>
      <c r="F68" s="227" t="s">
        <v>2256</v>
      </c>
      <c r="G68" s="294" t="s">
        <v>49</v>
      </c>
      <c r="H68" s="232">
        <v>624410</v>
      </c>
      <c r="I68" s="9" t="s">
        <v>26</v>
      </c>
      <c r="J68" s="2" t="s">
        <v>0</v>
      </c>
      <c r="K68" s="277">
        <v>45037</v>
      </c>
      <c r="L68" s="277">
        <v>54169</v>
      </c>
      <c r="M68" s="268">
        <f t="shared" si="8"/>
        <v>45082</v>
      </c>
      <c r="N68" s="176">
        <v>2.2499999999999999E-2</v>
      </c>
      <c r="O68" s="269">
        <f t="shared" si="9"/>
        <v>9.7500000000000003E-2</v>
      </c>
      <c r="P68" s="236">
        <v>1.23E-2</v>
      </c>
      <c r="Q68" s="278">
        <v>552750</v>
      </c>
      <c r="R68" s="278">
        <v>552750</v>
      </c>
      <c r="S68" s="218">
        <v>3.7</v>
      </c>
      <c r="T68" s="219">
        <f t="shared" si="10"/>
        <v>25155.6525</v>
      </c>
      <c r="U68" s="30">
        <f t="shared" si="11"/>
        <v>300</v>
      </c>
      <c r="V68" s="31">
        <f t="shared" si="12"/>
        <v>1.4794520547945205</v>
      </c>
      <c r="W68" s="30">
        <f t="shared" si="13"/>
        <v>298.52054794520546</v>
      </c>
      <c r="X68" s="220" t="s">
        <v>67</v>
      </c>
      <c r="Y68" s="139">
        <f t="shared" si="14"/>
        <v>0.05</v>
      </c>
      <c r="Z68" s="9">
        <f t="shared" si="15"/>
        <v>5</v>
      </c>
      <c r="AA68" s="9"/>
    </row>
    <row r="69" spans="1:34">
      <c r="A69" t="s">
        <v>1320</v>
      </c>
      <c r="B69" s="221">
        <v>4967979102</v>
      </c>
      <c r="C69" s="216"/>
      <c r="D69" s="29"/>
      <c r="E69" s="2" t="s">
        <v>2257</v>
      </c>
      <c r="F69" s="32" t="s">
        <v>2258</v>
      </c>
      <c r="G69" s="293" t="s">
        <v>346</v>
      </c>
      <c r="H69" s="9">
        <v>445298</v>
      </c>
      <c r="I69" s="9" t="s">
        <v>26</v>
      </c>
      <c r="J69" s="2" t="s">
        <v>0</v>
      </c>
      <c r="K69" s="3">
        <v>45040</v>
      </c>
      <c r="L69" s="3">
        <v>54172</v>
      </c>
      <c r="M69" s="268">
        <f t="shared" si="8"/>
        <v>45082</v>
      </c>
      <c r="N69" s="222">
        <v>2.5000000000000001E-2</v>
      </c>
      <c r="O69" s="269">
        <f t="shared" si="9"/>
        <v>0.1</v>
      </c>
      <c r="P69" s="223">
        <v>1.4800000000000001E-2</v>
      </c>
      <c r="Q69" s="297">
        <v>397500</v>
      </c>
      <c r="R69" s="297">
        <v>397500</v>
      </c>
      <c r="S69" s="218">
        <v>3.7</v>
      </c>
      <c r="T69" s="219">
        <f t="shared" si="10"/>
        <v>21767.100000000002</v>
      </c>
      <c r="U69" s="30">
        <f t="shared" si="11"/>
        <v>300</v>
      </c>
      <c r="V69" s="31">
        <f t="shared" si="12"/>
        <v>1.3808219178082193</v>
      </c>
      <c r="W69" s="30">
        <f t="shared" si="13"/>
        <v>298.61917808219181</v>
      </c>
      <c r="X69" s="220"/>
      <c r="Y69" s="139">
        <f t="shared" si="14"/>
        <v>0.05</v>
      </c>
      <c r="Z69" s="9">
        <f t="shared" si="15"/>
        <v>5</v>
      </c>
      <c r="AA69" s="9">
        <f>IF(OR(H69=721110,H69=447110,H69=722511,H69=811192,H69=624410),1,0)</f>
        <v>0</v>
      </c>
    </row>
    <row r="70" spans="1:34">
      <c r="A70" t="s">
        <v>1320</v>
      </c>
      <c r="B70" s="221">
        <v>4968699103</v>
      </c>
      <c r="C70" s="216"/>
      <c r="D70" s="29"/>
      <c r="E70" s="2" t="s">
        <v>2259</v>
      </c>
      <c r="F70" s="32" t="s">
        <v>2260</v>
      </c>
      <c r="G70" s="293" t="s">
        <v>105</v>
      </c>
      <c r="H70" s="9">
        <v>721110</v>
      </c>
      <c r="I70" s="9" t="s">
        <v>26</v>
      </c>
      <c r="J70" s="2" t="s">
        <v>0</v>
      </c>
      <c r="K70" s="3">
        <v>45033</v>
      </c>
      <c r="L70" s="3">
        <v>54165</v>
      </c>
      <c r="M70" s="268">
        <f t="shared" si="8"/>
        <v>45082</v>
      </c>
      <c r="N70" s="222">
        <v>1.4999999999999999E-2</v>
      </c>
      <c r="O70" s="269">
        <f t="shared" si="9"/>
        <v>0.09</v>
      </c>
      <c r="P70" s="223">
        <v>4.7999999999999996E-3</v>
      </c>
      <c r="Q70" s="297">
        <v>3750000</v>
      </c>
      <c r="R70" s="297">
        <v>3750000</v>
      </c>
      <c r="S70" s="218">
        <v>3.7</v>
      </c>
      <c r="T70" s="219">
        <f t="shared" si="10"/>
        <v>66600</v>
      </c>
      <c r="U70" s="30">
        <f t="shared" si="11"/>
        <v>300</v>
      </c>
      <c r="V70" s="31">
        <f t="shared" si="12"/>
        <v>1.6109589041095891</v>
      </c>
      <c r="W70" s="30">
        <f t="shared" si="13"/>
        <v>298.38904109589043</v>
      </c>
      <c r="X70" s="220" t="s">
        <v>51</v>
      </c>
      <c r="Y70" s="139">
        <f t="shared" si="14"/>
        <v>0.05</v>
      </c>
      <c r="Z70" s="9">
        <f t="shared" si="15"/>
        <v>5</v>
      </c>
      <c r="AA70" s="9">
        <f>IF(OR(H70=721110,H70=447110,H70=722511,H70=811192,H70=624410),1,0)</f>
        <v>1</v>
      </c>
    </row>
    <row r="71" spans="1:34">
      <c r="A71" t="s">
        <v>1320</v>
      </c>
      <c r="B71" s="36">
        <v>4976009106</v>
      </c>
      <c r="C71" s="216"/>
      <c r="D71" s="29"/>
      <c r="E71" s="32" t="s">
        <v>2261</v>
      </c>
      <c r="F71" s="32" t="s">
        <v>2262</v>
      </c>
      <c r="G71" s="293" t="s">
        <v>60</v>
      </c>
      <c r="H71" s="9">
        <v>721110</v>
      </c>
      <c r="I71" s="9" t="s">
        <v>26</v>
      </c>
      <c r="J71" s="2" t="s">
        <v>0</v>
      </c>
      <c r="K71" s="284">
        <v>45027</v>
      </c>
      <c r="L71" s="284">
        <v>54159</v>
      </c>
      <c r="M71" s="268">
        <f t="shared" si="8"/>
        <v>45082</v>
      </c>
      <c r="N71" s="226">
        <v>1.2500000000000001E-2</v>
      </c>
      <c r="O71" s="269">
        <f t="shared" si="9"/>
        <v>8.7499999999999994E-2</v>
      </c>
      <c r="P71" s="235">
        <v>2.3E-3</v>
      </c>
      <c r="Q71" s="237">
        <v>2397142.36</v>
      </c>
      <c r="R71" s="237">
        <v>2397142.36</v>
      </c>
      <c r="S71" s="218">
        <v>3.7</v>
      </c>
      <c r="T71" s="219">
        <f t="shared" si="10"/>
        <v>20399.681483600001</v>
      </c>
      <c r="U71" s="30">
        <f t="shared" si="11"/>
        <v>300</v>
      </c>
      <c r="V71" s="31">
        <f t="shared" si="12"/>
        <v>1.8082191780821917</v>
      </c>
      <c r="W71" s="30">
        <f t="shared" si="13"/>
        <v>298.1917808219178</v>
      </c>
      <c r="X71" s="220" t="s">
        <v>51</v>
      </c>
      <c r="Y71" s="139">
        <f t="shared" si="14"/>
        <v>0.05</v>
      </c>
      <c r="Z71" s="9">
        <f t="shared" si="15"/>
        <v>5</v>
      </c>
      <c r="AA71" s="9"/>
      <c r="AH71" s="32"/>
    </row>
    <row r="72" spans="1:34">
      <c r="A72" t="s">
        <v>1320</v>
      </c>
      <c r="B72" s="221">
        <v>4977279108</v>
      </c>
      <c r="C72" s="216"/>
      <c r="D72" s="29"/>
      <c r="E72" s="275" t="s">
        <v>2263</v>
      </c>
      <c r="F72" s="227" t="s">
        <v>2264</v>
      </c>
      <c r="G72" s="294" t="s">
        <v>120</v>
      </c>
      <c r="H72" s="214">
        <v>611511</v>
      </c>
      <c r="I72" s="271" t="s">
        <v>26</v>
      </c>
      <c r="J72" s="2" t="s">
        <v>0</v>
      </c>
      <c r="K72" s="267">
        <v>45037</v>
      </c>
      <c r="L72" s="267">
        <v>54169</v>
      </c>
      <c r="M72" s="268">
        <f t="shared" si="8"/>
        <v>45082</v>
      </c>
      <c r="N72" s="176">
        <v>2.5000000000000001E-2</v>
      </c>
      <c r="O72" s="269">
        <f t="shared" si="9"/>
        <v>0.1</v>
      </c>
      <c r="P72" s="236">
        <v>2.0299999999999999E-2</v>
      </c>
      <c r="Q72" s="282">
        <v>300750</v>
      </c>
      <c r="R72" s="282">
        <v>300750</v>
      </c>
      <c r="S72" s="218">
        <v>3.7</v>
      </c>
      <c r="T72" s="219">
        <f t="shared" si="10"/>
        <v>22589.332499999997</v>
      </c>
      <c r="U72" s="30">
        <f t="shared" si="11"/>
        <v>300</v>
      </c>
      <c r="V72" s="31">
        <f t="shared" si="12"/>
        <v>1.4794520547945205</v>
      </c>
      <c r="W72" s="30">
        <f t="shared" si="13"/>
        <v>298.52054794520546</v>
      </c>
      <c r="X72" s="220" t="s">
        <v>1116</v>
      </c>
      <c r="Y72" s="139">
        <f t="shared" si="14"/>
        <v>0.05</v>
      </c>
      <c r="Z72" s="9">
        <f t="shared" si="15"/>
        <v>5</v>
      </c>
      <c r="AA72" s="9">
        <f>IF(OR(H72=721110,H72=447110,H72=722511,H72=811192,H72=624410),1,0)</f>
        <v>0</v>
      </c>
      <c r="AH72" s="32"/>
    </row>
    <row r="73" spans="1:34">
      <c r="A73" t="s">
        <v>1320</v>
      </c>
      <c r="B73" s="36">
        <v>4984429103</v>
      </c>
      <c r="C73" s="216"/>
      <c r="D73" s="29"/>
      <c r="E73" s="275" t="s">
        <v>2265</v>
      </c>
      <c r="F73" s="227" t="s">
        <v>2266</v>
      </c>
      <c r="G73" s="294" t="s">
        <v>74</v>
      </c>
      <c r="H73" s="214">
        <v>722410</v>
      </c>
      <c r="I73" s="271" t="s">
        <v>26</v>
      </c>
      <c r="J73" s="2" t="s">
        <v>0</v>
      </c>
      <c r="K73" s="267">
        <v>45048</v>
      </c>
      <c r="L73" s="267">
        <v>54180</v>
      </c>
      <c r="M73" s="268">
        <f t="shared" si="8"/>
        <v>45082</v>
      </c>
      <c r="N73" s="176">
        <v>2.5000000000000001E-2</v>
      </c>
      <c r="O73" s="269">
        <f t="shared" si="9"/>
        <v>0.1</v>
      </c>
      <c r="P73" s="236">
        <v>1.4800000000000001E-2</v>
      </c>
      <c r="Q73" s="282">
        <v>412500</v>
      </c>
      <c r="R73" s="282">
        <v>412500</v>
      </c>
      <c r="S73" s="218">
        <v>3.7</v>
      </c>
      <c r="T73" s="219">
        <f t="shared" si="10"/>
        <v>22588.5</v>
      </c>
      <c r="U73" s="30">
        <f t="shared" si="11"/>
        <v>300</v>
      </c>
      <c r="V73" s="31">
        <f t="shared" si="12"/>
        <v>1.1178082191780823</v>
      </c>
      <c r="W73" s="30">
        <f t="shared" si="13"/>
        <v>298.88219178082193</v>
      </c>
      <c r="X73" s="220" t="s">
        <v>101</v>
      </c>
      <c r="Y73" s="139">
        <f t="shared" si="14"/>
        <v>0.05</v>
      </c>
      <c r="Z73" s="9">
        <f t="shared" si="15"/>
        <v>5</v>
      </c>
      <c r="AA73" s="9"/>
    </row>
    <row r="74" spans="1:34">
      <c r="A74" t="s">
        <v>1320</v>
      </c>
      <c r="B74" s="36">
        <v>4985399109</v>
      </c>
      <c r="C74" s="216"/>
      <c r="D74" s="29"/>
      <c r="E74" s="32" t="s">
        <v>2267</v>
      </c>
      <c r="F74" s="32" t="s">
        <v>2268</v>
      </c>
      <c r="G74" s="293" t="s">
        <v>82</v>
      </c>
      <c r="H74" s="9">
        <v>457110</v>
      </c>
      <c r="I74" s="9" t="s">
        <v>26</v>
      </c>
      <c r="J74" s="2" t="s">
        <v>0</v>
      </c>
      <c r="K74" s="279">
        <v>45030</v>
      </c>
      <c r="L74" s="279">
        <v>54162</v>
      </c>
      <c r="M74" s="268">
        <f t="shared" si="8"/>
        <v>45082</v>
      </c>
      <c r="N74" s="226">
        <v>1.2500000000000001E-2</v>
      </c>
      <c r="O74" s="269">
        <f t="shared" si="9"/>
        <v>8.7499999999999994E-2</v>
      </c>
      <c r="P74" s="235">
        <v>2.3E-3</v>
      </c>
      <c r="Q74" s="280">
        <v>821250</v>
      </c>
      <c r="R74" s="280">
        <v>821250</v>
      </c>
      <c r="S74" s="218">
        <v>3.7</v>
      </c>
      <c r="T74" s="219">
        <f t="shared" si="10"/>
        <v>6988.8374999999996</v>
      </c>
      <c r="U74" s="30">
        <f t="shared" si="11"/>
        <v>300</v>
      </c>
      <c r="V74" s="31">
        <f t="shared" si="12"/>
        <v>1.7095890410958905</v>
      </c>
      <c r="W74" s="30">
        <f t="shared" si="13"/>
        <v>298.29041095890409</v>
      </c>
      <c r="X74" s="220"/>
      <c r="Y74" s="139">
        <f t="shared" si="14"/>
        <v>0.05</v>
      </c>
      <c r="Z74" s="9">
        <f t="shared" si="15"/>
        <v>5</v>
      </c>
      <c r="AA74" s="9"/>
    </row>
    <row r="75" spans="1:34">
      <c r="A75" t="s">
        <v>1320</v>
      </c>
      <c r="B75" s="36">
        <v>4986539105</v>
      </c>
      <c r="C75" s="216"/>
      <c r="D75" s="29"/>
      <c r="E75" s="242" t="s">
        <v>2269</v>
      </c>
      <c r="F75" s="227" t="s">
        <v>2270</v>
      </c>
      <c r="G75" s="294" t="s">
        <v>25</v>
      </c>
      <c r="H75" s="232">
        <v>721110</v>
      </c>
      <c r="I75" s="9" t="s">
        <v>26</v>
      </c>
      <c r="J75" s="2" t="s">
        <v>0</v>
      </c>
      <c r="K75" s="277">
        <v>45033</v>
      </c>
      <c r="L75" s="277">
        <v>54165</v>
      </c>
      <c r="M75" s="268">
        <f t="shared" si="8"/>
        <v>45082</v>
      </c>
      <c r="N75" s="176">
        <v>1.2500000000000001E-2</v>
      </c>
      <c r="O75" s="269">
        <f t="shared" si="9"/>
        <v>8.7499999999999994E-2</v>
      </c>
      <c r="P75" s="236">
        <v>2.3E-3</v>
      </c>
      <c r="Q75" s="282">
        <v>1586250</v>
      </c>
      <c r="R75" s="282">
        <v>1586250</v>
      </c>
      <c r="S75" s="218">
        <v>3.7</v>
      </c>
      <c r="T75" s="219">
        <f t="shared" si="10"/>
        <v>13498.987499999999</v>
      </c>
      <c r="U75" s="30">
        <f t="shared" si="11"/>
        <v>300</v>
      </c>
      <c r="V75" s="31">
        <f t="shared" si="12"/>
        <v>1.6109589041095891</v>
      </c>
      <c r="W75" s="30">
        <f t="shared" si="13"/>
        <v>298.38904109589043</v>
      </c>
      <c r="X75" s="220" t="s">
        <v>51</v>
      </c>
      <c r="Y75" s="139">
        <f t="shared" si="14"/>
        <v>0.05</v>
      </c>
      <c r="Z75" s="9">
        <f t="shared" si="15"/>
        <v>5</v>
      </c>
      <c r="AA75" s="9"/>
    </row>
    <row r="76" spans="1:34">
      <c r="A76" t="s">
        <v>1320</v>
      </c>
      <c r="B76" s="36">
        <v>4989529108</v>
      </c>
      <c r="C76" s="216"/>
      <c r="D76" s="29"/>
      <c r="E76" s="2" t="s">
        <v>2271</v>
      </c>
      <c r="F76" s="32" t="s">
        <v>2272</v>
      </c>
      <c r="G76" s="293" t="s">
        <v>110</v>
      </c>
      <c r="H76" s="9">
        <v>424990</v>
      </c>
      <c r="I76" s="9" t="s">
        <v>26</v>
      </c>
      <c r="J76" s="2" t="s">
        <v>0</v>
      </c>
      <c r="K76" s="3">
        <v>45036</v>
      </c>
      <c r="L76" s="3">
        <v>54168</v>
      </c>
      <c r="M76" s="268">
        <f t="shared" si="8"/>
        <v>45082</v>
      </c>
      <c r="N76" s="222">
        <v>0.02</v>
      </c>
      <c r="O76" s="269">
        <f t="shared" si="9"/>
        <v>9.5000000000000001E-2</v>
      </c>
      <c r="P76" s="223">
        <v>9.7999999999999997E-3</v>
      </c>
      <c r="Q76" s="297">
        <v>3750000</v>
      </c>
      <c r="R76" s="297">
        <v>3750000</v>
      </c>
      <c r="S76" s="218">
        <v>3.7</v>
      </c>
      <c r="T76" s="219">
        <f t="shared" si="10"/>
        <v>135975</v>
      </c>
      <c r="U76" s="30">
        <f t="shared" si="11"/>
        <v>300</v>
      </c>
      <c r="V76" s="31">
        <f t="shared" si="12"/>
        <v>1.5123287671232877</v>
      </c>
      <c r="W76" s="30">
        <f t="shared" si="13"/>
        <v>298.48767123287672</v>
      </c>
      <c r="X76" s="220" t="s">
        <v>214</v>
      </c>
      <c r="Y76" s="139">
        <f t="shared" si="14"/>
        <v>0.05</v>
      </c>
      <c r="Z76" s="9">
        <f t="shared" si="15"/>
        <v>5</v>
      </c>
      <c r="AA76" s="9"/>
    </row>
    <row r="77" spans="1:34">
      <c r="A77" t="s">
        <v>1320</v>
      </c>
      <c r="B77" s="36">
        <v>5002719103</v>
      </c>
      <c r="C77" s="216"/>
      <c r="D77" s="29"/>
      <c r="E77" s="2" t="s">
        <v>2273</v>
      </c>
      <c r="F77" s="2" t="s">
        <v>2274</v>
      </c>
      <c r="G77" s="296" t="s">
        <v>52</v>
      </c>
      <c r="H77" s="9">
        <v>332911</v>
      </c>
      <c r="I77" s="9" t="s">
        <v>26</v>
      </c>
      <c r="J77" s="2" t="s">
        <v>0</v>
      </c>
      <c r="K77" s="3">
        <v>45037</v>
      </c>
      <c r="L77" s="3">
        <v>54182</v>
      </c>
      <c r="M77" s="268">
        <f t="shared" si="8"/>
        <v>45082</v>
      </c>
      <c r="N77" s="222">
        <v>0.02</v>
      </c>
      <c r="O77" s="269">
        <f t="shared" si="9"/>
        <v>9.5000000000000001E-2</v>
      </c>
      <c r="P77" s="223">
        <v>9.7999999999999997E-3</v>
      </c>
      <c r="Q77" s="297">
        <v>1305000</v>
      </c>
      <c r="R77" s="297">
        <v>1305000</v>
      </c>
      <c r="S77" s="218">
        <v>3.7</v>
      </c>
      <c r="T77" s="219">
        <f t="shared" si="10"/>
        <v>47319.299999999996</v>
      </c>
      <c r="U77" s="30">
        <f t="shared" si="11"/>
        <v>300</v>
      </c>
      <c r="V77" s="31">
        <f t="shared" si="12"/>
        <v>1.4794520547945205</v>
      </c>
      <c r="W77" s="30">
        <f t="shared" si="13"/>
        <v>298.52054794520546</v>
      </c>
      <c r="X77" s="220" t="s">
        <v>704</v>
      </c>
      <c r="Y77" s="139">
        <f t="shared" si="14"/>
        <v>0.05</v>
      </c>
      <c r="Z77" s="9">
        <f t="shared" si="15"/>
        <v>5</v>
      </c>
      <c r="AA77" s="9"/>
    </row>
    <row r="78" spans="1:34">
      <c r="A78" t="s">
        <v>1320</v>
      </c>
      <c r="B78" s="36">
        <v>5014799102</v>
      </c>
      <c r="C78" s="216"/>
      <c r="D78" s="29"/>
      <c r="E78" s="2" t="s">
        <v>2275</v>
      </c>
      <c r="F78" s="32" t="s">
        <v>2276</v>
      </c>
      <c r="G78" s="293" t="s">
        <v>25</v>
      </c>
      <c r="H78" s="9">
        <v>721110</v>
      </c>
      <c r="I78" s="9" t="s">
        <v>26</v>
      </c>
      <c r="J78" s="2" t="s">
        <v>0</v>
      </c>
      <c r="K78" s="3">
        <v>45043</v>
      </c>
      <c r="L78" s="3">
        <v>54175</v>
      </c>
      <c r="M78" s="268">
        <f t="shared" ref="M78" si="16">MAX($M$8-50,K78)</f>
        <v>45082</v>
      </c>
      <c r="N78" s="222">
        <v>1.2500000000000001E-2</v>
      </c>
      <c r="O78" s="269">
        <f t="shared" ref="O78" si="17">$N$5+N78</f>
        <v>8.7499999999999994E-2</v>
      </c>
      <c r="P78" s="223">
        <v>2.3E-3</v>
      </c>
      <c r="Q78" s="297">
        <v>1349657.88</v>
      </c>
      <c r="R78" s="297">
        <v>1349657.88</v>
      </c>
      <c r="S78" s="218">
        <v>3.7</v>
      </c>
      <c r="T78" s="219">
        <f t="shared" ref="T78" si="18">S78*R78*P78</f>
        <v>11485.588558799998</v>
      </c>
      <c r="U78" s="30">
        <f t="shared" ref="U78" si="19">DATEDIF(K78,L78,"M")</f>
        <v>300</v>
      </c>
      <c r="V78" s="31">
        <f t="shared" ref="V78" si="20">IF(R78=0,0,IF(J78=$AA$8,_xlfn.DAYS(M78,K78)/365*12,DAYS360(K78,M78)/360*12))</f>
        <v>1.2821917808219179</v>
      </c>
      <c r="W78" s="30">
        <f t="shared" ref="W78" si="21">U78-V78</f>
        <v>298.7178082191781</v>
      </c>
      <c r="X78" s="220" t="s">
        <v>51</v>
      </c>
      <c r="Y78" s="139">
        <f t="shared" ref="Y78" si="22">IF(U78&gt;=180,IF(V78&lt;=12,5%,IF(AND(V78&gt;12,V78&lt;24),3%,IF(AND(V78&gt;24,V78&lt;36),1%,0%))),0%)</f>
        <v>0.05</v>
      </c>
      <c r="Z78" s="9">
        <f t="shared" ref="Z78" si="23">IF(AND(U78&gt;=$AE$2,U78&lt;=$AF$2),1,IF(AND(U78&gt;$AE$3,U78&lt;=$AF$3),2,IF(AND(U78&gt;$AE$4,U78&lt;=$AF$4),3,IF(AND(U78&gt;$AE$5,U78&lt;=$AF$5),4,IF(AND(U78&gt;$AE$6,U78&lt;=$AF$6),5,"")))))</f>
        <v>5</v>
      </c>
      <c r="AA78" s="9"/>
      <c r="AH78" s="32"/>
    </row>
    <row r="79" spans="1:34">
      <c r="A79"/>
      <c r="C79" s="216"/>
      <c r="D79" s="29"/>
      <c r="E79" s="32"/>
      <c r="F79" s="32"/>
      <c r="G79" s="293"/>
      <c r="H79" s="9"/>
      <c r="I79" s="9"/>
      <c r="K79" s="279"/>
      <c r="L79" s="279"/>
      <c r="M79" s="268"/>
      <c r="N79" s="226"/>
      <c r="O79" s="269"/>
      <c r="P79" s="235"/>
      <c r="Q79" s="281"/>
      <c r="R79" s="281"/>
      <c r="S79" s="218"/>
      <c r="T79" s="219"/>
      <c r="U79" s="30"/>
      <c r="V79" s="31"/>
      <c r="W79" s="30"/>
      <c r="X79" s="220"/>
      <c r="Y79" s="139"/>
      <c r="Z79" s="9"/>
      <c r="AA79" s="9"/>
      <c r="AH79" s="32"/>
    </row>
    <row r="80" spans="1:34">
      <c r="A80"/>
      <c r="B80" s="221"/>
      <c r="C80" s="216"/>
      <c r="D80" s="29"/>
      <c r="E80" s="275"/>
      <c r="F80" s="227"/>
      <c r="G80" s="294"/>
      <c r="H80" s="214"/>
      <c r="I80" s="271"/>
      <c r="K80" s="267"/>
      <c r="L80" s="267"/>
      <c r="M80" s="268"/>
      <c r="N80" s="176"/>
      <c r="O80" s="269"/>
      <c r="P80" s="236"/>
      <c r="Q80" s="282"/>
      <c r="R80" s="282"/>
      <c r="S80" s="218"/>
      <c r="T80" s="219"/>
      <c r="U80" s="30"/>
      <c r="V80" s="31"/>
      <c r="W80" s="30"/>
      <c r="X80" s="220"/>
      <c r="Y80" s="139"/>
      <c r="Z80" s="9"/>
      <c r="AA80" s="9"/>
    </row>
    <row r="81" spans="1:43">
      <c r="A81"/>
      <c r="C81" s="216"/>
      <c r="D81" s="29"/>
      <c r="F81" s="32"/>
      <c r="G81" s="293"/>
      <c r="H81" s="9"/>
      <c r="I81" s="9"/>
      <c r="K81" s="3"/>
      <c r="L81" s="3"/>
      <c r="M81" s="268"/>
      <c r="N81" s="222"/>
      <c r="O81" s="269"/>
      <c r="P81" s="223"/>
      <c r="Q81" s="297"/>
      <c r="R81" s="297"/>
      <c r="S81" s="218"/>
      <c r="T81" s="219"/>
      <c r="U81" s="30"/>
      <c r="V81" s="31"/>
      <c r="W81" s="30"/>
      <c r="X81" s="220"/>
      <c r="Y81" s="139"/>
      <c r="Z81" s="9"/>
      <c r="AA81" s="9"/>
      <c r="AH81" s="32"/>
    </row>
    <row r="82" spans="1:43">
      <c r="A82"/>
      <c r="C82" s="216"/>
      <c r="D82" s="29"/>
      <c r="F82" s="32"/>
      <c r="G82" s="293"/>
      <c r="H82" s="9"/>
      <c r="I82" s="9"/>
      <c r="K82" s="3"/>
      <c r="L82" s="3"/>
      <c r="M82" s="268"/>
      <c r="N82" s="222"/>
      <c r="O82" s="269"/>
      <c r="P82" s="223"/>
      <c r="Q82" s="297"/>
      <c r="R82" s="297"/>
      <c r="S82" s="218"/>
      <c r="T82" s="219"/>
      <c r="U82" s="30"/>
      <c r="V82" s="31"/>
      <c r="W82" s="30"/>
      <c r="X82" s="220"/>
      <c r="Y82" s="139"/>
      <c r="Z82" s="9"/>
      <c r="AA82" s="9"/>
      <c r="AE82"/>
      <c r="AF82"/>
      <c r="AG82"/>
      <c r="AH82" s="32"/>
      <c r="AP82" s="12"/>
      <c r="AQ82" s="33"/>
    </row>
    <row r="83" spans="1:43">
      <c r="A83"/>
      <c r="B83" s="221"/>
      <c r="C83" s="216"/>
      <c r="D83" s="29"/>
      <c r="E83" s="275"/>
      <c r="F83" s="227"/>
      <c r="G83" s="294"/>
      <c r="H83" s="214"/>
      <c r="I83" s="271"/>
      <c r="J83"/>
      <c r="K83" s="267"/>
      <c r="L83" s="267"/>
      <c r="M83" s="268"/>
      <c r="N83" s="176"/>
      <c r="O83" s="269"/>
      <c r="P83" s="236"/>
      <c r="Q83" s="282"/>
      <c r="R83" s="282"/>
      <c r="S83" s="218"/>
      <c r="T83" s="219"/>
      <c r="U83" s="30"/>
      <c r="V83" s="31"/>
      <c r="W83" s="30"/>
      <c r="X83" s="220"/>
      <c r="Y83" s="139"/>
      <c r="Z83" s="9"/>
      <c r="AA83" s="9"/>
    </row>
    <row r="84" spans="1:43">
      <c r="A84"/>
      <c r="C84" s="216"/>
      <c r="D84" s="29"/>
      <c r="F84" s="32"/>
      <c r="G84" s="293"/>
      <c r="H84" s="9"/>
      <c r="I84" s="9"/>
      <c r="K84" s="3"/>
      <c r="L84" s="3"/>
      <c r="M84" s="268"/>
      <c r="N84" s="222"/>
      <c r="O84" s="269"/>
      <c r="P84" s="223"/>
      <c r="Q84" s="297"/>
      <c r="R84" s="297"/>
      <c r="S84" s="218"/>
      <c r="T84" s="219"/>
      <c r="U84" s="30"/>
      <c r="V84" s="31"/>
      <c r="W84" s="30"/>
      <c r="X84" s="220"/>
      <c r="Y84" s="139"/>
      <c r="Z84" s="9"/>
      <c r="AA84" s="9"/>
    </row>
    <row r="85" spans="1:43">
      <c r="A85"/>
      <c r="B85" s="215"/>
      <c r="C85" s="216"/>
      <c r="D85" s="29"/>
      <c r="E85" s="275"/>
      <c r="F85" s="227"/>
      <c r="G85" s="294"/>
      <c r="H85" s="214"/>
      <c r="I85" s="271"/>
      <c r="K85" s="267"/>
      <c r="L85" s="267"/>
      <c r="M85" s="268"/>
      <c r="N85" s="176"/>
      <c r="O85" s="269"/>
      <c r="P85" s="236"/>
      <c r="Q85" s="282"/>
      <c r="R85" s="282"/>
      <c r="S85" s="218"/>
      <c r="T85" s="219"/>
      <c r="U85" s="30"/>
      <c r="V85" s="31"/>
      <c r="W85" s="30"/>
      <c r="X85" s="220"/>
      <c r="Y85" s="139"/>
      <c r="Z85" s="9"/>
      <c r="AA85" s="9"/>
      <c r="AB85" s="32"/>
    </row>
    <row r="86" spans="1:43">
      <c r="A86"/>
      <c r="B86" s="221"/>
      <c r="C86" s="216"/>
      <c r="D86" s="29"/>
      <c r="F86" s="32"/>
      <c r="G86" s="293"/>
      <c r="H86" s="9"/>
      <c r="I86" s="9"/>
      <c r="K86" s="3"/>
      <c r="L86" s="3"/>
      <c r="M86" s="268"/>
      <c r="N86" s="222"/>
      <c r="O86" s="269"/>
      <c r="P86" s="223"/>
      <c r="Q86" s="297"/>
      <c r="R86" s="297"/>
      <c r="S86" s="218"/>
      <c r="T86" s="219"/>
      <c r="U86" s="30"/>
      <c r="V86" s="31"/>
      <c r="W86" s="30"/>
      <c r="X86" s="220"/>
      <c r="Y86" s="139"/>
      <c r="Z86" s="9"/>
      <c r="AA86" s="9"/>
    </row>
    <row r="87" spans="1:43">
      <c r="A87"/>
      <c r="B87" s="221"/>
      <c r="C87" s="216"/>
      <c r="D87" s="29"/>
      <c r="F87" s="32"/>
      <c r="G87" s="293"/>
      <c r="H87" s="9"/>
      <c r="I87" s="9"/>
      <c r="K87" s="3"/>
      <c r="L87" s="3"/>
      <c r="M87" s="268"/>
      <c r="N87" s="222"/>
      <c r="O87" s="269"/>
      <c r="P87" s="223"/>
      <c r="Q87" s="297"/>
      <c r="R87" s="297"/>
      <c r="S87" s="218"/>
      <c r="T87" s="219"/>
      <c r="U87" s="30"/>
      <c r="V87" s="31"/>
      <c r="W87" s="30"/>
      <c r="X87" s="220"/>
      <c r="Y87" s="139"/>
      <c r="Z87" s="9"/>
      <c r="AA87" s="9"/>
      <c r="AH87" s="32"/>
    </row>
    <row r="88" spans="1:43">
      <c r="A88"/>
      <c r="C88" s="216"/>
      <c r="D88" s="29"/>
      <c r="E88" s="242"/>
      <c r="F88" s="58"/>
      <c r="G88" s="295"/>
      <c r="H88" s="29"/>
      <c r="I88" s="9"/>
      <c r="K88" s="277"/>
      <c r="L88" s="277"/>
      <c r="M88" s="268"/>
      <c r="N88" s="176"/>
      <c r="O88" s="269"/>
      <c r="P88" s="236"/>
      <c r="Q88" s="278"/>
      <c r="R88" s="278"/>
      <c r="S88" s="218"/>
      <c r="T88" s="219"/>
      <c r="U88" s="30"/>
      <c r="V88" s="31"/>
      <c r="W88" s="30"/>
      <c r="X88" s="220"/>
      <c r="Y88" s="139"/>
      <c r="Z88" s="9"/>
      <c r="AA88" s="9"/>
      <c r="AH88" s="32"/>
    </row>
    <row r="89" spans="1:43">
      <c r="A89"/>
      <c r="B89" s="221"/>
      <c r="C89" s="216"/>
      <c r="D89" s="29"/>
      <c r="F89" s="32"/>
      <c r="G89" s="293"/>
      <c r="H89" s="9"/>
      <c r="I89" s="9"/>
      <c r="K89" s="3"/>
      <c r="L89" s="3"/>
      <c r="M89" s="268"/>
      <c r="N89" s="222"/>
      <c r="O89" s="269"/>
      <c r="P89" s="223"/>
      <c r="Q89" s="297"/>
      <c r="R89" s="297"/>
      <c r="S89" s="218"/>
      <c r="T89" s="219"/>
      <c r="U89" s="30"/>
      <c r="V89" s="31"/>
      <c r="W89" s="30"/>
      <c r="X89" s="220"/>
      <c r="Y89" s="139"/>
      <c r="Z89" s="9"/>
      <c r="AA89" s="9"/>
    </row>
    <row r="90" spans="1:43">
      <c r="A90"/>
      <c r="C90" s="216"/>
      <c r="D90" s="29"/>
      <c r="F90" s="32"/>
      <c r="G90" s="293"/>
      <c r="H90" s="9"/>
      <c r="I90" s="9"/>
      <c r="K90" s="3"/>
      <c r="L90" s="3"/>
      <c r="M90" s="268"/>
      <c r="N90" s="222"/>
      <c r="O90" s="269"/>
      <c r="P90" s="223"/>
      <c r="Q90" s="297"/>
      <c r="R90" s="297"/>
      <c r="S90" s="218"/>
      <c r="T90" s="219"/>
      <c r="U90" s="30"/>
      <c r="V90" s="31"/>
      <c r="W90" s="30"/>
      <c r="X90" s="220"/>
      <c r="Y90" s="139"/>
      <c r="Z90" s="9"/>
      <c r="AA90" s="9"/>
    </row>
    <row r="91" spans="1:43">
      <c r="A91"/>
      <c r="B91" s="215"/>
      <c r="C91" s="216"/>
      <c r="D91" s="29"/>
      <c r="E91" s="275"/>
      <c r="F91" s="227"/>
      <c r="G91" s="294"/>
      <c r="H91" s="214"/>
      <c r="I91" s="271"/>
      <c r="K91" s="267"/>
      <c r="L91" s="267"/>
      <c r="M91" s="268"/>
      <c r="N91" s="176"/>
      <c r="O91" s="269"/>
      <c r="P91" s="236"/>
      <c r="Q91" s="282"/>
      <c r="R91" s="282"/>
      <c r="S91" s="218"/>
      <c r="T91" s="219"/>
      <c r="U91" s="30"/>
      <c r="V91" s="31"/>
      <c r="W91" s="30"/>
      <c r="X91" s="220"/>
      <c r="Y91" s="139"/>
      <c r="Z91" s="9"/>
      <c r="AA91" s="9"/>
      <c r="AB91" s="32"/>
    </row>
    <row r="92" spans="1:43">
      <c r="A92"/>
      <c r="C92" s="216"/>
      <c r="D92" s="29"/>
      <c r="E92" s="275"/>
      <c r="F92" s="227"/>
      <c r="G92" s="294"/>
      <c r="H92" s="214"/>
      <c r="I92" s="271"/>
      <c r="K92" s="267"/>
      <c r="L92" s="267"/>
      <c r="M92" s="268"/>
      <c r="N92" s="176"/>
      <c r="O92" s="269"/>
      <c r="P92" s="236"/>
      <c r="Q92" s="282"/>
      <c r="R92" s="282"/>
      <c r="S92" s="218"/>
      <c r="T92" s="219"/>
      <c r="U92" s="30"/>
      <c r="V92" s="31"/>
      <c r="W92" s="30"/>
      <c r="X92" s="220"/>
      <c r="Y92" s="139"/>
      <c r="Z92" s="9"/>
      <c r="AA92" s="9"/>
      <c r="AH92" s="32"/>
    </row>
    <row r="93" spans="1:43">
      <c r="A93"/>
      <c r="B93" s="215"/>
      <c r="C93" s="216"/>
      <c r="D93" s="29"/>
      <c r="E93" s="275"/>
      <c r="F93" s="227"/>
      <c r="G93" s="294"/>
      <c r="H93" s="214"/>
      <c r="I93" s="271"/>
      <c r="K93" s="267"/>
      <c r="L93" s="267"/>
      <c r="M93" s="268"/>
      <c r="N93" s="176"/>
      <c r="O93" s="269"/>
      <c r="P93" s="236"/>
      <c r="Q93" s="282"/>
      <c r="R93" s="282"/>
      <c r="S93" s="218"/>
      <c r="T93" s="219"/>
      <c r="U93" s="30"/>
      <c r="V93" s="31"/>
      <c r="W93" s="30"/>
      <c r="X93" s="220"/>
      <c r="Y93" s="139"/>
      <c r="Z93" s="9"/>
      <c r="AA93" s="9"/>
      <c r="AH93" s="32"/>
    </row>
    <row r="94" spans="1:43">
      <c r="A94"/>
      <c r="C94" s="216"/>
      <c r="D94" s="29"/>
      <c r="F94" s="32"/>
      <c r="G94" s="293"/>
      <c r="H94" s="9"/>
      <c r="I94" s="9"/>
      <c r="K94" s="3"/>
      <c r="L94" s="3"/>
      <c r="M94" s="268"/>
      <c r="N94" s="222"/>
      <c r="O94" s="269"/>
      <c r="P94" s="223"/>
      <c r="Q94" s="297"/>
      <c r="R94" s="297"/>
      <c r="S94" s="218"/>
      <c r="T94" s="219"/>
      <c r="U94" s="30"/>
      <c r="V94" s="31"/>
      <c r="W94" s="30"/>
      <c r="X94" s="220"/>
      <c r="Y94" s="139"/>
      <c r="Z94" s="9"/>
      <c r="AA94" s="9"/>
      <c r="AH94" s="32"/>
    </row>
    <row r="95" spans="1:43">
      <c r="A95"/>
      <c r="C95" s="216"/>
      <c r="D95" s="29"/>
      <c r="E95" s="275"/>
      <c r="F95" s="227"/>
      <c r="G95" s="294"/>
      <c r="H95" s="214"/>
      <c r="I95" s="271"/>
      <c r="K95" s="267"/>
      <c r="L95" s="267"/>
      <c r="M95" s="268"/>
      <c r="N95" s="176"/>
      <c r="O95" s="269"/>
      <c r="P95" s="236"/>
      <c r="Q95" s="282"/>
      <c r="R95" s="282"/>
      <c r="S95" s="218"/>
      <c r="T95" s="219"/>
      <c r="U95" s="30"/>
      <c r="V95" s="31"/>
      <c r="W95" s="30"/>
      <c r="X95" s="220"/>
      <c r="Y95" s="139"/>
      <c r="Z95" s="9"/>
      <c r="AA95" s="9"/>
      <c r="AH95" s="32"/>
    </row>
    <row r="96" spans="1:43">
      <c r="A96"/>
      <c r="B96" s="221"/>
      <c r="C96" s="216"/>
      <c r="D96" s="29"/>
      <c r="F96" s="32"/>
      <c r="G96" s="293"/>
      <c r="H96" s="9"/>
      <c r="I96" s="9"/>
      <c r="K96" s="3"/>
      <c r="L96" s="3"/>
      <c r="M96" s="268"/>
      <c r="N96" s="222"/>
      <c r="O96" s="269"/>
      <c r="P96" s="223"/>
      <c r="Q96" s="297"/>
      <c r="R96" s="297"/>
      <c r="S96" s="218"/>
      <c r="T96" s="219"/>
      <c r="U96" s="30"/>
      <c r="V96" s="31"/>
      <c r="W96" s="30"/>
      <c r="X96" s="220"/>
      <c r="Y96" s="139"/>
      <c r="Z96" s="9"/>
      <c r="AA96" s="9"/>
    </row>
    <row r="97" spans="1:34">
      <c r="A97"/>
      <c r="C97" s="216"/>
      <c r="D97" s="29"/>
      <c r="E97" s="242"/>
      <c r="F97" s="227"/>
      <c r="G97" s="294"/>
      <c r="H97" s="232"/>
      <c r="I97" s="9"/>
      <c r="K97" s="217"/>
      <c r="L97" s="217"/>
      <c r="M97" s="268"/>
      <c r="N97" s="176"/>
      <c r="O97" s="269"/>
      <c r="P97" s="236"/>
      <c r="Q97" s="238"/>
      <c r="R97" s="238"/>
      <c r="S97" s="218"/>
      <c r="T97" s="219"/>
      <c r="U97" s="30"/>
      <c r="V97" s="31"/>
      <c r="W97" s="30"/>
      <c r="X97" s="220"/>
      <c r="Y97" s="139"/>
      <c r="Z97" s="9"/>
      <c r="AA97" s="9"/>
    </row>
    <row r="98" spans="1:34">
      <c r="A98"/>
      <c r="B98" s="221"/>
      <c r="C98" s="216"/>
      <c r="D98" s="29"/>
      <c r="F98" s="32"/>
      <c r="G98" s="293"/>
      <c r="H98" s="9"/>
      <c r="I98" s="9"/>
      <c r="K98" s="3"/>
      <c r="L98" s="3"/>
      <c r="M98" s="268"/>
      <c r="N98" s="222"/>
      <c r="O98" s="269"/>
      <c r="P98" s="223"/>
      <c r="Q98" s="297"/>
      <c r="R98" s="297"/>
      <c r="S98" s="218"/>
      <c r="T98" s="219"/>
      <c r="U98" s="30"/>
      <c r="V98" s="31"/>
      <c r="W98" s="30"/>
      <c r="X98" s="220"/>
      <c r="Y98" s="139"/>
      <c r="Z98" s="9"/>
      <c r="AA98" s="9"/>
      <c r="AH98" s="32"/>
    </row>
    <row r="99" spans="1:34">
      <c r="A99"/>
      <c r="E99" s="275"/>
      <c r="F99" s="227"/>
      <c r="G99" s="294"/>
      <c r="H99" s="214"/>
      <c r="I99" s="271"/>
      <c r="K99" s="267"/>
      <c r="L99" s="267"/>
      <c r="M99" s="268"/>
      <c r="N99" s="176"/>
      <c r="O99" s="269"/>
      <c r="P99" s="236"/>
      <c r="Q99" s="282"/>
      <c r="R99" s="282"/>
      <c r="S99" s="218"/>
      <c r="T99" s="219"/>
      <c r="U99" s="30"/>
      <c r="V99" s="31"/>
      <c r="W99" s="30"/>
      <c r="X99" s="220"/>
      <c r="Y99" s="139"/>
      <c r="Z99" s="9"/>
      <c r="AH99" s="32"/>
    </row>
    <row r="100" spans="1:34">
      <c r="A100"/>
      <c r="C100" s="216"/>
      <c r="D100" s="29"/>
      <c r="F100" s="32"/>
      <c r="G100" s="293"/>
      <c r="H100" s="9"/>
      <c r="I100" s="9"/>
      <c r="K100" s="3"/>
      <c r="L100" s="3"/>
      <c r="M100" s="268"/>
      <c r="N100" s="222"/>
      <c r="O100" s="269"/>
      <c r="P100" s="223"/>
      <c r="Q100" s="297"/>
      <c r="R100" s="297"/>
      <c r="S100" s="218"/>
      <c r="T100" s="219"/>
      <c r="U100" s="30"/>
      <c r="V100" s="31"/>
      <c r="W100" s="30"/>
      <c r="X100" s="220"/>
      <c r="Y100" s="139"/>
      <c r="Z100" s="9"/>
      <c r="AA100" s="9"/>
      <c r="AH100" s="32"/>
    </row>
    <row r="101" spans="1:34">
      <c r="A101"/>
      <c r="B101" s="215"/>
      <c r="C101" s="216"/>
      <c r="D101" s="29"/>
      <c r="E101" s="275"/>
      <c r="F101" s="227"/>
      <c r="G101" s="294"/>
      <c r="H101" s="214"/>
      <c r="I101" s="271"/>
      <c r="K101" s="267"/>
      <c r="L101" s="267"/>
      <c r="M101" s="268"/>
      <c r="N101" s="176"/>
      <c r="O101" s="269"/>
      <c r="P101" s="236"/>
      <c r="Q101" s="282"/>
      <c r="R101" s="282"/>
      <c r="S101" s="218"/>
      <c r="T101" s="219"/>
      <c r="U101" s="30"/>
      <c r="V101" s="31"/>
      <c r="W101" s="30"/>
      <c r="X101" s="220"/>
      <c r="Y101" s="139"/>
      <c r="Z101" s="9"/>
      <c r="AA101" s="9"/>
      <c r="AB101" s="32"/>
      <c r="AH101" s="32"/>
    </row>
    <row r="102" spans="1:34">
      <c r="A102"/>
      <c r="C102" s="216"/>
      <c r="D102" s="29"/>
      <c r="E102" s="275"/>
      <c r="F102" s="58"/>
      <c r="G102" s="295"/>
      <c r="H102" s="29"/>
      <c r="I102" s="271"/>
      <c r="K102" s="267"/>
      <c r="L102" s="267"/>
      <c r="M102" s="268"/>
      <c r="N102" s="176"/>
      <c r="O102" s="269"/>
      <c r="P102" s="236"/>
      <c r="Q102" s="282"/>
      <c r="R102" s="282"/>
      <c r="S102" s="218"/>
      <c r="T102" s="219"/>
      <c r="U102" s="30"/>
      <c r="V102" s="31"/>
      <c r="W102" s="30"/>
      <c r="X102" s="220"/>
      <c r="Y102" s="139"/>
      <c r="Z102" s="9"/>
      <c r="AA102" s="9"/>
    </row>
    <row r="103" spans="1:34">
      <c r="A103"/>
      <c r="C103" s="216"/>
      <c r="D103" s="29"/>
      <c r="E103" s="242"/>
      <c r="F103" s="227"/>
      <c r="G103" s="294"/>
      <c r="H103" s="232"/>
      <c r="I103" s="9"/>
      <c r="K103" s="217"/>
      <c r="L103" s="217"/>
      <c r="M103" s="268"/>
      <c r="N103" s="176"/>
      <c r="O103" s="269"/>
      <c r="P103" s="236"/>
      <c r="Q103" s="238"/>
      <c r="R103" s="238"/>
      <c r="S103" s="218"/>
      <c r="T103" s="219"/>
      <c r="U103" s="30"/>
      <c r="V103" s="31"/>
      <c r="W103" s="30"/>
      <c r="X103" s="220"/>
      <c r="Y103" s="139"/>
      <c r="Z103" s="9"/>
      <c r="AA103" s="9"/>
      <c r="AH103" s="32"/>
    </row>
    <row r="104" spans="1:34">
      <c r="A104"/>
      <c r="E104" s="275"/>
      <c r="F104" s="227"/>
      <c r="G104" s="294"/>
      <c r="H104" s="214"/>
      <c r="I104" s="271"/>
      <c r="K104" s="267"/>
      <c r="L104" s="267"/>
      <c r="M104" s="268"/>
      <c r="N104" s="176"/>
      <c r="O104" s="269"/>
      <c r="P104" s="236"/>
      <c r="Q104" s="282"/>
      <c r="R104" s="282"/>
      <c r="S104" s="218"/>
      <c r="T104" s="219"/>
      <c r="U104" s="30"/>
      <c r="V104" s="31"/>
      <c r="W104" s="30"/>
      <c r="X104" s="220"/>
      <c r="Y104" s="139"/>
      <c r="Z104" s="9"/>
      <c r="AH104" s="32"/>
    </row>
    <row r="105" spans="1:34">
      <c r="A105"/>
      <c r="B105" s="221"/>
      <c r="C105" s="216"/>
      <c r="D105" s="29"/>
      <c r="F105" s="32"/>
      <c r="G105" s="293"/>
      <c r="H105" s="9"/>
      <c r="I105" s="9"/>
      <c r="K105" s="3"/>
      <c r="L105" s="3"/>
      <c r="M105" s="268"/>
      <c r="N105" s="222"/>
      <c r="O105" s="269"/>
      <c r="P105" s="223"/>
      <c r="Q105" s="297"/>
      <c r="R105" s="297"/>
      <c r="S105" s="218"/>
      <c r="T105" s="219"/>
      <c r="U105" s="30"/>
      <c r="V105" s="31"/>
      <c r="W105" s="30"/>
      <c r="X105" s="220"/>
      <c r="Y105" s="139"/>
      <c r="Z105" s="9"/>
      <c r="AA105" s="9"/>
      <c r="AH105" s="32"/>
    </row>
    <row r="106" spans="1:34">
      <c r="A106"/>
      <c r="C106" s="216"/>
      <c r="D106" s="29"/>
      <c r="F106" s="32"/>
      <c r="G106" s="293"/>
      <c r="H106" s="9"/>
      <c r="I106" s="9"/>
      <c r="K106" s="3"/>
      <c r="L106" s="3"/>
      <c r="M106" s="268"/>
      <c r="N106" s="222"/>
      <c r="O106" s="269"/>
      <c r="P106" s="223"/>
      <c r="Q106" s="297"/>
      <c r="R106" s="297"/>
      <c r="S106" s="218"/>
      <c r="T106" s="219"/>
      <c r="U106" s="30"/>
      <c r="V106" s="31"/>
      <c r="W106" s="30"/>
      <c r="X106" s="220"/>
      <c r="Y106" s="139"/>
      <c r="Z106" s="9"/>
      <c r="AA106" s="9"/>
      <c r="AH106" s="32"/>
    </row>
    <row r="107" spans="1:34">
      <c r="A107"/>
      <c r="C107" s="216"/>
      <c r="D107" s="29"/>
      <c r="E107" s="275"/>
      <c r="F107" s="227"/>
      <c r="G107" s="294"/>
      <c r="H107" s="214"/>
      <c r="I107" s="271"/>
      <c r="K107" s="267"/>
      <c r="L107" s="267"/>
      <c r="M107" s="268"/>
      <c r="N107" s="176"/>
      <c r="O107" s="269"/>
      <c r="P107" s="236"/>
      <c r="Q107" s="282"/>
      <c r="R107" s="282"/>
      <c r="S107" s="218"/>
      <c r="T107" s="219"/>
      <c r="U107" s="30"/>
      <c r="V107" s="31"/>
      <c r="W107" s="30"/>
      <c r="X107" s="220"/>
      <c r="Y107" s="139"/>
      <c r="Z107" s="9"/>
      <c r="AA107" s="9"/>
    </row>
    <row r="108" spans="1:34">
      <c r="A108"/>
      <c r="C108" s="216"/>
      <c r="D108" s="29"/>
      <c r="E108" s="275"/>
      <c r="F108" s="58"/>
      <c r="G108" s="295"/>
      <c r="H108" s="29"/>
      <c r="I108" s="271"/>
      <c r="K108" s="267"/>
      <c r="L108" s="267"/>
      <c r="M108" s="268"/>
      <c r="N108" s="176"/>
      <c r="O108" s="269"/>
      <c r="P108" s="236"/>
      <c r="Q108" s="282"/>
      <c r="R108" s="282"/>
      <c r="S108" s="218"/>
      <c r="T108" s="219"/>
      <c r="U108" s="30"/>
      <c r="V108" s="31"/>
      <c r="W108" s="30"/>
      <c r="X108" s="220"/>
      <c r="Y108" s="139"/>
      <c r="Z108" s="9"/>
      <c r="AA108" s="9"/>
    </row>
    <row r="109" spans="1:34">
      <c r="A109"/>
      <c r="B109" s="215"/>
      <c r="C109" s="216"/>
      <c r="D109" s="29"/>
      <c r="E109" s="275"/>
      <c r="F109" s="227"/>
      <c r="G109" s="294"/>
      <c r="H109" s="214"/>
      <c r="I109" s="271"/>
      <c r="K109" s="267"/>
      <c r="L109" s="267"/>
      <c r="M109" s="268"/>
      <c r="N109" s="176"/>
      <c r="O109" s="269"/>
      <c r="P109" s="236"/>
      <c r="Q109" s="282"/>
      <c r="R109" s="282"/>
      <c r="S109" s="218"/>
      <c r="T109" s="219"/>
      <c r="U109" s="30"/>
      <c r="V109" s="31"/>
      <c r="W109" s="30"/>
      <c r="X109" s="220"/>
      <c r="Y109" s="139"/>
      <c r="Z109" s="9"/>
      <c r="AA109" s="9"/>
      <c r="AB109" s="32"/>
    </row>
    <row r="110" spans="1:34">
      <c r="A110"/>
      <c r="B110" s="215"/>
      <c r="C110" s="216"/>
      <c r="D110" s="29"/>
      <c r="E110" s="275"/>
      <c r="F110" s="227"/>
      <c r="G110" s="294"/>
      <c r="H110" s="214"/>
      <c r="I110" s="271"/>
      <c r="J110"/>
      <c r="K110" s="267"/>
      <c r="L110" s="267"/>
      <c r="M110" s="268"/>
      <c r="N110" s="176"/>
      <c r="O110" s="269"/>
      <c r="P110" s="236"/>
      <c r="Q110" s="282"/>
      <c r="R110" s="282"/>
      <c r="S110" s="218"/>
      <c r="T110" s="219"/>
      <c r="U110" s="30"/>
      <c r="V110" s="31"/>
      <c r="W110" s="30"/>
      <c r="X110" s="220"/>
      <c r="Y110" s="139"/>
      <c r="Z110" s="9"/>
      <c r="AA110" s="9"/>
      <c r="AB110" s="32"/>
    </row>
    <row r="111" spans="1:34">
      <c r="A111"/>
      <c r="C111" s="216"/>
      <c r="D111" s="29"/>
      <c r="F111" s="32"/>
      <c r="G111" s="293"/>
      <c r="H111" s="9"/>
      <c r="I111" s="9"/>
      <c r="K111" s="3"/>
      <c r="L111" s="3"/>
      <c r="M111" s="268"/>
      <c r="N111" s="222"/>
      <c r="O111" s="269"/>
      <c r="P111" s="223"/>
      <c r="Q111" s="297"/>
      <c r="R111" s="297"/>
      <c r="S111" s="218"/>
      <c r="T111" s="219"/>
      <c r="U111" s="30"/>
      <c r="V111" s="31"/>
      <c r="W111" s="30"/>
      <c r="X111" s="220"/>
      <c r="Y111" s="139"/>
      <c r="Z111" s="9"/>
      <c r="AA111" s="9"/>
    </row>
    <row r="112" spans="1:34">
      <c r="A112"/>
      <c r="B112" s="221"/>
      <c r="C112" s="216"/>
      <c r="D112" s="29"/>
      <c r="E112" s="275"/>
      <c r="F112" s="227"/>
      <c r="G112" s="294"/>
      <c r="H112" s="214"/>
      <c r="I112" s="271"/>
      <c r="K112" s="267"/>
      <c r="L112" s="267"/>
      <c r="M112" s="268"/>
      <c r="N112" s="176"/>
      <c r="O112" s="269"/>
      <c r="P112" s="236"/>
      <c r="Q112" s="282"/>
      <c r="R112" s="282"/>
      <c r="S112" s="218"/>
      <c r="T112" s="219"/>
      <c r="U112" s="30"/>
      <c r="V112" s="31"/>
      <c r="W112" s="30"/>
      <c r="X112" s="220"/>
      <c r="Y112" s="139"/>
      <c r="Z112" s="9"/>
      <c r="AA112" s="9"/>
    </row>
    <row r="113" spans="1:28">
      <c r="A113"/>
      <c r="B113" s="215"/>
      <c r="C113" s="216"/>
      <c r="D113" s="29"/>
      <c r="F113" s="32"/>
      <c r="G113" s="293"/>
      <c r="H113" s="9"/>
      <c r="I113" s="9"/>
      <c r="K113" s="3"/>
      <c r="L113" s="3"/>
      <c r="M113" s="268"/>
      <c r="N113" s="222"/>
      <c r="O113" s="269"/>
      <c r="P113" s="223"/>
      <c r="Q113" s="297"/>
      <c r="R113" s="297"/>
      <c r="S113" s="218"/>
      <c r="T113" s="219"/>
      <c r="U113" s="30"/>
      <c r="V113" s="31"/>
      <c r="W113" s="30"/>
      <c r="X113" s="220"/>
      <c r="Y113" s="139"/>
      <c r="Z113" s="9"/>
      <c r="AA113" s="9"/>
      <c r="AB113" s="32"/>
    </row>
    <row r="114" spans="1:28">
      <c r="A114"/>
      <c r="E114" s="275"/>
      <c r="F114" s="227"/>
      <c r="G114" s="294"/>
      <c r="H114" s="214"/>
      <c r="I114" s="271"/>
      <c r="K114" s="267"/>
      <c r="L114" s="267"/>
      <c r="M114" s="268"/>
      <c r="N114" s="176"/>
      <c r="O114" s="269"/>
      <c r="P114" s="236"/>
      <c r="Q114" s="282"/>
      <c r="R114" s="282"/>
      <c r="S114" s="218"/>
      <c r="T114" s="219"/>
      <c r="U114" s="30"/>
      <c r="V114" s="31"/>
      <c r="W114" s="30"/>
      <c r="X114" s="220"/>
      <c r="Y114" s="139"/>
      <c r="Z114" s="9"/>
    </row>
    <row r="115" spans="1:28">
      <c r="A115"/>
      <c r="B115" s="215"/>
      <c r="C115" s="216"/>
      <c r="D115" s="29"/>
      <c r="F115" s="32"/>
      <c r="G115" s="293"/>
      <c r="H115" s="9"/>
      <c r="I115" s="9"/>
      <c r="K115" s="3"/>
      <c r="L115" s="3"/>
      <c r="M115" s="268"/>
      <c r="N115" s="222"/>
      <c r="O115" s="269"/>
      <c r="P115" s="223"/>
      <c r="Q115" s="297"/>
      <c r="R115" s="297"/>
      <c r="S115" s="218"/>
      <c r="T115" s="219"/>
      <c r="U115" s="30"/>
      <c r="V115" s="31"/>
      <c r="W115" s="30"/>
      <c r="X115" s="220"/>
      <c r="Y115" s="139"/>
      <c r="Z115" s="9"/>
      <c r="AA115" s="9"/>
      <c r="AB115" s="32"/>
    </row>
    <row r="116" spans="1:28">
      <c r="A116"/>
      <c r="C116" s="216"/>
      <c r="D116" s="29"/>
      <c r="F116" s="32"/>
      <c r="G116" s="293"/>
      <c r="H116" s="9"/>
      <c r="I116" s="9"/>
      <c r="K116" s="3"/>
      <c r="L116" s="3"/>
      <c r="M116" s="268"/>
      <c r="N116" s="222"/>
      <c r="O116" s="269"/>
      <c r="P116" s="223"/>
      <c r="Q116" s="297"/>
      <c r="R116" s="297"/>
      <c r="S116" s="218"/>
      <c r="T116" s="219"/>
      <c r="U116" s="30"/>
      <c r="V116" s="31"/>
      <c r="W116" s="30"/>
      <c r="X116" s="220"/>
      <c r="Y116" s="139"/>
      <c r="Z116" s="9"/>
      <c r="AA116" s="9"/>
    </row>
    <row r="117" spans="1:28">
      <c r="A117"/>
      <c r="B117" s="221"/>
      <c r="C117" s="216"/>
      <c r="D117" s="29"/>
      <c r="E117" s="275"/>
      <c r="F117" s="227"/>
      <c r="G117" s="294"/>
      <c r="H117" s="214"/>
      <c r="I117" s="271"/>
      <c r="K117" s="267"/>
      <c r="L117" s="267"/>
      <c r="M117" s="268"/>
      <c r="N117" s="176"/>
      <c r="O117" s="269"/>
      <c r="P117" s="236"/>
      <c r="Q117" s="282"/>
      <c r="R117" s="282"/>
      <c r="S117" s="218"/>
      <c r="T117" s="219"/>
      <c r="U117" s="30"/>
      <c r="V117" s="31"/>
      <c r="W117" s="30"/>
      <c r="X117" s="220"/>
      <c r="Y117" s="139"/>
      <c r="Z117" s="9"/>
      <c r="AA117" s="9"/>
    </row>
    <row r="118" spans="1:28">
      <c r="A118"/>
      <c r="B118" s="221"/>
      <c r="C118" s="216"/>
      <c r="D118" s="29"/>
      <c r="E118" s="275"/>
      <c r="F118" s="227"/>
      <c r="G118" s="294"/>
      <c r="H118" s="214"/>
      <c r="I118" s="271"/>
      <c r="K118" s="267"/>
      <c r="L118" s="267"/>
      <c r="M118" s="268"/>
      <c r="N118" s="176"/>
      <c r="O118" s="269"/>
      <c r="P118" s="236"/>
      <c r="Q118" s="282"/>
      <c r="R118" s="282"/>
      <c r="S118" s="218"/>
      <c r="T118" s="219"/>
      <c r="U118" s="30"/>
      <c r="V118" s="31"/>
      <c r="W118" s="30"/>
      <c r="X118" s="220"/>
      <c r="Y118" s="139"/>
      <c r="Z118" s="9"/>
      <c r="AA118" s="9"/>
    </row>
    <row r="119" spans="1:28">
      <c r="A119"/>
      <c r="C119" s="216"/>
      <c r="D119" s="29"/>
      <c r="E119" s="275"/>
      <c r="F119" s="227"/>
      <c r="G119" s="294"/>
      <c r="H119" s="214"/>
      <c r="I119" s="271"/>
      <c r="J119"/>
      <c r="K119" s="267"/>
      <c r="L119" s="267"/>
      <c r="M119" s="268"/>
      <c r="N119" s="176"/>
      <c r="O119" s="269"/>
      <c r="P119" s="236"/>
      <c r="Q119" s="282"/>
      <c r="R119" s="282"/>
      <c r="S119" s="218"/>
      <c r="T119" s="219"/>
      <c r="U119" s="30"/>
      <c r="V119" s="31"/>
      <c r="W119" s="30"/>
      <c r="X119" s="220"/>
      <c r="Y119" s="139"/>
      <c r="Z119" s="9"/>
      <c r="AA119" s="9"/>
    </row>
    <row r="120" spans="1:28">
      <c r="A120"/>
      <c r="C120" s="216"/>
      <c r="D120" s="29"/>
      <c r="E120" s="275"/>
      <c r="F120" s="227"/>
      <c r="G120" s="294"/>
      <c r="H120" s="214"/>
      <c r="I120" s="271"/>
      <c r="J120"/>
      <c r="K120" s="267"/>
      <c r="L120" s="267"/>
      <c r="M120" s="268"/>
      <c r="N120" s="176"/>
      <c r="O120" s="269"/>
      <c r="P120" s="236"/>
      <c r="Q120" s="282"/>
      <c r="R120" s="282"/>
      <c r="S120" s="218"/>
      <c r="T120" s="219"/>
      <c r="U120" s="30"/>
      <c r="V120" s="31"/>
      <c r="W120" s="30"/>
      <c r="X120" s="220"/>
      <c r="Y120" s="139"/>
      <c r="Z120" s="9"/>
      <c r="AA120" s="9"/>
    </row>
    <row r="121" spans="1:28">
      <c r="A121"/>
      <c r="E121" s="275"/>
      <c r="F121" s="227"/>
      <c r="G121" s="294"/>
      <c r="H121" s="214"/>
      <c r="I121" s="271"/>
      <c r="K121" s="267"/>
      <c r="L121" s="267"/>
      <c r="M121" s="268"/>
      <c r="N121" s="176"/>
      <c r="O121" s="269"/>
      <c r="P121" s="236"/>
      <c r="Q121" s="282"/>
      <c r="R121" s="282"/>
      <c r="S121" s="218"/>
      <c r="T121" s="219"/>
      <c r="U121" s="30"/>
      <c r="V121" s="31"/>
      <c r="W121" s="30"/>
      <c r="X121" s="220"/>
      <c r="Y121" s="139"/>
      <c r="Z121" s="9"/>
    </row>
    <row r="122" spans="1:28">
      <c r="A122"/>
      <c r="C122" s="216"/>
      <c r="D122" s="29"/>
      <c r="E122" s="275"/>
      <c r="F122" s="227"/>
      <c r="G122" s="294"/>
      <c r="H122" s="214"/>
      <c r="I122" s="271"/>
      <c r="K122" s="267"/>
      <c r="L122" s="267"/>
      <c r="M122" s="268"/>
      <c r="N122" s="176"/>
      <c r="O122" s="269"/>
      <c r="P122" s="236"/>
      <c r="Q122" s="282"/>
      <c r="R122" s="282"/>
      <c r="S122" s="218"/>
      <c r="T122" s="219"/>
      <c r="U122" s="30"/>
      <c r="V122" s="31"/>
      <c r="W122" s="30"/>
      <c r="X122" s="220"/>
      <c r="Y122" s="139"/>
      <c r="Z122" s="9"/>
      <c r="AA122" s="9"/>
    </row>
    <row r="123" spans="1:28">
      <c r="A123"/>
      <c r="E123" s="275"/>
      <c r="F123" s="227"/>
      <c r="G123" s="294"/>
      <c r="H123" s="214"/>
      <c r="I123" s="271"/>
      <c r="K123" s="267"/>
      <c r="L123" s="267"/>
      <c r="M123" s="268"/>
      <c r="N123" s="176"/>
      <c r="O123" s="269"/>
      <c r="P123" s="236"/>
      <c r="Q123" s="282"/>
      <c r="R123" s="282"/>
      <c r="S123" s="218"/>
      <c r="T123" s="219"/>
      <c r="U123" s="30"/>
      <c r="V123" s="31"/>
      <c r="W123" s="30"/>
      <c r="X123" s="220"/>
      <c r="Y123" s="139"/>
      <c r="Z123" s="9"/>
    </row>
    <row r="124" spans="1:28">
      <c r="A124"/>
      <c r="B124" s="221"/>
      <c r="C124" s="216"/>
      <c r="D124" s="29"/>
      <c r="E124" s="275"/>
      <c r="F124" s="227"/>
      <c r="G124" s="294"/>
      <c r="H124" s="214"/>
      <c r="I124" s="271"/>
      <c r="K124" s="267"/>
      <c r="L124" s="267"/>
      <c r="M124" s="268"/>
      <c r="N124" s="176"/>
      <c r="O124" s="269"/>
      <c r="P124" s="236"/>
      <c r="Q124" s="282"/>
      <c r="R124" s="282"/>
      <c r="S124" s="218"/>
      <c r="T124" s="219"/>
      <c r="U124" s="30"/>
      <c r="V124" s="31"/>
      <c r="W124" s="30"/>
      <c r="X124" s="220"/>
      <c r="Y124" s="139"/>
      <c r="Z124" s="9"/>
      <c r="AA124" s="9"/>
    </row>
    <row r="125" spans="1:28">
      <c r="A125"/>
      <c r="B125" s="221"/>
      <c r="C125" s="216"/>
      <c r="D125" s="29"/>
      <c r="F125" s="32"/>
      <c r="G125" s="293"/>
      <c r="H125" s="9"/>
      <c r="I125" s="9"/>
      <c r="K125" s="3"/>
      <c r="L125" s="3"/>
      <c r="M125" s="268"/>
      <c r="N125" s="222"/>
      <c r="O125" s="269"/>
      <c r="P125" s="223"/>
      <c r="Q125" s="297"/>
      <c r="R125" s="297"/>
      <c r="S125" s="218"/>
      <c r="T125" s="219"/>
      <c r="U125" s="30"/>
      <c r="V125" s="31"/>
      <c r="W125" s="30"/>
      <c r="X125" s="220"/>
      <c r="Y125" s="139"/>
      <c r="Z125" s="9"/>
      <c r="AA125" s="9"/>
    </row>
    <row r="126" spans="1:28">
      <c r="A126"/>
      <c r="C126" s="216"/>
      <c r="D126" s="29"/>
      <c r="E126" s="275"/>
      <c r="F126" s="227"/>
      <c r="G126" s="294"/>
      <c r="H126" s="214"/>
      <c r="I126" s="271"/>
      <c r="K126" s="267"/>
      <c r="L126" s="267"/>
      <c r="M126" s="268"/>
      <c r="N126" s="176"/>
      <c r="O126" s="269"/>
      <c r="P126" s="236"/>
      <c r="Q126" s="282"/>
      <c r="R126" s="282"/>
      <c r="S126" s="218"/>
      <c r="T126" s="219"/>
      <c r="U126" s="30"/>
      <c r="V126" s="31"/>
      <c r="W126" s="30"/>
      <c r="X126" s="220"/>
      <c r="Y126" s="139"/>
      <c r="Z126" s="9"/>
      <c r="AA126" s="9"/>
    </row>
    <row r="127" spans="1:28">
      <c r="A127"/>
      <c r="B127" s="221"/>
      <c r="C127" s="216"/>
      <c r="D127" s="29"/>
      <c r="E127" s="275"/>
      <c r="F127" s="227"/>
      <c r="G127" s="294"/>
      <c r="H127" s="214"/>
      <c r="I127" s="271"/>
      <c r="K127" s="267"/>
      <c r="L127" s="267"/>
      <c r="M127" s="268"/>
      <c r="N127" s="176"/>
      <c r="O127" s="269"/>
      <c r="P127" s="236"/>
      <c r="Q127" s="282"/>
      <c r="R127" s="282"/>
      <c r="S127" s="218"/>
      <c r="T127" s="219"/>
      <c r="U127" s="30"/>
      <c r="V127" s="31"/>
      <c r="W127" s="30"/>
      <c r="X127" s="220"/>
      <c r="Y127" s="139"/>
      <c r="Z127" s="9"/>
      <c r="AA127" s="9"/>
    </row>
    <row r="128" spans="1:28">
      <c r="A128"/>
      <c r="C128" s="216"/>
      <c r="D128" s="29"/>
      <c r="F128" s="32"/>
      <c r="G128" s="293"/>
      <c r="H128" s="9"/>
      <c r="I128" s="9"/>
      <c r="K128" s="3"/>
      <c r="L128" s="3"/>
      <c r="M128" s="268"/>
      <c r="N128" s="222"/>
      <c r="O128" s="269"/>
      <c r="P128" s="223"/>
      <c r="Q128" s="297"/>
      <c r="R128" s="297"/>
      <c r="S128" s="218"/>
      <c r="T128" s="219"/>
      <c r="U128" s="30"/>
      <c r="V128" s="31"/>
      <c r="W128" s="30"/>
      <c r="X128" s="220"/>
      <c r="Y128" s="139"/>
      <c r="Z128" s="9"/>
      <c r="AA128" s="9"/>
    </row>
    <row r="129" spans="1:28">
      <c r="A129"/>
      <c r="E129" s="275"/>
      <c r="F129" s="227"/>
      <c r="G129" s="294"/>
      <c r="H129" s="214"/>
      <c r="I129" s="271"/>
      <c r="K129" s="267"/>
      <c r="L129" s="267"/>
      <c r="M129" s="268"/>
      <c r="N129" s="176"/>
      <c r="O129" s="269"/>
      <c r="P129" s="236"/>
      <c r="Q129" s="282"/>
      <c r="R129" s="282"/>
      <c r="S129" s="218"/>
      <c r="T129" s="219"/>
      <c r="U129" s="30"/>
      <c r="V129" s="31"/>
      <c r="W129" s="30"/>
      <c r="X129" s="220"/>
      <c r="Y129" s="139"/>
      <c r="Z129" s="9"/>
    </row>
    <row r="130" spans="1:28">
      <c r="A130"/>
      <c r="B130" s="221"/>
      <c r="C130" s="216"/>
      <c r="D130" s="29"/>
      <c r="E130" s="275"/>
      <c r="F130" s="227"/>
      <c r="G130" s="294"/>
      <c r="H130" s="214"/>
      <c r="I130" s="271"/>
      <c r="K130" s="267"/>
      <c r="L130" s="267"/>
      <c r="M130" s="268"/>
      <c r="N130" s="176"/>
      <c r="O130" s="269"/>
      <c r="P130" s="236"/>
      <c r="Q130" s="282"/>
      <c r="R130" s="282"/>
      <c r="S130" s="218"/>
      <c r="T130" s="219"/>
      <c r="U130" s="30"/>
      <c r="V130" s="31"/>
      <c r="W130" s="30"/>
      <c r="X130" s="220"/>
      <c r="Y130" s="139"/>
      <c r="Z130" s="9"/>
      <c r="AA130" s="9"/>
    </row>
    <row r="131" spans="1:28">
      <c r="A131"/>
      <c r="B131" s="215"/>
      <c r="C131" s="216"/>
      <c r="D131" s="29"/>
      <c r="F131" s="32"/>
      <c r="G131" s="293"/>
      <c r="H131" s="9"/>
      <c r="I131" s="9"/>
      <c r="K131" s="3"/>
      <c r="L131" s="3"/>
      <c r="M131" s="268"/>
      <c r="N131" s="222"/>
      <c r="O131" s="269"/>
      <c r="P131" s="223"/>
      <c r="Q131" s="297"/>
      <c r="R131" s="297"/>
      <c r="S131" s="218"/>
      <c r="T131" s="219"/>
      <c r="U131" s="30"/>
      <c r="V131" s="31"/>
      <c r="W131" s="30"/>
      <c r="X131" s="220"/>
      <c r="Y131" s="139"/>
      <c r="Z131" s="9"/>
      <c r="AA131" s="9"/>
      <c r="AB131" s="32"/>
    </row>
    <row r="132" spans="1:28">
      <c r="A132"/>
      <c r="C132" s="216"/>
      <c r="D132" s="29"/>
      <c r="F132" s="32"/>
      <c r="G132" s="293"/>
      <c r="H132" s="9"/>
      <c r="I132" s="9"/>
      <c r="K132" s="3"/>
      <c r="L132" s="3"/>
      <c r="M132" s="268"/>
      <c r="N132" s="222"/>
      <c r="O132" s="269"/>
      <c r="P132" s="223"/>
      <c r="Q132" s="297"/>
      <c r="R132" s="297"/>
      <c r="S132" s="218"/>
      <c r="T132" s="219"/>
      <c r="U132" s="30"/>
      <c r="V132" s="31"/>
      <c r="W132" s="30"/>
      <c r="X132" s="220"/>
      <c r="Y132" s="139"/>
      <c r="Z132" s="9"/>
      <c r="AA132" s="9"/>
    </row>
    <row r="133" spans="1:28">
      <c r="A133"/>
      <c r="C133" s="216"/>
      <c r="D133" s="29"/>
      <c r="F133" s="32"/>
      <c r="G133" s="293"/>
      <c r="H133" s="9"/>
      <c r="I133" s="9"/>
      <c r="K133" s="3"/>
      <c r="L133" s="3"/>
      <c r="M133" s="268"/>
      <c r="N133" s="222"/>
      <c r="O133" s="269"/>
      <c r="P133" s="223"/>
      <c r="Q133" s="297"/>
      <c r="R133" s="297"/>
      <c r="S133" s="218"/>
      <c r="T133" s="219"/>
      <c r="U133" s="30"/>
      <c r="V133" s="31"/>
      <c r="W133" s="30"/>
      <c r="X133" s="220"/>
      <c r="Y133" s="139"/>
      <c r="Z133" s="9"/>
      <c r="AA133" s="9"/>
    </row>
    <row r="134" spans="1:28">
      <c r="A134"/>
      <c r="B134" s="221"/>
      <c r="C134" s="216"/>
      <c r="D134" s="29"/>
      <c r="E134" s="275"/>
      <c r="F134" s="227"/>
      <c r="G134" s="294"/>
      <c r="H134" s="214"/>
      <c r="I134" s="271"/>
      <c r="K134" s="267"/>
      <c r="L134" s="267"/>
      <c r="M134" s="268"/>
      <c r="N134" s="176"/>
      <c r="O134" s="269"/>
      <c r="P134" s="236"/>
      <c r="Q134" s="282"/>
      <c r="R134" s="282"/>
      <c r="S134" s="218"/>
      <c r="T134" s="219"/>
      <c r="U134" s="30"/>
      <c r="V134" s="31"/>
      <c r="W134" s="30"/>
      <c r="X134" s="220"/>
      <c r="Y134" s="139"/>
      <c r="Z134" s="9"/>
      <c r="AA134" s="9"/>
    </row>
    <row r="135" spans="1:28">
      <c r="A135"/>
      <c r="C135" s="216"/>
      <c r="D135" s="29"/>
      <c r="F135" s="32"/>
      <c r="G135" s="293"/>
      <c r="H135" s="9"/>
      <c r="I135" s="9"/>
      <c r="K135" s="3"/>
      <c r="L135" s="3"/>
      <c r="M135" s="268"/>
      <c r="N135" s="222"/>
      <c r="O135" s="269"/>
      <c r="P135" s="223"/>
      <c r="Q135" s="297"/>
      <c r="R135" s="297"/>
      <c r="S135" s="218"/>
      <c r="T135" s="219"/>
      <c r="U135" s="30"/>
      <c r="V135" s="31"/>
      <c r="W135" s="30"/>
      <c r="X135" s="220"/>
      <c r="Y135" s="139"/>
      <c r="Z135" s="9"/>
      <c r="AA135" s="9"/>
    </row>
    <row r="136" spans="1:28">
      <c r="A136"/>
      <c r="E136" s="275"/>
      <c r="F136" s="227"/>
      <c r="G136" s="294"/>
      <c r="H136" s="214"/>
      <c r="I136" s="271"/>
      <c r="K136" s="267"/>
      <c r="L136" s="267"/>
      <c r="M136" s="268"/>
      <c r="N136" s="176"/>
      <c r="O136" s="269"/>
      <c r="P136" s="236"/>
      <c r="Q136" s="282"/>
      <c r="R136" s="282"/>
      <c r="S136" s="218"/>
      <c r="T136" s="219"/>
      <c r="U136" s="30"/>
      <c r="V136" s="31"/>
      <c r="W136" s="30"/>
      <c r="X136" s="220"/>
      <c r="Y136" s="139"/>
      <c r="Z136" s="9"/>
    </row>
    <row r="137" spans="1:28">
      <c r="A137"/>
      <c r="C137" s="216"/>
      <c r="D137" s="29"/>
      <c r="E137" s="275"/>
      <c r="F137" s="227"/>
      <c r="G137" s="294"/>
      <c r="H137" s="214"/>
      <c r="I137" s="271"/>
      <c r="K137" s="267"/>
      <c r="L137" s="267"/>
      <c r="M137" s="268"/>
      <c r="N137" s="176"/>
      <c r="O137" s="269"/>
      <c r="P137" s="236"/>
      <c r="Q137" s="282"/>
      <c r="R137" s="282"/>
      <c r="S137" s="218"/>
      <c r="T137" s="219"/>
      <c r="U137" s="30"/>
      <c r="V137" s="31"/>
      <c r="W137" s="30"/>
      <c r="X137" s="220"/>
      <c r="Y137" s="139"/>
      <c r="Z137" s="9"/>
      <c r="AA137" s="9"/>
    </row>
    <row r="138" spans="1:28">
      <c r="A138"/>
      <c r="C138" s="216"/>
      <c r="D138" s="29"/>
      <c r="F138" s="32"/>
      <c r="G138" s="293"/>
      <c r="H138" s="9"/>
      <c r="I138" s="9"/>
      <c r="K138" s="3"/>
      <c r="L138" s="3"/>
      <c r="M138" s="268"/>
      <c r="N138" s="222"/>
      <c r="O138" s="269"/>
      <c r="P138" s="223"/>
      <c r="Q138" s="297"/>
      <c r="R138" s="297"/>
      <c r="S138" s="218"/>
      <c r="T138" s="219"/>
      <c r="U138" s="30"/>
      <c r="V138" s="31"/>
      <c r="W138" s="30"/>
      <c r="X138" s="220"/>
      <c r="Y138" s="139"/>
      <c r="Z138" s="9"/>
      <c r="AA138" s="9"/>
    </row>
    <row r="139" spans="1:28">
      <c r="A139"/>
      <c r="C139" s="216"/>
      <c r="D139" s="29"/>
      <c r="E139" s="32"/>
      <c r="F139" s="32"/>
      <c r="G139" s="293"/>
      <c r="H139" s="9"/>
      <c r="I139" s="9"/>
      <c r="K139" s="284"/>
      <c r="L139" s="284"/>
      <c r="M139" s="268"/>
      <c r="N139" s="226"/>
      <c r="O139" s="269"/>
      <c r="P139" s="235"/>
      <c r="Q139" s="237"/>
      <c r="R139" s="237"/>
      <c r="S139" s="218"/>
      <c r="T139" s="219"/>
      <c r="U139" s="30"/>
      <c r="V139" s="31"/>
      <c r="W139" s="30"/>
      <c r="X139" s="220"/>
      <c r="Y139" s="139"/>
      <c r="Z139" s="9"/>
      <c r="AA139" s="9"/>
    </row>
    <row r="140" spans="1:28">
      <c r="A140"/>
      <c r="E140" s="275"/>
      <c r="F140" s="58"/>
      <c r="G140" s="295"/>
      <c r="H140" s="29"/>
      <c r="I140" s="271"/>
      <c r="J140"/>
      <c r="K140" s="267"/>
      <c r="L140" s="267"/>
      <c r="M140" s="268"/>
      <c r="N140" s="176"/>
      <c r="O140" s="269"/>
      <c r="P140" s="236"/>
      <c r="Q140" s="282"/>
      <c r="R140" s="282"/>
      <c r="S140" s="218"/>
      <c r="T140" s="219"/>
      <c r="U140" s="30"/>
      <c r="V140" s="31"/>
      <c r="W140" s="30"/>
      <c r="X140" s="220"/>
      <c r="Y140" s="139"/>
      <c r="Z140" s="9"/>
    </row>
    <row r="141" spans="1:28">
      <c r="A141"/>
      <c r="C141" s="216"/>
      <c r="D141" s="29"/>
      <c r="F141" s="32"/>
      <c r="G141" s="293"/>
      <c r="H141" s="9"/>
      <c r="I141" s="9"/>
      <c r="K141" s="3"/>
      <c r="L141" s="3"/>
      <c r="M141" s="268"/>
      <c r="N141" s="222"/>
      <c r="O141" s="269"/>
      <c r="P141" s="223"/>
      <c r="Q141" s="297"/>
      <c r="R141" s="297"/>
      <c r="S141" s="218"/>
      <c r="T141" s="219"/>
      <c r="U141" s="30"/>
      <c r="V141" s="31"/>
      <c r="W141" s="30"/>
      <c r="X141" s="220"/>
      <c r="Y141" s="139"/>
      <c r="Z141" s="9"/>
      <c r="AA141" s="9"/>
    </row>
    <row r="142" spans="1:28">
      <c r="A142"/>
      <c r="C142" s="216"/>
      <c r="D142" s="29"/>
      <c r="E142" s="275"/>
      <c r="F142" s="227"/>
      <c r="G142" s="294"/>
      <c r="H142" s="214"/>
      <c r="I142" s="271"/>
      <c r="K142" s="267"/>
      <c r="L142" s="267"/>
      <c r="M142" s="268"/>
      <c r="N142" s="176"/>
      <c r="O142" s="269"/>
      <c r="P142" s="236"/>
      <c r="Q142" s="282"/>
      <c r="R142" s="282"/>
      <c r="S142" s="218"/>
      <c r="T142" s="219"/>
      <c r="U142" s="30"/>
      <c r="V142" s="31"/>
      <c r="W142" s="30"/>
      <c r="X142" s="220"/>
      <c r="Y142" s="139"/>
      <c r="Z142" s="9"/>
      <c r="AA142" s="9"/>
    </row>
    <row r="143" spans="1:28">
      <c r="A143"/>
      <c r="C143" s="216"/>
      <c r="D143" s="29"/>
      <c r="E143" s="275"/>
      <c r="F143" s="227"/>
      <c r="G143" s="294"/>
      <c r="H143" s="214"/>
      <c r="I143" s="271"/>
      <c r="K143" s="267"/>
      <c r="L143" s="267"/>
      <c r="M143" s="268"/>
      <c r="N143" s="176"/>
      <c r="O143" s="269"/>
      <c r="P143" s="236"/>
      <c r="Q143" s="282"/>
      <c r="R143" s="282"/>
      <c r="S143" s="218"/>
      <c r="T143" s="219"/>
      <c r="U143" s="30"/>
      <c r="V143" s="31"/>
      <c r="W143" s="30"/>
      <c r="X143" s="220"/>
      <c r="Y143" s="139"/>
      <c r="Z143" s="9"/>
      <c r="AA143" s="9"/>
    </row>
    <row r="144" spans="1:28">
      <c r="A144"/>
      <c r="C144" s="216"/>
      <c r="D144" s="29"/>
      <c r="E144" s="242"/>
      <c r="F144" s="227"/>
      <c r="G144" s="294"/>
      <c r="H144" s="232"/>
      <c r="I144" s="9"/>
      <c r="K144" s="217"/>
      <c r="L144" s="217"/>
      <c r="M144" s="268"/>
      <c r="N144" s="176"/>
      <c r="O144" s="269"/>
      <c r="P144" s="236"/>
      <c r="Q144" s="238"/>
      <c r="R144" s="238"/>
      <c r="S144" s="218"/>
      <c r="T144" s="219"/>
      <c r="U144" s="30"/>
      <c r="V144" s="31"/>
      <c r="W144" s="30"/>
      <c r="X144" s="220"/>
      <c r="Y144" s="139"/>
      <c r="Z144" s="9"/>
      <c r="AA144" s="9"/>
    </row>
    <row r="145" spans="1:27">
      <c r="A145"/>
      <c r="E145" s="275"/>
      <c r="F145" s="227"/>
      <c r="G145" s="294"/>
      <c r="H145" s="214"/>
      <c r="I145" s="271"/>
      <c r="K145" s="267"/>
      <c r="L145" s="267"/>
      <c r="M145" s="268"/>
      <c r="N145" s="176"/>
      <c r="O145" s="269"/>
      <c r="P145" s="236"/>
      <c r="Q145" s="282"/>
      <c r="R145" s="282"/>
      <c r="S145" s="218"/>
      <c r="T145" s="219"/>
      <c r="U145" s="30"/>
      <c r="V145" s="31"/>
      <c r="W145" s="30"/>
      <c r="X145" s="220"/>
      <c r="Y145" s="139"/>
      <c r="Z145" s="9"/>
    </row>
    <row r="146" spans="1:27">
      <c r="A146"/>
      <c r="C146" s="216"/>
      <c r="D146" s="29"/>
      <c r="E146" s="32"/>
      <c r="F146" s="32"/>
      <c r="G146" s="293"/>
      <c r="H146" s="9"/>
      <c r="I146" s="9"/>
      <c r="K146" s="279"/>
      <c r="L146" s="279"/>
      <c r="M146" s="268"/>
      <c r="N146" s="226"/>
      <c r="O146" s="269"/>
      <c r="P146" s="235"/>
      <c r="Q146" s="280"/>
      <c r="R146" s="280"/>
      <c r="S146" s="218"/>
      <c r="T146" s="219"/>
      <c r="U146" s="30"/>
      <c r="V146" s="31"/>
      <c r="W146" s="30"/>
      <c r="X146" s="220"/>
      <c r="Y146" s="139"/>
      <c r="Z146" s="9"/>
      <c r="AA146" s="9"/>
    </row>
    <row r="147" spans="1:27">
      <c r="A147"/>
      <c r="C147" s="216"/>
      <c r="D147" s="29"/>
      <c r="E147" s="242"/>
      <c r="F147" s="227"/>
      <c r="G147" s="294"/>
      <c r="H147" s="232"/>
      <c r="I147" s="9"/>
      <c r="K147" s="277"/>
      <c r="L147" s="277"/>
      <c r="M147" s="268"/>
      <c r="N147" s="176"/>
      <c r="O147" s="269"/>
      <c r="P147" s="236"/>
      <c r="Q147" s="278"/>
      <c r="R147" s="278"/>
      <c r="S147" s="218"/>
      <c r="T147" s="219"/>
      <c r="U147" s="30"/>
      <c r="V147" s="31"/>
      <c r="W147" s="30"/>
      <c r="X147" s="220"/>
      <c r="Y147" s="139"/>
      <c r="Z147" s="9"/>
      <c r="AA147" s="9"/>
    </row>
    <row r="148" spans="1:27">
      <c r="A148"/>
      <c r="C148" s="216"/>
      <c r="D148" s="29"/>
      <c r="E148" s="32"/>
      <c r="F148" s="32"/>
      <c r="G148" s="293"/>
      <c r="H148" s="9"/>
      <c r="I148" s="9"/>
      <c r="K148" s="284"/>
      <c r="L148" s="284"/>
      <c r="M148" s="268"/>
      <c r="N148" s="226"/>
      <c r="O148" s="269"/>
      <c r="P148" s="235"/>
      <c r="Q148" s="237"/>
      <c r="R148" s="237"/>
      <c r="S148" s="218"/>
      <c r="T148" s="219"/>
      <c r="U148" s="30"/>
      <c r="V148" s="31"/>
      <c r="W148" s="30"/>
      <c r="X148" s="220"/>
      <c r="Y148" s="139"/>
      <c r="Z148" s="9"/>
      <c r="AA148" s="9"/>
    </row>
    <row r="149" spans="1:27">
      <c r="A149"/>
      <c r="E149" s="275"/>
      <c r="F149" s="58"/>
      <c r="G149" s="295"/>
      <c r="H149" s="29"/>
      <c r="I149" s="271"/>
      <c r="K149" s="267"/>
      <c r="L149" s="267"/>
      <c r="M149" s="268"/>
      <c r="N149" s="176"/>
      <c r="O149" s="269"/>
      <c r="P149" s="236"/>
      <c r="Q149" s="282"/>
      <c r="R149" s="282"/>
      <c r="S149" s="218"/>
      <c r="T149" s="219"/>
      <c r="U149" s="30"/>
      <c r="V149" s="31"/>
      <c r="W149" s="30"/>
      <c r="X149" s="220"/>
      <c r="Y149" s="139"/>
      <c r="Z149" s="9"/>
    </row>
    <row r="150" spans="1:27">
      <c r="A150"/>
      <c r="C150" s="216"/>
      <c r="D150" s="29"/>
      <c r="E150" s="242"/>
      <c r="F150" s="227"/>
      <c r="G150" s="294"/>
      <c r="H150" s="232"/>
      <c r="I150" s="9"/>
      <c r="K150" s="285"/>
      <c r="L150" s="285"/>
      <c r="M150" s="268"/>
      <c r="N150" s="176"/>
      <c r="O150" s="269"/>
      <c r="P150" s="236"/>
      <c r="Q150" s="238"/>
      <c r="R150" s="238"/>
      <c r="S150" s="218"/>
      <c r="T150" s="219"/>
      <c r="U150" s="30"/>
      <c r="V150" s="31"/>
      <c r="W150" s="30"/>
      <c r="X150" s="220"/>
      <c r="Y150" s="139"/>
      <c r="Z150" s="9"/>
      <c r="AA150" s="9"/>
    </row>
    <row r="151" spans="1:27">
      <c r="A151"/>
      <c r="C151" s="216"/>
      <c r="D151" s="29"/>
      <c r="E151" s="32"/>
      <c r="F151" s="32"/>
      <c r="G151" s="293"/>
      <c r="H151" s="9"/>
      <c r="I151" s="9"/>
      <c r="K151" s="279"/>
      <c r="L151" s="279"/>
      <c r="M151" s="268"/>
      <c r="N151" s="226"/>
      <c r="O151" s="269"/>
      <c r="P151" s="235"/>
      <c r="Q151" s="280"/>
      <c r="R151" s="280"/>
      <c r="S151" s="218"/>
      <c r="T151" s="219"/>
      <c r="U151" s="30"/>
      <c r="V151" s="31"/>
      <c r="W151" s="30"/>
      <c r="X151" s="220"/>
      <c r="Y151" s="139"/>
      <c r="Z151" s="9"/>
      <c r="AA151" s="9"/>
    </row>
    <row r="152" spans="1:27">
      <c r="A152"/>
      <c r="E152" s="275"/>
      <c r="F152" s="227"/>
      <c r="G152" s="294"/>
      <c r="H152" s="214"/>
      <c r="I152" s="271"/>
      <c r="K152" s="267"/>
      <c r="L152" s="267"/>
      <c r="M152" s="268"/>
      <c r="N152" s="176"/>
      <c r="O152" s="269"/>
      <c r="P152" s="236"/>
      <c r="Q152" s="282"/>
      <c r="R152" s="282"/>
      <c r="S152" s="218"/>
      <c r="T152" s="219"/>
      <c r="U152" s="30"/>
      <c r="V152" s="31"/>
      <c r="W152" s="30"/>
      <c r="X152" s="220"/>
      <c r="Y152" s="139"/>
      <c r="Z152" s="9"/>
    </row>
    <row r="153" spans="1:27">
      <c r="A153"/>
      <c r="C153" s="216"/>
      <c r="D153" s="29"/>
      <c r="E153" s="275"/>
      <c r="F153" s="227"/>
      <c r="G153" s="294"/>
      <c r="H153" s="214"/>
      <c r="I153" s="271"/>
      <c r="K153" s="267"/>
      <c r="L153" s="267"/>
      <c r="M153" s="268"/>
      <c r="N153" s="176"/>
      <c r="O153" s="269"/>
      <c r="P153" s="236"/>
      <c r="Q153" s="282"/>
      <c r="R153" s="282"/>
      <c r="S153" s="218"/>
      <c r="T153" s="219"/>
      <c r="U153" s="30"/>
      <c r="V153" s="31"/>
      <c r="W153" s="30"/>
      <c r="X153" s="220"/>
      <c r="Y153" s="139"/>
      <c r="Z153" s="9"/>
      <c r="AA153" s="9"/>
    </row>
    <row r="154" spans="1:27">
      <c r="A154"/>
      <c r="C154" s="216"/>
      <c r="D154" s="29"/>
      <c r="F154" s="32"/>
      <c r="G154" s="293"/>
      <c r="H154" s="9"/>
      <c r="I154" s="9"/>
      <c r="K154" s="3"/>
      <c r="L154" s="3"/>
      <c r="M154" s="268"/>
      <c r="N154" s="222"/>
      <c r="O154" s="269"/>
      <c r="P154" s="223"/>
      <c r="Q154" s="297"/>
      <c r="R154" s="297"/>
      <c r="S154" s="218"/>
      <c r="T154" s="219"/>
      <c r="U154" s="30"/>
      <c r="V154" s="31"/>
      <c r="W154" s="30"/>
      <c r="X154" s="220"/>
      <c r="Y154" s="139"/>
      <c r="Z154" s="9"/>
      <c r="AA154" s="9"/>
    </row>
    <row r="155" spans="1:27">
      <c r="A155"/>
      <c r="C155" s="216"/>
      <c r="D155" s="29"/>
      <c r="F155" s="32"/>
      <c r="G155" s="293"/>
      <c r="H155" s="9"/>
      <c r="I155" s="9"/>
      <c r="K155" s="3"/>
      <c r="L155" s="3"/>
      <c r="M155" s="268"/>
      <c r="N155" s="222"/>
      <c r="O155" s="269"/>
      <c r="P155" s="223"/>
      <c r="Q155" s="297"/>
      <c r="R155" s="297"/>
      <c r="S155" s="218"/>
      <c r="T155" s="219"/>
      <c r="U155" s="30"/>
      <c r="V155" s="31"/>
      <c r="W155" s="30"/>
      <c r="X155" s="220"/>
      <c r="Y155" s="139"/>
      <c r="Z155" s="9"/>
      <c r="AA155" s="9"/>
    </row>
    <row r="156" spans="1:27">
      <c r="A156"/>
      <c r="C156" s="216"/>
      <c r="D156" s="29"/>
      <c r="F156" s="32"/>
      <c r="G156" s="293"/>
      <c r="H156" s="9"/>
      <c r="I156" s="9"/>
      <c r="K156" s="3"/>
      <c r="L156" s="3"/>
      <c r="M156" s="268"/>
      <c r="N156" s="222"/>
      <c r="O156" s="269"/>
      <c r="P156" s="223"/>
      <c r="Q156" s="297"/>
      <c r="R156" s="297"/>
      <c r="S156" s="218"/>
      <c r="T156" s="219"/>
      <c r="U156" s="30"/>
      <c r="V156" s="31"/>
      <c r="W156" s="30"/>
      <c r="X156" s="220"/>
      <c r="Y156" s="139"/>
      <c r="Z156" s="9"/>
      <c r="AA156" s="9"/>
    </row>
    <row r="157" spans="1:27">
      <c r="A157"/>
      <c r="C157" s="216"/>
      <c r="D157" s="29"/>
      <c r="F157" s="32"/>
      <c r="G157" s="293"/>
      <c r="H157" s="9"/>
      <c r="I157" s="9"/>
      <c r="K157" s="3"/>
      <c r="L157" s="3"/>
      <c r="M157" s="268"/>
      <c r="N157" s="222"/>
      <c r="O157" s="269"/>
      <c r="P157" s="223"/>
      <c r="Q157" s="297"/>
      <c r="R157" s="297"/>
      <c r="S157" s="218"/>
      <c r="T157" s="219"/>
      <c r="U157" s="30"/>
      <c r="V157" s="31"/>
      <c r="W157" s="30"/>
      <c r="X157" s="220"/>
      <c r="Y157" s="139"/>
      <c r="Z157" s="9"/>
      <c r="AA157" s="9"/>
    </row>
    <row r="158" spans="1:27">
      <c r="A158"/>
      <c r="C158" s="216"/>
      <c r="D158" s="29"/>
      <c r="F158" s="32"/>
      <c r="G158" s="293"/>
      <c r="H158" s="9"/>
      <c r="I158" s="9"/>
      <c r="K158" s="3"/>
      <c r="L158" s="3"/>
      <c r="M158" s="268"/>
      <c r="N158" s="222"/>
      <c r="O158" s="269"/>
      <c r="P158" s="223"/>
      <c r="Q158" s="297"/>
      <c r="R158" s="297"/>
      <c r="S158" s="218"/>
      <c r="T158" s="219"/>
      <c r="U158" s="30"/>
      <c r="V158" s="31"/>
      <c r="W158" s="30"/>
      <c r="X158" s="220"/>
      <c r="Y158" s="139"/>
      <c r="Z158" s="9"/>
      <c r="AA158" s="9"/>
    </row>
    <row r="159" spans="1:27">
      <c r="A159"/>
      <c r="C159" s="216"/>
      <c r="D159" s="29"/>
      <c r="E159" s="32"/>
      <c r="F159" s="32"/>
      <c r="G159" s="293"/>
      <c r="H159" s="9"/>
      <c r="I159" s="9"/>
      <c r="K159" s="284"/>
      <c r="L159" s="284"/>
      <c r="M159" s="268"/>
      <c r="N159" s="226"/>
      <c r="O159" s="269"/>
      <c r="P159" s="235"/>
      <c r="Q159" s="237"/>
      <c r="R159" s="237"/>
      <c r="S159" s="218"/>
      <c r="T159" s="219"/>
      <c r="U159" s="30"/>
      <c r="V159" s="31"/>
      <c r="W159" s="30"/>
      <c r="X159" s="220"/>
      <c r="Y159" s="139"/>
      <c r="Z159" s="9"/>
      <c r="AA159" s="9"/>
    </row>
    <row r="160" spans="1:27">
      <c r="A160"/>
      <c r="C160" s="216"/>
      <c r="D160" s="29"/>
      <c r="E160" s="32"/>
      <c r="F160" s="32"/>
      <c r="G160" s="293"/>
      <c r="H160" s="9"/>
      <c r="I160" s="9"/>
      <c r="K160" s="284"/>
      <c r="L160" s="284"/>
      <c r="M160" s="268"/>
      <c r="N160" s="226"/>
      <c r="O160" s="269"/>
      <c r="P160" s="235"/>
      <c r="Q160" s="237"/>
      <c r="R160" s="237"/>
      <c r="S160" s="218"/>
      <c r="T160" s="219"/>
      <c r="U160" s="30"/>
      <c r="V160" s="31"/>
      <c r="W160" s="30"/>
      <c r="X160" s="220"/>
      <c r="Y160" s="139"/>
      <c r="Z160" s="9"/>
      <c r="AA160" s="9"/>
    </row>
    <row r="161" spans="1:27">
      <c r="A161"/>
      <c r="C161" s="216"/>
      <c r="D161" s="29"/>
      <c r="E161" s="32"/>
      <c r="F161" s="32"/>
      <c r="G161" s="293"/>
      <c r="H161" s="9"/>
      <c r="I161" s="9"/>
      <c r="K161" s="284"/>
      <c r="L161" s="284"/>
      <c r="M161" s="268"/>
      <c r="N161" s="226"/>
      <c r="O161" s="269"/>
      <c r="P161" s="235"/>
      <c r="Q161" s="237"/>
      <c r="R161" s="237"/>
      <c r="S161" s="218"/>
      <c r="T161" s="219"/>
      <c r="U161" s="30"/>
      <c r="V161" s="31"/>
      <c r="W161" s="30"/>
      <c r="X161" s="220"/>
      <c r="Y161" s="139"/>
      <c r="Z161" s="9"/>
      <c r="AA161" s="9"/>
    </row>
    <row r="162" spans="1:27">
      <c r="A162"/>
      <c r="C162" s="216"/>
      <c r="D162" s="29"/>
      <c r="F162" s="32"/>
      <c r="G162" s="293"/>
      <c r="H162" s="9"/>
      <c r="I162" s="9"/>
      <c r="K162" s="3"/>
      <c r="L162" s="3"/>
      <c r="M162" s="268"/>
      <c r="N162" s="222"/>
      <c r="O162" s="269"/>
      <c r="P162" s="223"/>
      <c r="Q162" s="297"/>
      <c r="R162" s="297"/>
      <c r="S162" s="218"/>
      <c r="T162" s="219"/>
      <c r="U162" s="30"/>
      <c r="V162" s="31"/>
      <c r="W162" s="30"/>
      <c r="X162" s="220"/>
      <c r="Y162" s="139"/>
      <c r="Z162" s="9"/>
      <c r="AA162" s="9"/>
    </row>
    <row r="163" spans="1:27">
      <c r="A163"/>
      <c r="C163" s="216"/>
      <c r="D163" s="29"/>
      <c r="E163" s="275"/>
      <c r="F163" s="227"/>
      <c r="G163" s="294"/>
      <c r="H163" s="214"/>
      <c r="I163" s="271"/>
      <c r="K163" s="267"/>
      <c r="L163" s="267"/>
      <c r="M163" s="268"/>
      <c r="N163" s="176"/>
      <c r="O163" s="269"/>
      <c r="P163" s="236"/>
      <c r="Q163" s="282"/>
      <c r="R163" s="282"/>
      <c r="S163" s="218"/>
      <c r="T163" s="219"/>
      <c r="U163" s="30"/>
      <c r="V163" s="31"/>
      <c r="W163" s="30"/>
      <c r="X163" s="220"/>
      <c r="Y163" s="139"/>
      <c r="Z163" s="9"/>
      <c r="AA163" s="9"/>
    </row>
    <row r="164" spans="1:27">
      <c r="A164"/>
      <c r="C164" s="216"/>
      <c r="D164" s="29"/>
      <c r="E164" s="32"/>
      <c r="F164" s="32"/>
      <c r="G164" s="293"/>
      <c r="H164" s="9"/>
      <c r="I164" s="9"/>
      <c r="K164" s="284"/>
      <c r="L164" s="284"/>
      <c r="M164" s="268"/>
      <c r="N164" s="226"/>
      <c r="O164" s="269"/>
      <c r="P164" s="235"/>
      <c r="Q164" s="237"/>
      <c r="R164" s="237"/>
      <c r="S164" s="218"/>
      <c r="T164" s="219"/>
      <c r="U164" s="30"/>
      <c r="V164" s="31"/>
      <c r="W164" s="30"/>
      <c r="X164" s="220"/>
      <c r="Y164" s="139"/>
      <c r="Z164" s="9"/>
      <c r="AA164" s="9"/>
    </row>
    <row r="165" spans="1:27">
      <c r="A165"/>
      <c r="C165" s="216"/>
      <c r="D165" s="29"/>
      <c r="F165" s="32"/>
      <c r="G165" s="293"/>
      <c r="H165" s="9"/>
      <c r="I165" s="9"/>
      <c r="K165" s="3"/>
      <c r="L165" s="3"/>
      <c r="M165" s="268"/>
      <c r="N165" s="222"/>
      <c r="O165" s="269"/>
      <c r="P165" s="223"/>
      <c r="Q165" s="297"/>
      <c r="R165" s="297"/>
      <c r="S165" s="218"/>
      <c r="T165" s="219"/>
      <c r="U165" s="30"/>
      <c r="V165" s="31"/>
      <c r="W165" s="30"/>
      <c r="X165" s="220"/>
      <c r="Y165" s="139"/>
      <c r="Z165" s="9"/>
      <c r="AA165" s="9"/>
    </row>
    <row r="166" spans="1:27">
      <c r="A166"/>
      <c r="C166" s="216"/>
      <c r="D166" s="29"/>
      <c r="F166" s="32"/>
      <c r="G166" s="293"/>
      <c r="H166" s="9"/>
      <c r="I166" s="9"/>
      <c r="K166" s="3"/>
      <c r="L166" s="3"/>
      <c r="M166" s="268"/>
      <c r="N166" s="222"/>
      <c r="O166" s="269"/>
      <c r="P166" s="223"/>
      <c r="Q166" s="297"/>
      <c r="R166" s="297"/>
      <c r="S166" s="218"/>
      <c r="T166" s="219"/>
      <c r="U166" s="30"/>
      <c r="V166" s="31"/>
      <c r="W166" s="30"/>
      <c r="X166" s="220"/>
      <c r="Y166" s="139"/>
      <c r="Z166" s="9"/>
      <c r="AA166" s="9"/>
    </row>
    <row r="167" spans="1:27">
      <c r="A167"/>
      <c r="C167" s="216"/>
      <c r="D167" s="29"/>
      <c r="F167" s="32"/>
      <c r="G167" s="293"/>
      <c r="H167" s="9"/>
      <c r="I167" s="9"/>
      <c r="K167" s="3"/>
      <c r="L167" s="3"/>
      <c r="M167" s="268"/>
      <c r="N167" s="222"/>
      <c r="O167" s="269"/>
      <c r="P167" s="223"/>
      <c r="Q167" s="297"/>
      <c r="R167" s="297"/>
      <c r="S167" s="218"/>
      <c r="T167" s="219"/>
      <c r="U167" s="30"/>
      <c r="V167" s="31"/>
      <c r="W167" s="30"/>
      <c r="X167" s="220"/>
      <c r="Y167" s="139"/>
      <c r="Z167" s="9"/>
      <c r="AA167" s="9"/>
    </row>
    <row r="168" spans="1:27">
      <c r="A168"/>
      <c r="C168" s="216"/>
      <c r="D168" s="29"/>
      <c r="E168" s="242"/>
      <c r="F168" s="227"/>
      <c r="G168" s="294"/>
      <c r="H168" s="232"/>
      <c r="I168" s="9"/>
      <c r="K168" s="217"/>
      <c r="L168" s="217"/>
      <c r="M168" s="268"/>
      <c r="N168" s="176"/>
      <c r="O168" s="269"/>
      <c r="P168" s="236"/>
      <c r="Q168" s="238"/>
      <c r="R168" s="238"/>
      <c r="S168" s="218"/>
      <c r="T168" s="219"/>
      <c r="U168" s="30"/>
      <c r="V168" s="31"/>
      <c r="W168" s="30"/>
      <c r="X168" s="220"/>
      <c r="Y168" s="139"/>
      <c r="Z168" s="9"/>
      <c r="AA168" s="9"/>
    </row>
    <row r="169" spans="1:27">
      <c r="A169"/>
      <c r="C169" s="216"/>
      <c r="D169" s="29"/>
      <c r="E169" s="32"/>
      <c r="F169" s="32"/>
      <c r="G169" s="293"/>
      <c r="H169" s="9"/>
      <c r="I169" s="9"/>
      <c r="K169" s="279"/>
      <c r="L169" s="279"/>
      <c r="M169" s="268"/>
      <c r="N169" s="226"/>
      <c r="O169" s="269"/>
      <c r="P169" s="235"/>
      <c r="Q169" s="281"/>
      <c r="R169" s="281"/>
      <c r="S169" s="218"/>
      <c r="T169" s="219"/>
      <c r="U169" s="30"/>
      <c r="V169" s="31"/>
      <c r="W169" s="30"/>
      <c r="X169" s="220"/>
      <c r="Y169" s="139"/>
      <c r="Z169" s="9"/>
      <c r="AA169" s="9"/>
    </row>
    <row r="170" spans="1:27">
      <c r="A170"/>
      <c r="C170" s="216"/>
      <c r="D170" s="29"/>
      <c r="F170" s="32"/>
      <c r="G170" s="293"/>
      <c r="H170" s="9"/>
      <c r="I170" s="9"/>
      <c r="J170"/>
      <c r="K170" s="3"/>
      <c r="L170" s="3"/>
      <c r="M170" s="268"/>
      <c r="N170" s="222"/>
      <c r="O170" s="269"/>
      <c r="P170" s="223"/>
      <c r="Q170" s="297"/>
      <c r="R170" s="297"/>
      <c r="S170" s="218"/>
      <c r="T170" s="219"/>
      <c r="U170" s="30"/>
      <c r="V170" s="31"/>
      <c r="W170" s="30"/>
      <c r="X170" s="220"/>
      <c r="Y170" s="139"/>
      <c r="Z170" s="9"/>
      <c r="AA170" s="9"/>
    </row>
    <row r="171" spans="1:27">
      <c r="A171"/>
      <c r="C171" s="216"/>
      <c r="D171" s="29"/>
      <c r="E171" s="32"/>
      <c r="F171" s="32"/>
      <c r="G171" s="293"/>
      <c r="H171" s="9"/>
      <c r="I171" s="9"/>
      <c r="K171" s="284"/>
      <c r="L171" s="284"/>
      <c r="M171" s="268"/>
      <c r="N171" s="226"/>
      <c r="O171" s="269"/>
      <c r="P171" s="235"/>
      <c r="Q171" s="281"/>
      <c r="R171" s="281"/>
      <c r="S171" s="218"/>
      <c r="T171" s="219"/>
      <c r="U171" s="30"/>
      <c r="V171" s="31"/>
      <c r="W171" s="30"/>
      <c r="X171" s="220"/>
      <c r="Y171" s="139"/>
      <c r="Z171" s="9"/>
      <c r="AA171" s="9"/>
    </row>
    <row r="172" spans="1:27">
      <c r="A172"/>
      <c r="C172" s="216"/>
      <c r="D172" s="29"/>
      <c r="E172" s="275"/>
      <c r="F172" s="227"/>
      <c r="G172" s="294"/>
      <c r="H172" s="214"/>
      <c r="I172" s="271"/>
      <c r="K172" s="267"/>
      <c r="L172" s="267"/>
      <c r="M172" s="268"/>
      <c r="N172" s="176"/>
      <c r="O172" s="269"/>
      <c r="P172" s="236"/>
      <c r="Q172" s="282"/>
      <c r="R172" s="282"/>
      <c r="S172" s="218"/>
      <c r="T172" s="219"/>
      <c r="U172" s="30"/>
      <c r="V172" s="31"/>
      <c r="W172" s="30"/>
      <c r="X172" s="220"/>
      <c r="Y172" s="139"/>
      <c r="Z172" s="9"/>
      <c r="AA172" s="9"/>
    </row>
    <row r="173" spans="1:27">
      <c r="A173"/>
      <c r="C173" s="216"/>
      <c r="D173" s="29"/>
      <c r="F173" s="32"/>
      <c r="G173" s="293"/>
      <c r="H173" s="9"/>
      <c r="I173" s="9"/>
      <c r="K173" s="3"/>
      <c r="L173" s="3"/>
      <c r="M173" s="268"/>
      <c r="N173" s="222"/>
      <c r="O173" s="269"/>
      <c r="P173" s="223"/>
      <c r="Q173" s="297"/>
      <c r="R173" s="297"/>
      <c r="S173" s="218"/>
      <c r="T173" s="219"/>
      <c r="U173" s="30"/>
      <c r="V173" s="31"/>
      <c r="W173" s="30"/>
      <c r="X173" s="220"/>
      <c r="Y173" s="139"/>
      <c r="Z173" s="9"/>
      <c r="AA173" s="9"/>
    </row>
    <row r="174" spans="1:27">
      <c r="A174"/>
      <c r="C174" s="216"/>
      <c r="D174" s="29"/>
      <c r="E174" s="32"/>
      <c r="F174" s="32"/>
      <c r="G174" s="293"/>
      <c r="H174" s="9"/>
      <c r="I174" s="9"/>
      <c r="K174" s="284"/>
      <c r="L174" s="284"/>
      <c r="M174" s="268"/>
      <c r="N174" s="226"/>
      <c r="O174" s="269"/>
      <c r="P174" s="235"/>
      <c r="Q174" s="237"/>
      <c r="R174" s="237"/>
      <c r="S174" s="218"/>
      <c r="T174" s="219"/>
      <c r="U174" s="30"/>
      <c r="V174" s="31"/>
      <c r="W174" s="30"/>
      <c r="X174" s="220"/>
      <c r="Y174" s="139"/>
      <c r="Z174" s="9"/>
      <c r="AA174" s="9"/>
    </row>
    <row r="175" spans="1:27">
      <c r="A175"/>
      <c r="C175" s="216"/>
      <c r="D175" s="29"/>
      <c r="F175" s="32"/>
      <c r="G175" s="293"/>
      <c r="H175" s="9"/>
      <c r="I175" s="9"/>
      <c r="K175" s="3"/>
      <c r="L175" s="3"/>
      <c r="M175" s="268"/>
      <c r="N175" s="222"/>
      <c r="O175" s="269"/>
      <c r="P175" s="223"/>
      <c r="Q175" s="297"/>
      <c r="R175" s="297"/>
      <c r="S175" s="218"/>
      <c r="T175" s="219"/>
      <c r="U175" s="30"/>
      <c r="V175" s="31"/>
      <c r="W175" s="30"/>
      <c r="X175" s="220"/>
      <c r="Y175" s="139"/>
      <c r="Z175" s="9"/>
      <c r="AA175" s="9"/>
    </row>
    <row r="176" spans="1:27">
      <c r="A176"/>
      <c r="C176" s="216"/>
      <c r="D176" s="29"/>
      <c r="F176" s="32"/>
      <c r="G176" s="293"/>
      <c r="H176" s="9"/>
      <c r="I176" s="9"/>
      <c r="K176" s="3"/>
      <c r="L176" s="3"/>
      <c r="M176" s="268"/>
      <c r="N176" s="222"/>
      <c r="O176" s="269"/>
      <c r="P176" s="223"/>
      <c r="Q176" s="297"/>
      <c r="R176" s="297"/>
      <c r="S176" s="218"/>
      <c r="T176" s="219"/>
      <c r="U176" s="30"/>
      <c r="V176" s="31"/>
      <c r="W176" s="30"/>
      <c r="X176" s="220"/>
      <c r="Y176" s="139"/>
      <c r="Z176" s="9"/>
      <c r="AA176" s="9"/>
    </row>
    <row r="177" spans="1:27">
      <c r="A177"/>
      <c r="C177" s="216"/>
      <c r="D177" s="29"/>
      <c r="F177" s="32"/>
      <c r="G177" s="293"/>
      <c r="H177" s="9"/>
      <c r="I177" s="9"/>
      <c r="K177" s="3"/>
      <c r="L177" s="3"/>
      <c r="M177" s="268"/>
      <c r="N177" s="222"/>
      <c r="O177" s="269"/>
      <c r="P177" s="223"/>
      <c r="Q177" s="297"/>
      <c r="R177" s="297"/>
      <c r="S177" s="218"/>
      <c r="T177" s="219"/>
      <c r="U177" s="30"/>
      <c r="V177" s="31"/>
      <c r="W177" s="30"/>
      <c r="X177" s="220"/>
      <c r="Y177" s="139"/>
      <c r="Z177" s="9"/>
      <c r="AA177" s="9"/>
    </row>
    <row r="178" spans="1:27">
      <c r="A178"/>
      <c r="C178" s="216"/>
      <c r="D178" s="29"/>
      <c r="F178" s="32"/>
      <c r="G178" s="293"/>
      <c r="H178" s="9"/>
      <c r="I178" s="9"/>
      <c r="K178" s="3"/>
      <c r="L178" s="3"/>
      <c r="M178" s="268"/>
      <c r="N178" s="222"/>
      <c r="O178" s="269"/>
      <c r="P178" s="223"/>
      <c r="Q178" s="297"/>
      <c r="R178" s="297"/>
      <c r="S178" s="218"/>
      <c r="T178" s="219"/>
      <c r="U178" s="30"/>
      <c r="V178" s="31"/>
      <c r="W178" s="30"/>
      <c r="X178" s="220"/>
      <c r="Y178" s="139"/>
      <c r="Z178" s="9"/>
      <c r="AA178" s="9"/>
    </row>
    <row r="179" spans="1:27">
      <c r="A179"/>
      <c r="C179" s="216"/>
      <c r="D179" s="29"/>
      <c r="E179" s="32"/>
      <c r="F179" s="32"/>
      <c r="G179" s="293"/>
      <c r="H179" s="9"/>
      <c r="I179" s="9"/>
      <c r="K179" s="284"/>
      <c r="L179" s="284"/>
      <c r="M179" s="268"/>
      <c r="N179" s="226"/>
      <c r="O179" s="269"/>
      <c r="P179" s="235"/>
      <c r="Q179" s="237"/>
      <c r="R179" s="237"/>
      <c r="S179" s="218"/>
      <c r="T179" s="219"/>
      <c r="U179" s="30"/>
      <c r="V179" s="31"/>
      <c r="W179" s="30"/>
      <c r="X179" s="220"/>
      <c r="Y179" s="139"/>
      <c r="Z179" s="9"/>
      <c r="AA179" s="9"/>
    </row>
    <row r="180" spans="1:27">
      <c r="A180"/>
      <c r="C180" s="216"/>
      <c r="D180" s="29"/>
      <c r="E180" s="32"/>
      <c r="F180" s="32"/>
      <c r="G180" s="293"/>
      <c r="H180" s="9"/>
      <c r="I180" s="9"/>
      <c r="K180" s="284"/>
      <c r="L180" s="284"/>
      <c r="M180" s="268"/>
      <c r="N180" s="226"/>
      <c r="O180" s="269"/>
      <c r="P180" s="235"/>
      <c r="Q180" s="237"/>
      <c r="R180" s="237"/>
      <c r="S180" s="218"/>
      <c r="T180" s="219"/>
      <c r="U180" s="30"/>
      <c r="V180" s="31"/>
      <c r="W180" s="30"/>
      <c r="X180" s="220"/>
      <c r="Y180" s="139"/>
      <c r="Z180" s="9"/>
      <c r="AA180" s="9"/>
    </row>
    <row r="181" spans="1:27">
      <c r="A181"/>
      <c r="C181" s="216"/>
      <c r="D181" s="29"/>
      <c r="E181" s="32"/>
      <c r="F181" s="32"/>
      <c r="G181" s="293"/>
      <c r="H181" s="9"/>
      <c r="I181" s="9"/>
      <c r="K181" s="284"/>
      <c r="L181" s="284"/>
      <c r="M181" s="268"/>
      <c r="N181" s="226"/>
      <c r="O181" s="269"/>
      <c r="P181" s="235"/>
      <c r="Q181" s="237"/>
      <c r="R181" s="237"/>
      <c r="S181" s="218"/>
      <c r="T181" s="219"/>
      <c r="U181" s="30"/>
      <c r="V181" s="31"/>
      <c r="W181" s="30"/>
      <c r="X181" s="220"/>
      <c r="Y181" s="139"/>
      <c r="Z181" s="9"/>
      <c r="AA181" s="9"/>
    </row>
    <row r="182" spans="1:27">
      <c r="A182"/>
      <c r="C182" s="216"/>
      <c r="D182" s="29"/>
      <c r="E182" s="32"/>
      <c r="F182" s="32"/>
      <c r="G182" s="32"/>
      <c r="H182" s="9"/>
      <c r="I182" s="9"/>
      <c r="K182" s="284"/>
      <c r="L182" s="284"/>
      <c r="M182" s="268"/>
      <c r="N182" s="226"/>
      <c r="O182" s="269"/>
      <c r="P182" s="235"/>
      <c r="Q182" s="237"/>
      <c r="R182" s="237"/>
      <c r="S182" s="218"/>
      <c r="T182" s="219"/>
      <c r="U182" s="30"/>
      <c r="V182" s="31"/>
      <c r="W182" s="30"/>
      <c r="X182" s="220"/>
      <c r="Y182" s="139"/>
      <c r="Z182" s="9"/>
      <c r="AA182" s="9"/>
    </row>
    <row r="183" spans="1:27">
      <c r="A183"/>
      <c r="C183" s="216"/>
      <c r="D183" s="29"/>
      <c r="E183" s="32"/>
      <c r="F183" s="32"/>
      <c r="G183" s="32"/>
      <c r="H183" s="9"/>
      <c r="I183" s="9"/>
      <c r="K183" s="284"/>
      <c r="L183" s="284"/>
      <c r="M183" s="268"/>
      <c r="N183" s="226"/>
      <c r="O183" s="269"/>
      <c r="P183" s="235"/>
      <c r="Q183" s="237"/>
      <c r="R183" s="237"/>
      <c r="S183" s="218"/>
      <c r="T183" s="219"/>
      <c r="U183" s="30"/>
      <c r="V183" s="31"/>
      <c r="W183" s="30"/>
      <c r="X183" s="220"/>
      <c r="Y183" s="139"/>
      <c r="Z183" s="9"/>
      <c r="AA183" s="9"/>
    </row>
    <row r="184" spans="1:27">
      <c r="A184"/>
      <c r="C184" s="216"/>
      <c r="D184" s="29"/>
      <c r="E184" s="32"/>
      <c r="F184" s="32"/>
      <c r="G184" s="32"/>
      <c r="H184" s="9"/>
      <c r="I184" s="9"/>
      <c r="K184" s="284"/>
      <c r="L184" s="284"/>
      <c r="M184" s="268"/>
      <c r="N184" s="226"/>
      <c r="O184" s="269"/>
      <c r="P184" s="235"/>
      <c r="Q184" s="237"/>
      <c r="R184" s="237"/>
      <c r="S184" s="218"/>
      <c r="T184" s="219"/>
      <c r="U184" s="30"/>
      <c r="V184" s="31"/>
      <c r="W184" s="30"/>
      <c r="X184" s="220"/>
      <c r="Y184" s="139"/>
      <c r="Z184" s="9"/>
      <c r="AA184" s="9"/>
    </row>
    <row r="185" spans="1:27">
      <c r="A185"/>
      <c r="C185" s="216"/>
      <c r="D185" s="29"/>
      <c r="E185" s="32"/>
      <c r="F185" s="32"/>
      <c r="G185" s="32"/>
      <c r="H185" s="9"/>
      <c r="I185" s="9"/>
      <c r="K185" s="284"/>
      <c r="L185" s="284"/>
      <c r="M185" s="268"/>
      <c r="N185" s="226"/>
      <c r="O185" s="269"/>
      <c r="P185" s="235"/>
      <c r="Q185" s="237"/>
      <c r="R185" s="237"/>
      <c r="S185" s="218"/>
      <c r="T185" s="219"/>
      <c r="U185" s="30"/>
      <c r="V185" s="31"/>
      <c r="W185" s="30"/>
      <c r="X185" s="220"/>
      <c r="Y185" s="139"/>
      <c r="Z185" s="9"/>
      <c r="AA185" s="9"/>
    </row>
    <row r="186" spans="1:27">
      <c r="A186"/>
      <c r="C186" s="216"/>
      <c r="D186" s="29"/>
      <c r="E186" s="242"/>
      <c r="F186" s="227"/>
      <c r="G186" s="227"/>
      <c r="H186" s="232"/>
      <c r="I186" s="9"/>
      <c r="K186" s="217"/>
      <c r="L186" s="217"/>
      <c r="M186" s="268"/>
      <c r="N186" s="176"/>
      <c r="O186" s="269"/>
      <c r="P186" s="236"/>
      <c r="Q186" s="238"/>
      <c r="R186" s="238"/>
      <c r="S186" s="218"/>
      <c r="T186" s="219"/>
      <c r="U186" s="30"/>
      <c r="V186" s="31"/>
      <c r="W186" s="30"/>
      <c r="X186" s="220"/>
      <c r="Y186" s="139"/>
      <c r="Z186" s="9"/>
      <c r="AA186" s="9"/>
    </row>
    <row r="187" spans="1:27">
      <c r="A187"/>
      <c r="C187" s="216"/>
      <c r="D187" s="29"/>
      <c r="E187" s="32"/>
      <c r="F187" s="32"/>
      <c r="G187" s="32"/>
      <c r="H187" s="9"/>
      <c r="I187" s="9"/>
      <c r="K187" s="284"/>
      <c r="L187" s="284"/>
      <c r="M187" s="268"/>
      <c r="N187" s="226"/>
      <c r="O187" s="269"/>
      <c r="P187" s="235"/>
      <c r="Q187" s="237"/>
      <c r="R187" s="237"/>
      <c r="S187" s="218"/>
      <c r="T187" s="219"/>
      <c r="U187" s="30"/>
      <c r="V187" s="31"/>
      <c r="W187" s="30"/>
      <c r="X187" s="220"/>
      <c r="Y187" s="139"/>
      <c r="Z187" s="9"/>
      <c r="AA187" s="9"/>
    </row>
    <row r="188" spans="1:27">
      <c r="A188"/>
      <c r="C188" s="216"/>
      <c r="D188" s="29"/>
      <c r="E188" s="32"/>
      <c r="F188" s="32"/>
      <c r="G188" s="32"/>
      <c r="H188" s="9"/>
      <c r="I188" s="9"/>
      <c r="K188" s="284"/>
      <c r="L188" s="284"/>
      <c r="M188" s="268"/>
      <c r="N188" s="226"/>
      <c r="O188" s="269"/>
      <c r="P188" s="235"/>
      <c r="Q188" s="237"/>
      <c r="R188" s="237"/>
      <c r="S188" s="218"/>
      <c r="T188" s="219"/>
      <c r="U188" s="30"/>
      <c r="V188" s="31"/>
      <c r="W188" s="30"/>
      <c r="X188" s="220"/>
      <c r="Y188" s="139"/>
      <c r="Z188" s="9"/>
      <c r="AA188" s="9"/>
    </row>
    <row r="189" spans="1:27">
      <c r="A189"/>
      <c r="C189" s="216"/>
      <c r="D189" s="29"/>
      <c r="E189" s="32"/>
      <c r="F189" s="32"/>
      <c r="G189" s="32"/>
      <c r="H189" s="9"/>
      <c r="I189" s="9"/>
      <c r="K189" s="284"/>
      <c r="L189" s="284"/>
      <c r="M189" s="268"/>
      <c r="N189" s="226"/>
      <c r="O189" s="269"/>
      <c r="P189" s="235"/>
      <c r="Q189" s="237"/>
      <c r="R189" s="237"/>
      <c r="S189" s="218"/>
      <c r="T189" s="219"/>
      <c r="U189" s="30"/>
      <c r="V189" s="31"/>
      <c r="W189" s="30"/>
      <c r="X189" s="220"/>
      <c r="Y189" s="139"/>
      <c r="Z189" s="9"/>
      <c r="AA189" s="9"/>
    </row>
    <row r="190" spans="1:27">
      <c r="A190"/>
      <c r="C190" s="216"/>
      <c r="D190" s="29"/>
      <c r="E190" s="242"/>
      <c r="F190" s="227"/>
      <c r="G190" s="227"/>
      <c r="H190" s="233"/>
      <c r="I190" s="9"/>
      <c r="K190" s="285"/>
      <c r="L190" s="285"/>
      <c r="M190" s="268"/>
      <c r="N190" s="176"/>
      <c r="O190" s="269"/>
      <c r="P190" s="236"/>
      <c r="Q190" s="238"/>
      <c r="R190" s="238"/>
      <c r="S190" s="218"/>
      <c r="T190" s="219"/>
      <c r="U190" s="30"/>
      <c r="V190" s="31"/>
      <c r="W190" s="30"/>
      <c r="X190" s="220"/>
      <c r="Y190" s="139"/>
      <c r="Z190" s="9"/>
      <c r="AA190" s="9"/>
    </row>
    <row r="191" spans="1:27">
      <c r="A191"/>
      <c r="C191" s="216"/>
      <c r="D191" s="29"/>
      <c r="E191" s="32"/>
      <c r="F191" s="32"/>
      <c r="G191" s="32"/>
      <c r="H191" s="9"/>
      <c r="I191" s="9"/>
      <c r="K191" s="284"/>
      <c r="L191" s="284"/>
      <c r="M191" s="268"/>
      <c r="N191" s="226"/>
      <c r="O191" s="269"/>
      <c r="P191" s="235"/>
      <c r="Q191" s="237"/>
      <c r="R191" s="237"/>
      <c r="S191" s="218"/>
      <c r="T191" s="219"/>
      <c r="U191" s="30"/>
      <c r="V191" s="31"/>
      <c r="W191" s="30"/>
      <c r="X191" s="220"/>
      <c r="Y191" s="139"/>
      <c r="Z191" s="9"/>
      <c r="AA191" s="9"/>
    </row>
    <row r="192" spans="1:27">
      <c r="A192"/>
      <c r="C192" s="216"/>
      <c r="D192" s="29"/>
      <c r="E192" s="32"/>
      <c r="F192" s="32"/>
      <c r="G192" s="32"/>
      <c r="H192" s="9"/>
      <c r="I192" s="9"/>
      <c r="K192" s="284"/>
      <c r="L192" s="284"/>
      <c r="M192" s="268"/>
      <c r="N192" s="226"/>
      <c r="O192" s="269"/>
      <c r="P192" s="235"/>
      <c r="Q192" s="281"/>
      <c r="R192" s="281"/>
      <c r="S192" s="218"/>
      <c r="T192" s="219"/>
      <c r="U192" s="30"/>
      <c r="V192" s="31"/>
      <c r="W192" s="30"/>
      <c r="X192" s="220"/>
      <c r="Y192" s="139"/>
      <c r="Z192" s="9"/>
      <c r="AA192" s="9"/>
    </row>
    <row r="193" spans="1:27">
      <c r="A193"/>
      <c r="C193" s="216"/>
      <c r="D193" s="29"/>
      <c r="E193" s="32"/>
      <c r="F193" s="32"/>
      <c r="G193" s="32"/>
      <c r="H193" s="9"/>
      <c r="I193" s="9"/>
      <c r="K193" s="284"/>
      <c r="L193" s="284"/>
      <c r="M193" s="268"/>
      <c r="N193" s="226"/>
      <c r="O193" s="269"/>
      <c r="P193" s="235"/>
      <c r="Q193" s="237"/>
      <c r="R193" s="237"/>
      <c r="S193" s="218"/>
      <c r="T193" s="219"/>
      <c r="U193" s="30"/>
      <c r="V193" s="31"/>
      <c r="W193" s="30"/>
      <c r="X193" s="220"/>
      <c r="Y193" s="139"/>
      <c r="Z193" s="9"/>
      <c r="AA193" s="9"/>
    </row>
    <row r="194" spans="1:27">
      <c r="A194"/>
      <c r="C194" s="216"/>
      <c r="D194" s="29"/>
      <c r="E194" s="32"/>
      <c r="F194" s="32"/>
      <c r="G194" s="32"/>
      <c r="H194" s="9"/>
      <c r="I194" s="9"/>
      <c r="K194" s="284"/>
      <c r="L194" s="284"/>
      <c r="M194" s="268"/>
      <c r="N194" s="226"/>
      <c r="O194" s="269"/>
      <c r="P194" s="235"/>
      <c r="Q194" s="237"/>
      <c r="R194" s="237"/>
      <c r="S194" s="218"/>
      <c r="T194" s="219"/>
      <c r="U194" s="30"/>
      <c r="V194" s="31"/>
      <c r="W194" s="30"/>
      <c r="X194" s="220"/>
      <c r="Y194" s="139"/>
      <c r="Z194" s="9"/>
      <c r="AA194" s="9"/>
    </row>
    <row r="195" spans="1:27">
      <c r="A195"/>
      <c r="C195" s="216"/>
      <c r="D195" s="29"/>
      <c r="E195" s="242"/>
      <c r="F195" s="227"/>
      <c r="G195" s="227"/>
      <c r="H195" s="232"/>
      <c r="I195" s="9"/>
      <c r="K195" s="217"/>
      <c r="L195" s="217"/>
      <c r="M195" s="268"/>
      <c r="N195" s="176"/>
      <c r="O195" s="269"/>
      <c r="P195" s="236"/>
      <c r="Q195" s="238"/>
      <c r="R195" s="238"/>
      <c r="S195" s="218"/>
      <c r="T195" s="219"/>
      <c r="U195" s="30"/>
      <c r="V195" s="31"/>
      <c r="W195" s="30"/>
      <c r="X195" s="220"/>
      <c r="Y195" s="139"/>
      <c r="Z195" s="9"/>
      <c r="AA195" s="9"/>
    </row>
    <row r="196" spans="1:27">
      <c r="A196"/>
      <c r="C196" s="216"/>
      <c r="D196" s="29"/>
      <c r="E196" s="32"/>
      <c r="F196" s="32"/>
      <c r="G196" s="32"/>
      <c r="H196" s="9"/>
      <c r="I196" s="9"/>
      <c r="K196" s="284"/>
      <c r="L196" s="284"/>
      <c r="M196" s="268"/>
      <c r="N196" s="226"/>
      <c r="O196" s="269"/>
      <c r="P196" s="235"/>
      <c r="Q196" s="237"/>
      <c r="R196" s="237"/>
      <c r="S196" s="218"/>
      <c r="T196" s="219"/>
      <c r="U196" s="30"/>
      <c r="V196" s="31"/>
      <c r="W196" s="30"/>
      <c r="X196" s="220"/>
      <c r="Y196" s="139"/>
      <c r="Z196" s="9"/>
      <c r="AA196" s="9"/>
    </row>
    <row r="197" spans="1:27">
      <c r="A197"/>
      <c r="C197" s="216"/>
      <c r="D197" s="29"/>
      <c r="E197" s="32"/>
      <c r="F197" s="32"/>
      <c r="G197" s="32"/>
      <c r="H197" s="9"/>
      <c r="I197" s="9"/>
      <c r="K197" s="284"/>
      <c r="L197" s="284"/>
      <c r="M197" s="268"/>
      <c r="N197" s="222"/>
      <c r="O197" s="269"/>
      <c r="P197" s="223"/>
      <c r="Q197" s="237"/>
      <c r="R197" s="237"/>
      <c r="S197" s="218"/>
      <c r="T197" s="219"/>
      <c r="U197" s="30"/>
      <c r="V197" s="31"/>
      <c r="W197" s="30"/>
      <c r="X197" s="220"/>
      <c r="Y197" s="139"/>
      <c r="Z197" s="9"/>
      <c r="AA197" s="9"/>
    </row>
    <row r="198" spans="1:27">
      <c r="A198"/>
      <c r="C198" s="216"/>
      <c r="D198" s="29"/>
      <c r="E198" s="32"/>
      <c r="F198" s="32"/>
      <c r="G198" s="32"/>
      <c r="H198" s="9"/>
      <c r="I198" s="9"/>
      <c r="K198" s="284"/>
      <c r="L198" s="284"/>
      <c r="M198" s="268"/>
      <c r="N198" s="226"/>
      <c r="O198" s="269"/>
      <c r="P198" s="235"/>
      <c r="Q198" s="237"/>
      <c r="R198" s="237"/>
      <c r="S198" s="218"/>
      <c r="T198" s="219"/>
      <c r="U198" s="30"/>
      <c r="V198" s="31"/>
      <c r="W198" s="30"/>
      <c r="X198" s="220"/>
      <c r="Y198" s="139"/>
      <c r="Z198" s="9"/>
      <c r="AA198" s="9"/>
    </row>
    <row r="199" spans="1:27">
      <c r="A199"/>
      <c r="C199" s="216"/>
      <c r="D199" s="29"/>
      <c r="E199" s="32"/>
      <c r="F199" s="32"/>
      <c r="G199" s="32"/>
      <c r="H199" s="9"/>
      <c r="I199" s="9"/>
      <c r="K199" s="284"/>
      <c r="L199" s="284"/>
      <c r="M199" s="268"/>
      <c r="N199" s="226"/>
      <c r="O199" s="269"/>
      <c r="P199" s="235"/>
      <c r="Q199" s="237"/>
      <c r="R199" s="237"/>
      <c r="S199" s="218"/>
      <c r="T199" s="219"/>
      <c r="U199" s="30"/>
      <c r="V199" s="31"/>
      <c r="W199" s="30"/>
      <c r="X199" s="220"/>
      <c r="Y199" s="139"/>
      <c r="Z199" s="9"/>
      <c r="AA199" s="9"/>
    </row>
    <row r="200" spans="1:27">
      <c r="A200"/>
      <c r="C200" s="216"/>
      <c r="D200" s="29"/>
      <c r="E200" s="32"/>
      <c r="F200" s="32"/>
      <c r="G200" s="32"/>
      <c r="H200" s="9"/>
      <c r="I200" s="9"/>
      <c r="K200" s="284"/>
      <c r="L200" s="284"/>
      <c r="M200" s="268"/>
      <c r="N200" s="226"/>
      <c r="O200" s="269"/>
      <c r="P200" s="235"/>
      <c r="Q200" s="237"/>
      <c r="R200" s="237"/>
      <c r="S200" s="218"/>
      <c r="T200" s="219"/>
      <c r="U200" s="30"/>
      <c r="V200" s="31"/>
      <c r="W200" s="30"/>
      <c r="X200" s="220"/>
      <c r="Y200" s="139"/>
      <c r="Z200" s="9"/>
      <c r="AA200" s="9"/>
    </row>
    <row r="201" spans="1:27">
      <c r="A201"/>
      <c r="C201" s="216"/>
      <c r="D201" s="29"/>
      <c r="E201" s="32"/>
      <c r="F201" s="32"/>
      <c r="G201" s="32"/>
      <c r="H201" s="9"/>
      <c r="I201" s="9"/>
      <c r="K201" s="284"/>
      <c r="L201" s="284"/>
      <c r="M201" s="268"/>
      <c r="N201" s="226"/>
      <c r="O201" s="269"/>
      <c r="P201" s="235"/>
      <c r="Q201" s="237"/>
      <c r="R201" s="237"/>
      <c r="S201" s="218"/>
      <c r="T201" s="219"/>
      <c r="U201" s="30"/>
      <c r="V201" s="31"/>
      <c r="W201" s="30"/>
      <c r="X201" s="220"/>
      <c r="Y201" s="139"/>
      <c r="Z201" s="9"/>
      <c r="AA201" s="9"/>
    </row>
    <row r="202" spans="1:27">
      <c r="A202"/>
      <c r="C202" s="216"/>
      <c r="D202" s="29"/>
      <c r="E202" s="242"/>
      <c r="F202" s="227"/>
      <c r="G202" s="227"/>
      <c r="H202" s="232"/>
      <c r="I202" s="9"/>
      <c r="K202" s="285"/>
      <c r="L202" s="285"/>
      <c r="M202" s="268"/>
      <c r="N202" s="176"/>
      <c r="O202" s="269"/>
      <c r="P202" s="236"/>
      <c r="Q202" s="238"/>
      <c r="R202" s="238"/>
      <c r="S202" s="218"/>
      <c r="T202" s="219"/>
      <c r="U202" s="30"/>
      <c r="V202" s="31"/>
      <c r="W202" s="30"/>
      <c r="X202" s="220"/>
      <c r="Y202" s="139"/>
      <c r="Z202" s="9"/>
      <c r="AA202" s="9"/>
    </row>
    <row r="203" spans="1:27">
      <c r="A203"/>
      <c r="C203" s="216"/>
      <c r="D203" s="29"/>
      <c r="E203" s="32"/>
      <c r="F203" s="32"/>
      <c r="G203" s="32"/>
      <c r="H203" s="9"/>
      <c r="I203" s="9"/>
      <c r="K203" s="284"/>
      <c r="L203" s="284"/>
      <c r="M203" s="268"/>
      <c r="N203" s="226"/>
      <c r="O203" s="269"/>
      <c r="P203" s="235"/>
      <c r="Q203" s="237"/>
      <c r="R203" s="237"/>
      <c r="S203" s="218"/>
      <c r="T203" s="219"/>
      <c r="U203" s="30"/>
      <c r="V203" s="31"/>
      <c r="W203" s="30"/>
      <c r="X203" s="220"/>
      <c r="Y203" s="139"/>
      <c r="Z203" s="9"/>
      <c r="AA203" s="9"/>
    </row>
    <row r="204" spans="1:27">
      <c r="A204"/>
      <c r="C204" s="216"/>
      <c r="D204" s="29"/>
      <c r="E204" s="242"/>
      <c r="F204" s="227"/>
      <c r="G204" s="227"/>
      <c r="H204" s="232"/>
      <c r="I204" s="9"/>
      <c r="K204" s="217"/>
      <c r="L204" s="217"/>
      <c r="M204" s="268"/>
      <c r="N204" s="176"/>
      <c r="O204" s="269"/>
      <c r="P204" s="236"/>
      <c r="Q204" s="238"/>
      <c r="R204" s="238"/>
      <c r="S204" s="218"/>
      <c r="T204" s="219"/>
      <c r="U204" s="30"/>
      <c r="V204" s="31"/>
      <c r="W204" s="30"/>
      <c r="X204" s="220"/>
      <c r="Y204" s="139"/>
      <c r="Z204" s="9"/>
      <c r="AA204" s="9"/>
    </row>
    <row r="205" spans="1:27">
      <c r="A205"/>
      <c r="C205" s="216"/>
      <c r="D205" s="29"/>
      <c r="E205" s="32"/>
      <c r="F205" s="32"/>
      <c r="G205" s="32"/>
      <c r="H205" s="9"/>
      <c r="I205" s="9"/>
      <c r="K205" s="284"/>
      <c r="L205" s="284"/>
      <c r="M205" s="268"/>
      <c r="N205" s="226"/>
      <c r="O205" s="269"/>
      <c r="P205" s="235"/>
      <c r="Q205" s="237"/>
      <c r="R205" s="237"/>
      <c r="S205" s="218"/>
      <c r="T205" s="219"/>
      <c r="U205" s="30"/>
      <c r="V205" s="31"/>
      <c r="W205" s="30"/>
      <c r="X205" s="220"/>
      <c r="Y205" s="139"/>
      <c r="Z205" s="9"/>
      <c r="AA205" s="9"/>
    </row>
    <row r="206" spans="1:27">
      <c r="A206"/>
      <c r="C206" s="216"/>
      <c r="D206" s="29"/>
      <c r="E206" s="32"/>
      <c r="F206" s="32"/>
      <c r="G206" s="32"/>
      <c r="H206" s="9"/>
      <c r="I206" s="9"/>
      <c r="K206" s="284"/>
      <c r="L206" s="284"/>
      <c r="M206" s="268"/>
      <c r="N206" s="226"/>
      <c r="O206" s="269"/>
      <c r="P206" s="235"/>
      <c r="Q206" s="237"/>
      <c r="R206" s="237"/>
      <c r="S206" s="218"/>
      <c r="T206" s="219"/>
      <c r="U206" s="30"/>
      <c r="V206" s="31"/>
      <c r="W206" s="30"/>
      <c r="X206" s="220"/>
      <c r="Y206" s="139"/>
      <c r="Z206" s="9"/>
      <c r="AA206" s="9"/>
    </row>
    <row r="207" spans="1:27">
      <c r="A207"/>
      <c r="C207" s="216"/>
      <c r="D207" s="29"/>
      <c r="E207" s="32"/>
      <c r="F207" s="32"/>
      <c r="G207" s="32"/>
      <c r="H207" s="9"/>
      <c r="I207" s="9"/>
      <c r="K207" s="284"/>
      <c r="L207" s="284"/>
      <c r="M207" s="268"/>
      <c r="N207" s="226"/>
      <c r="O207" s="269"/>
      <c r="P207" s="235"/>
      <c r="Q207" s="237"/>
      <c r="R207" s="237"/>
      <c r="S207" s="218"/>
      <c r="T207" s="219"/>
      <c r="U207" s="30"/>
      <c r="V207" s="31"/>
      <c r="W207" s="30"/>
      <c r="X207" s="220"/>
      <c r="Y207" s="139"/>
      <c r="Z207" s="9"/>
      <c r="AA207" s="9"/>
    </row>
    <row r="208" spans="1:27">
      <c r="A208"/>
      <c r="C208" s="216"/>
      <c r="D208" s="29"/>
      <c r="E208" s="32"/>
      <c r="F208" s="32"/>
      <c r="G208" s="32"/>
      <c r="H208" s="9"/>
      <c r="I208" s="9"/>
      <c r="K208" s="284"/>
      <c r="L208" s="284"/>
      <c r="M208" s="268"/>
      <c r="N208" s="226"/>
      <c r="O208" s="269"/>
      <c r="P208" s="235"/>
      <c r="Q208" s="237"/>
      <c r="R208" s="237"/>
      <c r="S208" s="218"/>
      <c r="T208" s="219"/>
      <c r="U208" s="30"/>
      <c r="V208" s="31"/>
      <c r="W208" s="30"/>
      <c r="X208" s="220"/>
      <c r="Y208" s="139"/>
      <c r="Z208" s="9"/>
      <c r="AA208" s="9"/>
    </row>
    <row r="209" spans="1:27">
      <c r="A209"/>
      <c r="C209" s="216"/>
      <c r="D209" s="29"/>
      <c r="E209" s="32"/>
      <c r="F209" s="32"/>
      <c r="G209" s="32"/>
      <c r="H209" s="9"/>
      <c r="I209" s="9"/>
      <c r="K209" s="284"/>
      <c r="L209" s="284"/>
      <c r="M209" s="268"/>
      <c r="N209" s="226"/>
      <c r="O209" s="269"/>
      <c r="P209" s="235"/>
      <c r="Q209" s="237"/>
      <c r="R209" s="237"/>
      <c r="S209" s="218"/>
      <c r="T209" s="219"/>
      <c r="U209" s="30"/>
      <c r="V209" s="31"/>
      <c r="W209" s="30"/>
      <c r="X209" s="220"/>
      <c r="Y209" s="139"/>
      <c r="Z209" s="9"/>
      <c r="AA209" s="9"/>
    </row>
    <row r="210" spans="1:27">
      <c r="A210"/>
      <c r="C210" s="216"/>
      <c r="D210" s="29"/>
      <c r="E210" s="242"/>
      <c r="F210" s="227"/>
      <c r="G210" s="227"/>
      <c r="H210" s="232"/>
      <c r="I210" s="9"/>
      <c r="K210" s="217"/>
      <c r="L210" s="217"/>
      <c r="M210" s="268"/>
      <c r="N210" s="176"/>
      <c r="O210" s="269"/>
      <c r="P210" s="236"/>
      <c r="Q210" s="238"/>
      <c r="R210" s="238"/>
      <c r="S210" s="218"/>
      <c r="T210" s="219"/>
      <c r="U210" s="30"/>
      <c r="V210" s="31"/>
      <c r="W210" s="30"/>
      <c r="X210" s="220"/>
      <c r="Y210" s="139"/>
      <c r="Z210" s="9"/>
      <c r="AA210" s="9"/>
    </row>
    <row r="211" spans="1:27">
      <c r="A211"/>
      <c r="C211" s="216"/>
      <c r="D211" s="29"/>
      <c r="E211" s="32"/>
      <c r="F211" s="32"/>
      <c r="G211" s="32"/>
      <c r="H211" s="9"/>
      <c r="I211" s="9"/>
      <c r="K211" s="284"/>
      <c r="L211" s="284"/>
      <c r="M211" s="268"/>
      <c r="N211" s="226"/>
      <c r="O211" s="269"/>
      <c r="P211" s="235"/>
      <c r="Q211" s="237"/>
      <c r="R211" s="237"/>
      <c r="S211" s="218"/>
      <c r="T211" s="219"/>
      <c r="U211" s="30"/>
      <c r="V211" s="31"/>
      <c r="W211" s="30"/>
      <c r="X211" s="220"/>
      <c r="Y211" s="139"/>
      <c r="Z211" s="9"/>
      <c r="AA211" s="9"/>
    </row>
    <row r="212" spans="1:27">
      <c r="A212"/>
      <c r="C212" s="216"/>
      <c r="D212" s="29"/>
      <c r="E212" s="242"/>
      <c r="F212" s="227"/>
      <c r="G212" s="227"/>
      <c r="H212" s="232"/>
      <c r="I212" s="9"/>
      <c r="K212" s="217"/>
      <c r="L212" s="217"/>
      <c r="M212" s="268"/>
      <c r="N212" s="176"/>
      <c r="O212" s="269"/>
      <c r="P212" s="236"/>
      <c r="Q212" s="238"/>
      <c r="R212" s="238"/>
      <c r="S212" s="218"/>
      <c r="T212" s="219"/>
      <c r="U212" s="30"/>
      <c r="V212" s="31"/>
      <c r="W212" s="30"/>
      <c r="X212" s="220"/>
      <c r="Y212" s="139"/>
      <c r="Z212" s="9"/>
      <c r="AA212" s="9"/>
    </row>
    <row r="213" spans="1:27">
      <c r="A213"/>
      <c r="C213" s="216"/>
      <c r="D213" s="29"/>
      <c r="E213" s="32"/>
      <c r="F213" s="32"/>
      <c r="G213" s="32"/>
      <c r="H213" s="9"/>
      <c r="I213" s="9"/>
      <c r="K213" s="284"/>
      <c r="L213" s="284"/>
      <c r="M213" s="268"/>
      <c r="N213" s="226"/>
      <c r="O213" s="269"/>
      <c r="P213" s="235"/>
      <c r="Q213" s="237"/>
      <c r="R213" s="237"/>
      <c r="S213" s="218"/>
      <c r="T213" s="219"/>
      <c r="U213" s="30"/>
      <c r="V213" s="31"/>
      <c r="W213" s="30"/>
      <c r="X213" s="220"/>
      <c r="Y213" s="139"/>
      <c r="Z213" s="9"/>
      <c r="AA213" s="9"/>
    </row>
    <row r="214" spans="1:27">
      <c r="A214"/>
      <c r="C214" s="216"/>
      <c r="D214" s="29"/>
      <c r="E214" s="32"/>
      <c r="F214" s="32"/>
      <c r="G214" s="32"/>
      <c r="H214" s="9"/>
      <c r="I214" s="9"/>
      <c r="K214" s="284"/>
      <c r="L214" s="284"/>
      <c r="M214" s="268"/>
      <c r="N214" s="226"/>
      <c r="O214" s="269"/>
      <c r="P214" s="235"/>
      <c r="Q214" s="237"/>
      <c r="R214" s="237"/>
      <c r="S214" s="218"/>
      <c r="T214" s="219"/>
      <c r="U214" s="30"/>
      <c r="V214" s="31"/>
      <c r="W214" s="30"/>
      <c r="X214" s="220"/>
      <c r="Y214" s="139"/>
      <c r="Z214" s="9"/>
      <c r="AA214" s="9"/>
    </row>
    <row r="215" spans="1:27">
      <c r="A215"/>
      <c r="C215" s="216"/>
      <c r="D215" s="29"/>
      <c r="E215" s="32"/>
      <c r="F215" s="32"/>
      <c r="G215" s="32"/>
      <c r="H215" s="9"/>
      <c r="I215" s="9"/>
      <c r="K215" s="284"/>
      <c r="L215" s="284"/>
      <c r="M215" s="268"/>
      <c r="N215" s="226"/>
      <c r="O215" s="269"/>
      <c r="P215" s="235"/>
      <c r="Q215" s="237"/>
      <c r="R215" s="237"/>
      <c r="S215" s="218"/>
      <c r="T215" s="219"/>
      <c r="U215" s="30"/>
      <c r="V215" s="31"/>
      <c r="W215" s="30"/>
      <c r="X215" s="220"/>
      <c r="Y215" s="139"/>
      <c r="Z215" s="9"/>
      <c r="AA215" s="9"/>
    </row>
    <row r="216" spans="1:27">
      <c r="A216"/>
      <c r="C216" s="216"/>
      <c r="D216" s="29"/>
      <c r="E216" s="32"/>
      <c r="F216" s="32"/>
      <c r="G216" s="32"/>
      <c r="H216" s="9"/>
      <c r="I216" s="9"/>
      <c r="K216" s="284"/>
      <c r="L216" s="284"/>
      <c r="M216" s="268"/>
      <c r="N216" s="226"/>
      <c r="O216" s="269"/>
      <c r="P216" s="235"/>
      <c r="Q216" s="237"/>
      <c r="R216" s="237"/>
      <c r="S216" s="218"/>
      <c r="T216" s="219"/>
      <c r="U216" s="30"/>
      <c r="V216" s="31"/>
      <c r="W216" s="30"/>
      <c r="X216" s="220"/>
      <c r="Y216" s="139"/>
      <c r="Z216" s="9"/>
      <c r="AA216" s="9"/>
    </row>
    <row r="217" spans="1:27">
      <c r="A217"/>
      <c r="C217" s="216"/>
      <c r="D217" s="29"/>
      <c r="E217" s="242"/>
      <c r="F217" s="227"/>
      <c r="G217" s="227"/>
      <c r="H217" s="232"/>
      <c r="I217" s="9"/>
      <c r="K217" s="217"/>
      <c r="L217" s="217"/>
      <c r="M217" s="268"/>
      <c r="N217" s="176"/>
      <c r="O217" s="269"/>
      <c r="P217" s="236"/>
      <c r="Q217" s="238"/>
      <c r="R217" s="238"/>
      <c r="S217" s="218"/>
      <c r="T217" s="219"/>
      <c r="U217" s="30"/>
      <c r="V217" s="31"/>
      <c r="W217" s="30"/>
      <c r="X217" s="220"/>
      <c r="Y217" s="139"/>
      <c r="Z217" s="9"/>
      <c r="AA217" s="9"/>
    </row>
    <row r="218" spans="1:27">
      <c r="A218"/>
      <c r="C218" s="216"/>
      <c r="D218" s="29"/>
      <c r="E218" s="32"/>
      <c r="F218" s="32"/>
      <c r="G218" s="32"/>
      <c r="H218" s="9"/>
      <c r="I218" s="9"/>
      <c r="K218" s="284"/>
      <c r="L218" s="284"/>
      <c r="M218" s="268"/>
      <c r="N218" s="226"/>
      <c r="O218" s="269"/>
      <c r="P218" s="235"/>
      <c r="Q218" s="237"/>
      <c r="R218" s="237"/>
      <c r="S218" s="218"/>
      <c r="T218" s="219"/>
      <c r="U218" s="30"/>
      <c r="V218" s="31"/>
      <c r="W218" s="30"/>
      <c r="X218" s="220"/>
      <c r="Y218" s="139"/>
      <c r="Z218" s="9"/>
      <c r="AA218" s="9"/>
    </row>
    <row r="219" spans="1:27">
      <c r="A219"/>
      <c r="C219" s="216"/>
      <c r="D219" s="29"/>
      <c r="E219" s="242"/>
      <c r="F219" s="227"/>
      <c r="G219" s="227"/>
      <c r="H219" s="232"/>
      <c r="I219" s="9"/>
      <c r="K219" s="217"/>
      <c r="L219" s="217"/>
      <c r="M219" s="268"/>
      <c r="N219" s="176"/>
      <c r="O219" s="269"/>
      <c r="P219" s="236"/>
      <c r="Q219" s="238"/>
      <c r="R219" s="238"/>
      <c r="S219" s="218"/>
      <c r="T219" s="219"/>
      <c r="U219" s="30"/>
      <c r="V219" s="31"/>
      <c r="W219" s="30"/>
      <c r="X219" s="220"/>
      <c r="Y219" s="139"/>
      <c r="Z219" s="9"/>
      <c r="AA219" s="9"/>
    </row>
    <row r="220" spans="1:27">
      <c r="A220"/>
      <c r="C220" s="216"/>
      <c r="D220" s="29"/>
      <c r="E220" s="32"/>
      <c r="F220" s="32"/>
      <c r="G220" s="32"/>
      <c r="H220" s="9"/>
      <c r="I220" s="9"/>
      <c r="K220" s="284"/>
      <c r="L220" s="284"/>
      <c r="M220" s="268"/>
      <c r="N220" s="226"/>
      <c r="O220" s="269"/>
      <c r="P220" s="235"/>
      <c r="Q220" s="237"/>
      <c r="R220" s="237"/>
      <c r="S220" s="218"/>
      <c r="T220" s="219"/>
      <c r="U220" s="30"/>
      <c r="V220" s="31"/>
      <c r="W220" s="30"/>
      <c r="X220" s="220"/>
      <c r="Y220" s="139"/>
      <c r="Z220" s="9"/>
      <c r="AA220" s="9"/>
    </row>
    <row r="221" spans="1:27">
      <c r="A221"/>
      <c r="C221" s="216"/>
      <c r="D221" s="29"/>
      <c r="E221" s="242"/>
      <c r="F221" s="58"/>
      <c r="G221" s="58"/>
      <c r="H221" s="29"/>
      <c r="I221" s="9"/>
      <c r="K221" s="217"/>
      <c r="L221" s="217"/>
      <c r="M221" s="268"/>
      <c r="N221" s="176"/>
      <c r="O221" s="269"/>
      <c r="P221" s="236"/>
      <c r="Q221" s="238"/>
      <c r="R221" s="238"/>
      <c r="S221" s="218"/>
      <c r="T221" s="219"/>
      <c r="U221" s="30"/>
      <c r="V221" s="31"/>
      <c r="W221" s="30"/>
      <c r="X221" s="220"/>
      <c r="Y221" s="139"/>
      <c r="Z221" s="9"/>
      <c r="AA221" s="9"/>
    </row>
    <row r="222" spans="1:27">
      <c r="A222"/>
      <c r="C222" s="216"/>
      <c r="D222" s="29"/>
      <c r="E222" s="32"/>
      <c r="F222" s="32"/>
      <c r="G222" s="32"/>
      <c r="H222" s="9"/>
      <c r="I222" s="9"/>
      <c r="K222" s="284"/>
      <c r="L222" s="284"/>
      <c r="M222" s="268"/>
      <c r="N222" s="226"/>
      <c r="O222" s="269"/>
      <c r="P222" s="235"/>
      <c r="Q222" s="237"/>
      <c r="R222" s="237"/>
      <c r="S222" s="218"/>
      <c r="T222" s="219"/>
      <c r="U222" s="30"/>
      <c r="V222" s="31"/>
      <c r="W222" s="30"/>
      <c r="X222" s="220"/>
      <c r="Y222" s="139"/>
      <c r="Z222" s="9"/>
      <c r="AA222" s="9"/>
    </row>
    <row r="223" spans="1:27">
      <c r="A223"/>
      <c r="C223" s="216"/>
      <c r="D223" s="29"/>
      <c r="E223" s="32"/>
      <c r="F223" s="32"/>
      <c r="G223" s="32"/>
      <c r="H223" s="9"/>
      <c r="I223" s="9"/>
      <c r="K223" s="284"/>
      <c r="L223" s="284"/>
      <c r="M223" s="268"/>
      <c r="N223" s="226"/>
      <c r="O223" s="269"/>
      <c r="P223" s="235"/>
      <c r="Q223" s="237"/>
      <c r="R223" s="237"/>
      <c r="S223" s="218"/>
      <c r="T223" s="219"/>
      <c r="U223" s="30"/>
      <c r="V223" s="31"/>
      <c r="W223" s="30"/>
      <c r="X223" s="220"/>
      <c r="Y223" s="139"/>
      <c r="Z223" s="9"/>
      <c r="AA223" s="9"/>
    </row>
    <row r="224" spans="1:27">
      <c r="A224"/>
      <c r="C224" s="216"/>
      <c r="D224" s="29"/>
      <c r="E224" s="32"/>
      <c r="F224" s="32"/>
      <c r="G224" s="32"/>
      <c r="H224" s="9"/>
      <c r="I224" s="9"/>
      <c r="K224" s="284"/>
      <c r="L224" s="284"/>
      <c r="M224" s="268"/>
      <c r="N224" s="226"/>
      <c r="O224" s="269"/>
      <c r="P224" s="235"/>
      <c r="Q224" s="281"/>
      <c r="R224" s="281"/>
      <c r="S224" s="218"/>
      <c r="T224" s="219"/>
      <c r="U224" s="30"/>
      <c r="V224" s="31"/>
      <c r="W224" s="30"/>
      <c r="X224" s="220"/>
      <c r="Y224" s="139"/>
      <c r="Z224" s="9"/>
      <c r="AA224" s="9"/>
    </row>
    <row r="225" spans="1:27">
      <c r="A225"/>
      <c r="C225" s="216"/>
      <c r="D225" s="29"/>
      <c r="E225" s="32"/>
      <c r="F225" s="32"/>
      <c r="G225" s="32"/>
      <c r="H225" s="9"/>
      <c r="I225" s="9"/>
      <c r="K225" s="284"/>
      <c r="L225" s="284"/>
      <c r="M225" s="268"/>
      <c r="N225" s="226"/>
      <c r="O225" s="269"/>
      <c r="P225" s="235"/>
      <c r="Q225" s="237"/>
      <c r="R225" s="237"/>
      <c r="S225" s="218"/>
      <c r="T225" s="219"/>
      <c r="U225" s="30"/>
      <c r="V225" s="31"/>
      <c r="W225" s="30"/>
      <c r="X225" s="220"/>
      <c r="Y225" s="139"/>
      <c r="Z225" s="9"/>
      <c r="AA225" s="9"/>
    </row>
    <row r="226" spans="1:27">
      <c r="A226"/>
      <c r="C226" s="216"/>
      <c r="D226" s="29"/>
      <c r="E226" s="242"/>
      <c r="F226" s="227"/>
      <c r="G226" s="227"/>
      <c r="H226" s="232"/>
      <c r="I226" s="9"/>
      <c r="K226" s="217"/>
      <c r="L226" s="217"/>
      <c r="M226" s="268"/>
      <c r="N226" s="176"/>
      <c r="O226" s="269"/>
      <c r="P226" s="236"/>
      <c r="Q226" s="238"/>
      <c r="R226" s="238"/>
      <c r="S226" s="218"/>
      <c r="T226" s="219"/>
      <c r="U226" s="30"/>
      <c r="V226" s="31"/>
      <c r="W226" s="30"/>
      <c r="X226" s="220"/>
      <c r="Y226" s="139"/>
      <c r="Z226" s="9"/>
      <c r="AA226" s="9"/>
    </row>
    <row r="227" spans="1:27">
      <c r="A227"/>
      <c r="C227" s="216"/>
      <c r="D227" s="29"/>
      <c r="E227" s="242"/>
      <c r="F227" s="227"/>
      <c r="G227" s="227"/>
      <c r="H227" s="232"/>
      <c r="I227" s="9"/>
      <c r="K227" s="217"/>
      <c r="L227" s="217"/>
      <c r="M227" s="268"/>
      <c r="N227" s="176"/>
      <c r="O227" s="269"/>
      <c r="P227" s="236"/>
      <c r="Q227" s="238"/>
      <c r="R227" s="238"/>
      <c r="S227" s="218"/>
      <c r="T227" s="219"/>
      <c r="U227" s="30"/>
      <c r="V227" s="31"/>
      <c r="W227" s="30"/>
      <c r="X227" s="220"/>
      <c r="Y227" s="139"/>
      <c r="Z227" s="9"/>
      <c r="AA227" s="9"/>
    </row>
    <row r="228" spans="1:27">
      <c r="A228"/>
      <c r="C228" s="216"/>
      <c r="D228" s="29"/>
      <c r="E228" s="32"/>
      <c r="F228" s="32"/>
      <c r="G228" s="32"/>
      <c r="H228" s="9"/>
      <c r="I228" s="9"/>
      <c r="K228" s="284"/>
      <c r="L228" s="284"/>
      <c r="M228" s="268"/>
      <c r="N228" s="226"/>
      <c r="O228" s="269"/>
      <c r="P228" s="235"/>
      <c r="Q228" s="237"/>
      <c r="R228" s="237"/>
      <c r="S228" s="218"/>
      <c r="T228" s="219"/>
      <c r="U228" s="30"/>
      <c r="V228" s="31"/>
      <c r="W228" s="30"/>
      <c r="X228" s="220"/>
      <c r="Y228" s="139"/>
      <c r="Z228" s="9"/>
      <c r="AA228" s="9"/>
    </row>
    <row r="229" spans="1:27">
      <c r="A229"/>
      <c r="C229" s="216"/>
      <c r="D229" s="29"/>
      <c r="E229" s="32"/>
      <c r="F229" s="32"/>
      <c r="G229" s="32"/>
      <c r="H229" s="9"/>
      <c r="I229" s="9"/>
      <c r="K229" s="284"/>
      <c r="L229" s="284"/>
      <c r="M229" s="268"/>
      <c r="N229" s="226"/>
      <c r="O229" s="269"/>
      <c r="P229" s="235"/>
      <c r="Q229" s="281"/>
      <c r="R229" s="281"/>
      <c r="S229" s="218"/>
      <c r="T229" s="219"/>
      <c r="U229" s="30"/>
      <c r="V229" s="31"/>
      <c r="W229" s="30"/>
      <c r="X229" s="220"/>
      <c r="Y229" s="139"/>
      <c r="Z229" s="9"/>
      <c r="AA229" s="9"/>
    </row>
    <row r="230" spans="1:27">
      <c r="A230"/>
      <c r="C230" s="216"/>
      <c r="D230" s="29"/>
      <c r="E230" s="32"/>
      <c r="F230" s="32"/>
      <c r="G230" s="32"/>
      <c r="H230" s="9"/>
      <c r="I230" s="9"/>
      <c r="K230" s="284"/>
      <c r="L230" s="284"/>
      <c r="M230" s="268"/>
      <c r="N230" s="226"/>
      <c r="O230" s="269"/>
      <c r="P230" s="235"/>
      <c r="Q230" s="237"/>
      <c r="R230" s="237"/>
      <c r="S230" s="218"/>
      <c r="T230" s="219"/>
      <c r="U230" s="30"/>
      <c r="V230" s="31"/>
      <c r="W230" s="30"/>
      <c r="X230" s="220"/>
      <c r="Y230" s="139"/>
      <c r="Z230" s="9"/>
      <c r="AA230" s="9"/>
    </row>
    <row r="231" spans="1:27">
      <c r="A231"/>
      <c r="C231" s="216"/>
      <c r="D231" s="29"/>
      <c r="E231" s="32"/>
      <c r="F231" s="32"/>
      <c r="G231" s="32"/>
      <c r="H231" s="9"/>
      <c r="I231" s="9"/>
      <c r="K231" s="284"/>
      <c r="L231" s="284"/>
      <c r="M231" s="268"/>
      <c r="N231" s="226"/>
      <c r="O231" s="269"/>
      <c r="P231" s="235"/>
      <c r="Q231" s="237"/>
      <c r="R231" s="237"/>
      <c r="S231" s="218"/>
      <c r="T231" s="219"/>
      <c r="U231" s="30"/>
      <c r="V231" s="31"/>
      <c r="W231" s="30"/>
      <c r="X231" s="220"/>
      <c r="Y231" s="139"/>
      <c r="Z231" s="9"/>
      <c r="AA231" s="9"/>
    </row>
    <row r="232" spans="1:27">
      <c r="A232"/>
      <c r="C232" s="216"/>
      <c r="D232" s="29"/>
      <c r="E232" s="32"/>
      <c r="F232" s="32"/>
      <c r="G232" s="32"/>
      <c r="H232" s="9"/>
      <c r="I232" s="9"/>
      <c r="K232" s="3"/>
      <c r="L232" s="3"/>
      <c r="M232" s="268"/>
      <c r="N232" s="222"/>
      <c r="O232" s="269"/>
      <c r="P232" s="223"/>
      <c r="Q232" s="283"/>
      <c r="R232" s="283"/>
      <c r="S232" s="218"/>
      <c r="T232" s="219"/>
      <c r="U232" s="30"/>
      <c r="V232" s="31"/>
      <c r="W232" s="30"/>
      <c r="X232" s="220"/>
      <c r="Y232" s="139"/>
      <c r="Z232" s="9"/>
      <c r="AA232" s="9"/>
    </row>
    <row r="233" spans="1:27">
      <c r="A233"/>
      <c r="C233" s="216"/>
      <c r="D233" s="29"/>
      <c r="E233" s="32"/>
      <c r="F233" s="32"/>
      <c r="G233" s="32"/>
      <c r="H233" s="9"/>
      <c r="I233" s="9"/>
      <c r="K233" s="284"/>
      <c r="L233" s="284"/>
      <c r="M233" s="268"/>
      <c r="N233" s="226"/>
      <c r="O233" s="269"/>
      <c r="P233" s="235"/>
      <c r="Q233" s="237"/>
      <c r="R233" s="237"/>
      <c r="S233" s="218"/>
      <c r="T233" s="219"/>
      <c r="U233" s="30"/>
      <c r="V233" s="31"/>
      <c r="W233" s="30"/>
      <c r="X233" s="220"/>
      <c r="Y233" s="139"/>
      <c r="Z233" s="9"/>
      <c r="AA233" s="9"/>
    </row>
    <row r="234" spans="1:27">
      <c r="A234"/>
      <c r="C234" s="216"/>
      <c r="D234" s="29"/>
      <c r="E234" s="32"/>
      <c r="F234" s="32"/>
      <c r="G234" s="32"/>
      <c r="H234" s="9"/>
      <c r="I234" s="9"/>
      <c r="K234" s="284"/>
      <c r="L234" s="284"/>
      <c r="M234" s="268"/>
      <c r="N234" s="226"/>
      <c r="O234" s="269"/>
      <c r="P234" s="235"/>
      <c r="Q234" s="237"/>
      <c r="R234" s="237"/>
      <c r="S234" s="218"/>
      <c r="T234" s="219"/>
      <c r="U234" s="30"/>
      <c r="V234" s="31"/>
      <c r="W234" s="30"/>
      <c r="X234" s="220"/>
      <c r="Y234" s="139"/>
      <c r="Z234" s="9"/>
      <c r="AA234" s="9"/>
    </row>
    <row r="235" spans="1:27">
      <c r="A235"/>
      <c r="C235" s="216"/>
      <c r="D235" s="29"/>
      <c r="E235" s="32"/>
      <c r="F235" s="32"/>
      <c r="G235" s="32"/>
      <c r="H235" s="9"/>
      <c r="I235" s="9"/>
      <c r="K235" s="284"/>
      <c r="L235" s="284"/>
      <c r="M235" s="268"/>
      <c r="N235" s="226"/>
      <c r="O235" s="269"/>
      <c r="P235" s="235"/>
      <c r="Q235" s="237"/>
      <c r="R235" s="237"/>
      <c r="S235" s="218"/>
      <c r="T235" s="219"/>
      <c r="U235" s="30"/>
      <c r="V235" s="31"/>
      <c r="W235" s="30"/>
      <c r="X235" s="220"/>
      <c r="Y235" s="139"/>
      <c r="Z235" s="9"/>
      <c r="AA235" s="9"/>
    </row>
    <row r="236" spans="1:27">
      <c r="A236"/>
      <c r="C236" s="216"/>
      <c r="D236" s="29"/>
      <c r="E236" s="32"/>
      <c r="F236" s="32"/>
      <c r="G236" s="32"/>
      <c r="H236" s="9"/>
      <c r="I236" s="9"/>
      <c r="K236" s="284"/>
      <c r="L236" s="284"/>
      <c r="M236" s="268"/>
      <c r="N236" s="226"/>
      <c r="O236" s="269"/>
      <c r="P236" s="235"/>
      <c r="Q236" s="237"/>
      <c r="R236" s="237"/>
      <c r="S236" s="218"/>
      <c r="T236" s="219"/>
      <c r="U236" s="30"/>
      <c r="V236" s="31"/>
      <c r="W236" s="30"/>
      <c r="X236" s="220"/>
      <c r="Y236" s="139"/>
      <c r="Z236" s="9"/>
      <c r="AA236" s="9"/>
    </row>
    <row r="237" spans="1:27">
      <c r="A237"/>
      <c r="C237" s="216"/>
      <c r="D237" s="29"/>
      <c r="E237" s="242"/>
      <c r="F237" s="227"/>
      <c r="G237" s="227"/>
      <c r="H237" s="232"/>
      <c r="I237" s="9"/>
      <c r="K237" s="217"/>
      <c r="L237" s="217"/>
      <c r="M237" s="268"/>
      <c r="N237" s="176"/>
      <c r="O237" s="269"/>
      <c r="P237" s="236"/>
      <c r="Q237" s="238"/>
      <c r="R237" s="238"/>
      <c r="S237" s="218"/>
      <c r="T237" s="219"/>
      <c r="U237" s="30"/>
      <c r="V237" s="31"/>
      <c r="W237" s="30"/>
      <c r="X237" s="220"/>
      <c r="Y237" s="139"/>
      <c r="Z237" s="9"/>
      <c r="AA237" s="9"/>
    </row>
    <row r="238" spans="1:27">
      <c r="A238"/>
      <c r="C238" s="216"/>
      <c r="D238" s="29"/>
      <c r="E238" s="242"/>
      <c r="F238" s="58"/>
      <c r="G238" s="58"/>
      <c r="H238" s="234"/>
      <c r="I238" s="9"/>
      <c r="K238" s="285"/>
      <c r="L238" s="285"/>
      <c r="M238" s="268"/>
      <c r="N238" s="176"/>
      <c r="O238" s="269"/>
      <c r="P238" s="236"/>
      <c r="Q238" s="238"/>
      <c r="R238" s="238"/>
      <c r="S238" s="218"/>
      <c r="T238" s="219"/>
      <c r="U238" s="30"/>
      <c r="V238" s="31"/>
      <c r="W238" s="30"/>
      <c r="X238" s="220"/>
      <c r="Y238" s="139"/>
      <c r="Z238" s="9"/>
      <c r="AA238" s="9"/>
    </row>
    <row r="239" spans="1:27">
      <c r="A239"/>
      <c r="C239" s="216"/>
      <c r="D239" s="29"/>
      <c r="E239" s="242"/>
      <c r="F239" s="227"/>
      <c r="G239" s="227"/>
      <c r="H239" s="232"/>
      <c r="I239" s="9"/>
      <c r="K239" s="217"/>
      <c r="L239" s="217"/>
      <c r="M239" s="268"/>
      <c r="N239" s="176"/>
      <c r="O239" s="269"/>
      <c r="P239" s="236"/>
      <c r="Q239" s="238"/>
      <c r="R239" s="238"/>
      <c r="S239" s="218"/>
      <c r="T239" s="219"/>
      <c r="U239" s="30"/>
      <c r="V239" s="31"/>
      <c r="W239" s="30"/>
      <c r="X239" s="220"/>
      <c r="Y239" s="139"/>
      <c r="Z239" s="9"/>
      <c r="AA239" s="9"/>
    </row>
    <row r="240" spans="1:27">
      <c r="A240"/>
      <c r="E240" s="242"/>
      <c r="F240" s="227"/>
      <c r="G240" s="227"/>
      <c r="H240" s="232"/>
      <c r="I240" s="9"/>
      <c r="K240" s="217"/>
      <c r="L240" s="217"/>
      <c r="M240" s="268"/>
      <c r="N240" s="176"/>
      <c r="O240" s="269"/>
      <c r="P240" s="236"/>
      <c r="Q240" s="238"/>
      <c r="R240" s="238"/>
      <c r="S240" s="218"/>
      <c r="T240" s="219"/>
      <c r="U240" s="30"/>
      <c r="V240" s="31"/>
      <c r="W240" s="30"/>
      <c r="X240" s="220"/>
      <c r="Y240" s="139"/>
      <c r="Z240" s="9"/>
    </row>
    <row r="241" spans="1:26">
      <c r="A241"/>
      <c r="E241" s="242"/>
      <c r="F241" s="227"/>
      <c r="G241" s="227"/>
      <c r="H241" s="232"/>
      <c r="I241" s="9"/>
      <c r="K241" s="217"/>
      <c r="L241" s="217"/>
      <c r="M241" s="268"/>
      <c r="N241" s="176"/>
      <c r="O241" s="269"/>
      <c r="P241" s="236"/>
      <c r="Q241" s="238"/>
      <c r="R241" s="238"/>
      <c r="S241" s="218"/>
      <c r="T241" s="219"/>
      <c r="U241" s="30"/>
      <c r="V241" s="31"/>
      <c r="W241" s="30"/>
      <c r="X241" s="220"/>
      <c r="Y241" s="139"/>
      <c r="Z241" s="9"/>
    </row>
    <row r="242" spans="1:26">
      <c r="A242"/>
      <c r="E242" s="32"/>
      <c r="F242" s="32"/>
      <c r="G242" s="32"/>
      <c r="H242" s="9"/>
      <c r="I242" s="9"/>
      <c r="K242" s="284"/>
      <c r="L242" s="284"/>
      <c r="M242" s="268"/>
      <c r="N242" s="226"/>
      <c r="O242" s="269"/>
      <c r="P242" s="235"/>
      <c r="Q242" s="237"/>
      <c r="R242" s="237"/>
      <c r="S242" s="218"/>
      <c r="T242" s="219"/>
      <c r="U242" s="30"/>
      <c r="V242" s="31"/>
      <c r="W242" s="30"/>
      <c r="X242" s="220"/>
      <c r="Y242" s="139"/>
      <c r="Z242" s="9"/>
    </row>
    <row r="243" spans="1:26">
      <c r="A243"/>
      <c r="E243" s="32"/>
      <c r="F243" s="32"/>
      <c r="G243" s="32"/>
      <c r="H243" s="9"/>
      <c r="I243" s="9"/>
      <c r="K243" s="284"/>
      <c r="L243" s="284"/>
      <c r="M243" s="268"/>
      <c r="N243" s="222"/>
      <c r="O243" s="269"/>
      <c r="P243" s="223"/>
      <c r="Q243" s="281"/>
      <c r="R243" s="281"/>
      <c r="S243" s="218"/>
      <c r="T243" s="219"/>
      <c r="U243" s="30"/>
      <c r="V243" s="31"/>
      <c r="W243" s="30"/>
      <c r="X243" s="220"/>
      <c r="Y243" s="139"/>
      <c r="Z243" s="9"/>
    </row>
    <row r="244" spans="1:26">
      <c r="A244"/>
      <c r="E244" s="242"/>
      <c r="F244" s="227"/>
      <c r="G244" s="227"/>
      <c r="H244" s="232"/>
      <c r="I244" s="9"/>
      <c r="K244" s="285"/>
      <c r="L244" s="285"/>
      <c r="M244" s="268"/>
      <c r="N244" s="176"/>
      <c r="O244" s="269"/>
      <c r="P244" s="236"/>
      <c r="Q244" s="238"/>
      <c r="R244" s="238"/>
      <c r="S244" s="218"/>
      <c r="T244" s="219"/>
      <c r="U244" s="30"/>
      <c r="V244" s="31"/>
      <c r="W244" s="30"/>
      <c r="X244" s="220"/>
      <c r="Y244" s="139"/>
      <c r="Z244" s="9"/>
    </row>
    <row r="245" spans="1:26">
      <c r="A245"/>
      <c r="E245" s="32"/>
      <c r="F245" s="32"/>
      <c r="G245" s="32"/>
      <c r="H245" s="9"/>
      <c r="I245" s="9"/>
      <c r="K245" s="284"/>
      <c r="L245" s="284"/>
      <c r="M245" s="268"/>
      <c r="N245" s="226"/>
      <c r="O245" s="269"/>
      <c r="P245" s="235"/>
      <c r="Q245" s="237"/>
      <c r="R245" s="237"/>
      <c r="S245" s="218"/>
      <c r="T245" s="219"/>
      <c r="U245" s="30"/>
      <c r="V245" s="31"/>
      <c r="W245" s="30"/>
      <c r="X245" s="220"/>
      <c r="Y245" s="139"/>
      <c r="Z245" s="9"/>
    </row>
    <row r="246" spans="1:26">
      <c r="A246"/>
      <c r="E246" s="32"/>
      <c r="F246" s="32"/>
      <c r="G246" s="32"/>
      <c r="H246" s="9"/>
      <c r="I246" s="9"/>
      <c r="K246" s="284"/>
      <c r="L246" s="284"/>
      <c r="M246" s="268"/>
      <c r="N246" s="226"/>
      <c r="O246" s="269"/>
      <c r="P246" s="235"/>
      <c r="Q246" s="237"/>
      <c r="R246" s="237"/>
      <c r="S246" s="218"/>
      <c r="T246" s="219"/>
      <c r="U246" s="30"/>
      <c r="V246" s="31"/>
      <c r="W246" s="30"/>
      <c r="X246" s="220"/>
      <c r="Y246" s="139"/>
      <c r="Z246" s="9"/>
    </row>
    <row r="247" spans="1:26">
      <c r="A247"/>
      <c r="E247" s="32"/>
      <c r="F247" s="32"/>
      <c r="G247" s="32"/>
      <c r="H247" s="9"/>
      <c r="I247" s="9"/>
      <c r="K247" s="284"/>
      <c r="L247" s="284"/>
      <c r="M247" s="268"/>
      <c r="N247" s="226"/>
      <c r="O247" s="269"/>
      <c r="P247" s="235"/>
      <c r="Q247" s="237"/>
      <c r="R247" s="237"/>
      <c r="S247" s="218"/>
      <c r="T247" s="219"/>
      <c r="U247" s="30"/>
      <c r="V247" s="31"/>
      <c r="W247" s="30"/>
      <c r="X247" s="220"/>
      <c r="Y247" s="139"/>
      <c r="Z247" s="9"/>
    </row>
    <row r="248" spans="1:26">
      <c r="A248"/>
      <c r="E248" s="242"/>
      <c r="F248" s="227"/>
      <c r="G248" s="227"/>
      <c r="H248" s="233"/>
      <c r="I248" s="9"/>
      <c r="K248" s="285"/>
      <c r="L248" s="285"/>
      <c r="M248" s="268"/>
      <c r="N248" s="176"/>
      <c r="O248" s="269"/>
      <c r="P248" s="236"/>
      <c r="Q248" s="238"/>
      <c r="R248" s="237"/>
      <c r="S248" s="218"/>
      <c r="T248" s="219"/>
      <c r="U248" s="30"/>
      <c r="V248" s="31"/>
      <c r="W248" s="30"/>
      <c r="X248" s="220"/>
      <c r="Y248" s="139"/>
      <c r="Z248" s="9"/>
    </row>
    <row r="249" spans="1:26">
      <c r="A249"/>
      <c r="E249" s="32"/>
      <c r="F249" s="32"/>
      <c r="G249" s="32"/>
      <c r="H249" s="9"/>
      <c r="I249" s="9"/>
      <c r="K249" s="284"/>
      <c r="L249" s="284"/>
      <c r="M249" s="268"/>
      <c r="N249" s="226"/>
      <c r="O249" s="269"/>
      <c r="P249" s="235"/>
      <c r="Q249" s="237"/>
      <c r="R249" s="237"/>
      <c r="S249" s="218"/>
      <c r="T249" s="219"/>
      <c r="U249" s="30"/>
      <c r="V249" s="31"/>
      <c r="W249" s="30"/>
      <c r="X249" s="220"/>
      <c r="Y249" s="139"/>
      <c r="Z249" s="9"/>
    </row>
    <row r="250" spans="1:26">
      <c r="A250"/>
      <c r="E250" s="32"/>
      <c r="F250" s="32"/>
      <c r="G250" s="32"/>
      <c r="H250" s="9"/>
      <c r="I250" s="9"/>
      <c r="K250" s="284"/>
      <c r="L250" s="284"/>
      <c r="M250" s="268"/>
      <c r="N250" s="226"/>
      <c r="O250" s="269"/>
      <c r="P250" s="235"/>
      <c r="Q250" s="237"/>
      <c r="R250" s="237"/>
      <c r="S250" s="218"/>
      <c r="T250" s="219"/>
      <c r="U250" s="30"/>
      <c r="V250" s="31"/>
      <c r="W250" s="30"/>
      <c r="X250" s="220"/>
      <c r="Y250" s="139"/>
      <c r="Z250" s="9"/>
    </row>
    <row r="251" spans="1:26">
      <c r="A251"/>
      <c r="E251" s="32"/>
      <c r="F251" s="32"/>
      <c r="G251" s="32"/>
      <c r="H251" s="9"/>
      <c r="I251" s="9"/>
      <c r="K251" s="284"/>
      <c r="L251" s="284"/>
      <c r="M251" s="268"/>
      <c r="N251" s="226"/>
      <c r="O251" s="269"/>
      <c r="P251" s="235"/>
      <c r="Q251" s="237"/>
      <c r="R251" s="237"/>
      <c r="S251" s="218"/>
      <c r="T251" s="219"/>
      <c r="U251" s="30"/>
      <c r="V251" s="31"/>
      <c r="W251" s="30"/>
      <c r="X251" s="220"/>
      <c r="Y251" s="139"/>
      <c r="Z251" s="9"/>
    </row>
    <row r="252" spans="1:26">
      <c r="A252"/>
      <c r="E252" s="242"/>
      <c r="F252" s="227"/>
      <c r="G252" s="227"/>
      <c r="H252" s="232"/>
      <c r="I252" s="9"/>
      <c r="K252" s="217"/>
      <c r="L252" s="217"/>
      <c r="M252" s="268"/>
      <c r="N252" s="176"/>
      <c r="O252" s="269"/>
      <c r="P252" s="236"/>
      <c r="Q252" s="238"/>
      <c r="R252" s="238"/>
      <c r="S252" s="218"/>
      <c r="T252" s="219"/>
      <c r="U252" s="30"/>
      <c r="V252" s="31"/>
      <c r="W252" s="30"/>
      <c r="X252" s="220"/>
      <c r="Y252" s="139"/>
      <c r="Z252" s="9"/>
    </row>
    <row r="253" spans="1:26">
      <c r="A253"/>
      <c r="E253" s="32"/>
      <c r="F253" s="32"/>
      <c r="G253" s="32"/>
      <c r="H253" s="9"/>
      <c r="I253" s="9"/>
      <c r="K253" s="284"/>
      <c r="L253" s="284"/>
      <c r="M253" s="268"/>
      <c r="N253" s="222"/>
      <c r="O253" s="269"/>
      <c r="P253" s="223"/>
      <c r="Q253" s="237"/>
      <c r="R253" s="237"/>
      <c r="S253" s="218"/>
      <c r="T253" s="219"/>
      <c r="U253" s="30"/>
      <c r="V253" s="31"/>
      <c r="W253" s="30"/>
      <c r="X253" s="220"/>
      <c r="Y253" s="139"/>
      <c r="Z253" s="9"/>
    </row>
    <row r="254" spans="1:26">
      <c r="A254"/>
      <c r="E254" s="242"/>
      <c r="F254" s="227"/>
      <c r="G254" s="227"/>
      <c r="H254" s="232"/>
      <c r="I254" s="9"/>
      <c r="K254" s="217"/>
      <c r="L254" s="217"/>
      <c r="M254" s="268"/>
      <c r="N254" s="176"/>
      <c r="O254" s="269"/>
      <c r="P254" s="236"/>
      <c r="Q254" s="238"/>
      <c r="R254" s="238"/>
      <c r="S254" s="218"/>
      <c r="T254" s="219"/>
      <c r="U254" s="30"/>
      <c r="V254" s="31"/>
      <c r="W254" s="30"/>
      <c r="X254" s="220"/>
      <c r="Y254" s="139"/>
      <c r="Z254" s="9"/>
    </row>
    <row r="255" spans="1:26">
      <c r="A255"/>
      <c r="E255" s="242"/>
      <c r="F255" s="227"/>
      <c r="G255" s="227"/>
      <c r="H255" s="233"/>
      <c r="I255" s="9"/>
      <c r="K255" s="285"/>
      <c r="L255" s="285"/>
      <c r="M255" s="268"/>
      <c r="N255" s="176"/>
      <c r="O255" s="269"/>
      <c r="P255" s="236"/>
      <c r="Q255" s="282"/>
      <c r="R255" s="282"/>
      <c r="S255" s="218"/>
      <c r="T255" s="219"/>
      <c r="U255" s="30"/>
      <c r="V255" s="31"/>
      <c r="W255" s="30"/>
      <c r="X255" s="220"/>
      <c r="Y255" s="139"/>
      <c r="Z255" s="9"/>
    </row>
    <row r="256" spans="1:26">
      <c r="A256"/>
      <c r="E256" s="242"/>
      <c r="F256" s="227"/>
      <c r="G256" s="227"/>
      <c r="H256" s="233"/>
      <c r="I256" s="9"/>
      <c r="K256" s="285"/>
      <c r="L256" s="285"/>
      <c r="M256" s="268"/>
      <c r="N256" s="176"/>
      <c r="O256" s="269"/>
      <c r="P256" s="236"/>
      <c r="Q256" s="282"/>
      <c r="R256" s="282"/>
      <c r="S256" s="218"/>
      <c r="T256" s="219"/>
      <c r="U256" s="30"/>
      <c r="V256" s="31"/>
      <c r="W256" s="30"/>
      <c r="X256" s="220"/>
      <c r="Y256" s="139"/>
      <c r="Z256" s="9"/>
    </row>
    <row r="257" spans="1:26">
      <c r="A257"/>
      <c r="E257" s="242"/>
      <c r="F257" s="227"/>
      <c r="G257" s="227"/>
      <c r="H257" s="232"/>
      <c r="I257" s="9"/>
      <c r="K257" s="217"/>
      <c r="L257" s="217"/>
      <c r="M257" s="268"/>
      <c r="N257" s="176"/>
      <c r="O257" s="269"/>
      <c r="P257" s="236"/>
      <c r="Q257" s="238"/>
      <c r="R257" s="238"/>
      <c r="S257" s="218"/>
      <c r="T257" s="219"/>
      <c r="U257" s="30"/>
      <c r="V257" s="31"/>
      <c r="W257" s="30"/>
      <c r="X257" s="220"/>
      <c r="Y257" s="139"/>
      <c r="Z257" s="9"/>
    </row>
    <row r="258" spans="1:26">
      <c r="A258"/>
      <c r="E258" s="32"/>
      <c r="F258" s="32"/>
      <c r="G258" s="32"/>
      <c r="H258" s="9"/>
      <c r="I258" s="9"/>
      <c r="K258" s="284"/>
      <c r="L258" s="284"/>
      <c r="M258" s="268"/>
      <c r="N258" s="226"/>
      <c r="O258" s="269"/>
      <c r="P258" s="235"/>
      <c r="Q258" s="237"/>
      <c r="R258" s="237"/>
      <c r="S258" s="218"/>
      <c r="T258" s="219"/>
      <c r="U258" s="30"/>
      <c r="V258" s="31"/>
      <c r="W258" s="30"/>
      <c r="X258" s="220"/>
      <c r="Y258" s="139"/>
      <c r="Z258" s="9"/>
    </row>
    <row r="259" spans="1:26">
      <c r="A259"/>
      <c r="E259" s="242"/>
      <c r="F259" s="227"/>
      <c r="G259" s="227"/>
      <c r="H259" s="233"/>
      <c r="I259" s="9"/>
      <c r="K259" s="285"/>
      <c r="L259" s="285"/>
      <c r="M259" s="268"/>
      <c r="N259" s="176"/>
      <c r="O259" s="269"/>
      <c r="P259" s="236"/>
      <c r="Q259" s="282"/>
      <c r="R259" s="282"/>
      <c r="S259" s="218"/>
      <c r="T259" s="219"/>
      <c r="U259" s="30"/>
      <c r="V259" s="31"/>
      <c r="W259" s="30"/>
      <c r="X259" s="220"/>
      <c r="Y259" s="139"/>
      <c r="Z259" s="9"/>
    </row>
    <row r="260" spans="1:26">
      <c r="A260"/>
      <c r="E260" s="242"/>
      <c r="F260" s="227"/>
      <c r="G260" s="227"/>
      <c r="H260" s="232"/>
      <c r="I260" s="9"/>
      <c r="K260" s="285"/>
      <c r="L260" s="285"/>
      <c r="M260" s="268"/>
      <c r="N260" s="176"/>
      <c r="O260" s="269"/>
      <c r="P260" s="236"/>
      <c r="Q260" s="238"/>
      <c r="R260" s="238"/>
      <c r="S260" s="218"/>
      <c r="T260" s="219"/>
      <c r="U260" s="30"/>
      <c r="V260" s="31"/>
      <c r="W260" s="30"/>
      <c r="X260" s="220"/>
      <c r="Y260" s="139"/>
      <c r="Z260" s="9"/>
    </row>
    <row r="261" spans="1:26">
      <c r="A261"/>
      <c r="E261" s="32"/>
      <c r="F261" s="32"/>
      <c r="G261" s="32"/>
      <c r="H261" s="9"/>
      <c r="I261" s="9"/>
      <c r="K261" s="284"/>
      <c r="L261" s="284"/>
      <c r="M261" s="268"/>
      <c r="N261" s="226"/>
      <c r="O261" s="269"/>
      <c r="P261" s="235"/>
      <c r="Q261" s="237"/>
      <c r="R261" s="237"/>
      <c r="S261" s="218"/>
      <c r="T261" s="219"/>
      <c r="U261" s="30"/>
      <c r="V261" s="31"/>
      <c r="W261" s="30"/>
      <c r="X261" s="220"/>
      <c r="Y261" s="139"/>
      <c r="Z261" s="9"/>
    </row>
    <row r="262" spans="1:26">
      <c r="A262"/>
      <c r="E262" s="32"/>
      <c r="F262" s="32"/>
      <c r="G262" s="32"/>
      <c r="H262" s="9"/>
      <c r="I262" s="9"/>
      <c r="K262" s="284"/>
      <c r="L262" s="284"/>
      <c r="M262" s="268"/>
      <c r="N262" s="226"/>
      <c r="O262" s="269"/>
      <c r="P262" s="235"/>
      <c r="Q262" s="281"/>
      <c r="R262" s="281"/>
      <c r="S262" s="218"/>
      <c r="T262" s="219"/>
      <c r="U262" s="30"/>
      <c r="V262" s="31"/>
      <c r="W262" s="30"/>
      <c r="X262" s="220"/>
      <c r="Y262" s="139"/>
      <c r="Z262" s="9"/>
    </row>
    <row r="263" spans="1:26">
      <c r="A263"/>
      <c r="E263" s="242"/>
      <c r="F263" s="227"/>
      <c r="G263" s="227"/>
      <c r="H263" s="233"/>
      <c r="I263" s="9"/>
      <c r="K263" s="285"/>
      <c r="L263" s="285"/>
      <c r="M263" s="268"/>
      <c r="N263" s="176"/>
      <c r="O263" s="269"/>
      <c r="P263" s="236"/>
      <c r="Q263" s="238"/>
      <c r="R263" s="237"/>
      <c r="S263" s="218"/>
      <c r="T263" s="219"/>
      <c r="U263" s="30"/>
      <c r="V263" s="31"/>
      <c r="W263" s="30"/>
      <c r="X263" s="220"/>
      <c r="Y263" s="139"/>
      <c r="Z263" s="9"/>
    </row>
    <row r="264" spans="1:26">
      <c r="A264"/>
      <c r="E264" s="32"/>
      <c r="F264" s="32"/>
      <c r="G264" s="32"/>
      <c r="H264" s="9"/>
      <c r="I264" s="9"/>
      <c r="K264" s="284"/>
      <c r="L264" s="284"/>
      <c r="M264" s="268"/>
      <c r="N264" s="226"/>
      <c r="O264" s="269"/>
      <c r="P264" s="235"/>
      <c r="Q264" s="237"/>
      <c r="R264" s="237"/>
      <c r="S264" s="218"/>
      <c r="T264" s="219"/>
      <c r="U264" s="30"/>
      <c r="V264" s="31"/>
      <c r="W264" s="30"/>
      <c r="X264" s="220"/>
      <c r="Y264" s="139"/>
      <c r="Z264" s="9"/>
    </row>
    <row r="265" spans="1:26">
      <c r="A265"/>
      <c r="E265" s="32"/>
      <c r="F265" s="32"/>
      <c r="G265" s="32"/>
      <c r="H265" s="9"/>
      <c r="I265" s="9"/>
      <c r="K265" s="284"/>
      <c r="L265" s="284"/>
      <c r="M265" s="268"/>
      <c r="N265" s="226"/>
      <c r="O265" s="269"/>
      <c r="P265" s="235"/>
      <c r="Q265" s="281"/>
      <c r="R265" s="281"/>
      <c r="S265" s="218"/>
      <c r="T265" s="219"/>
      <c r="U265" s="30"/>
      <c r="V265" s="31"/>
      <c r="W265" s="30"/>
      <c r="X265" s="220"/>
      <c r="Y265" s="139"/>
      <c r="Z265" s="9"/>
    </row>
    <row r="266" spans="1:26">
      <c r="A266"/>
      <c r="E266" s="242"/>
      <c r="F266" s="227"/>
      <c r="G266" s="227"/>
      <c r="H266" s="232"/>
      <c r="I266" s="9"/>
      <c r="K266" s="217"/>
      <c r="L266" s="217"/>
      <c r="M266" s="268"/>
      <c r="N266" s="176"/>
      <c r="O266" s="269"/>
      <c r="P266" s="236"/>
      <c r="Q266" s="238"/>
      <c r="R266" s="238"/>
      <c r="S266" s="218"/>
      <c r="T266" s="219"/>
      <c r="U266" s="30"/>
      <c r="V266" s="31"/>
      <c r="W266" s="30"/>
      <c r="X266" s="220"/>
      <c r="Y266" s="139"/>
      <c r="Z266" s="9"/>
    </row>
    <row r="267" spans="1:26">
      <c r="A267"/>
      <c r="E267" s="242"/>
      <c r="F267" s="227"/>
      <c r="G267" s="227"/>
      <c r="H267" s="232"/>
      <c r="I267" s="9"/>
      <c r="K267" s="217"/>
      <c r="L267" s="217"/>
      <c r="M267" s="268"/>
      <c r="N267" s="176"/>
      <c r="O267" s="269"/>
      <c r="P267" s="236"/>
      <c r="Q267" s="238"/>
      <c r="R267" s="238"/>
      <c r="S267" s="218"/>
      <c r="T267" s="219"/>
      <c r="U267" s="30"/>
      <c r="V267" s="31"/>
      <c r="W267" s="30"/>
      <c r="X267" s="220"/>
      <c r="Y267" s="139"/>
      <c r="Z267" s="9"/>
    </row>
    <row r="268" spans="1:26">
      <c r="A268"/>
      <c r="E268" s="242"/>
      <c r="F268" s="227"/>
      <c r="G268" s="227"/>
      <c r="H268" s="233"/>
      <c r="I268" s="9"/>
      <c r="K268" s="285"/>
      <c r="L268" s="285"/>
      <c r="M268" s="268"/>
      <c r="N268" s="176"/>
      <c r="O268" s="269"/>
      <c r="P268" s="236"/>
      <c r="Q268" s="282"/>
      <c r="R268" s="282"/>
      <c r="S268" s="218"/>
      <c r="T268" s="219"/>
      <c r="U268" s="30"/>
      <c r="V268" s="31"/>
      <c r="W268" s="30"/>
      <c r="X268" s="220"/>
      <c r="Y268" s="139"/>
      <c r="Z268" s="9"/>
    </row>
    <row r="269" spans="1:26">
      <c r="A269"/>
      <c r="E269" s="242"/>
      <c r="F269" s="227"/>
      <c r="G269" s="227"/>
      <c r="H269" s="233"/>
      <c r="I269" s="9"/>
      <c r="K269" s="285"/>
      <c r="L269" s="285"/>
      <c r="M269" s="268"/>
      <c r="N269" s="176"/>
      <c r="O269" s="269"/>
      <c r="P269" s="236"/>
      <c r="Q269" s="282"/>
      <c r="R269" s="282"/>
      <c r="S269" s="218"/>
      <c r="T269" s="219"/>
      <c r="U269" s="30"/>
      <c r="V269" s="31"/>
      <c r="W269" s="30"/>
      <c r="X269" s="220"/>
      <c r="Y269" s="139"/>
      <c r="Z269" s="9"/>
    </row>
    <row r="270" spans="1:26">
      <c r="A270"/>
      <c r="E270" s="32"/>
      <c r="F270" s="32"/>
      <c r="G270" s="32"/>
      <c r="H270" s="9"/>
      <c r="I270" s="9"/>
      <c r="K270" s="284"/>
      <c r="L270" s="284"/>
      <c r="M270" s="268"/>
      <c r="N270" s="226"/>
      <c r="O270" s="269"/>
      <c r="P270" s="235"/>
      <c r="Q270" s="281"/>
      <c r="R270" s="281"/>
      <c r="S270" s="218"/>
      <c r="T270" s="219"/>
      <c r="U270" s="30"/>
      <c r="V270" s="31"/>
      <c r="W270" s="30"/>
      <c r="X270" s="220"/>
      <c r="Y270" s="139"/>
      <c r="Z270" s="9"/>
    </row>
    <row r="271" spans="1:26">
      <c r="A271"/>
      <c r="E271" s="242"/>
      <c r="F271" s="227"/>
      <c r="G271" s="227"/>
      <c r="H271" s="232"/>
      <c r="I271" s="9"/>
      <c r="K271" s="217"/>
      <c r="L271" s="217"/>
      <c r="M271" s="268"/>
      <c r="N271" s="176"/>
      <c r="O271" s="269"/>
      <c r="P271" s="236"/>
      <c r="Q271" s="238"/>
      <c r="R271" s="238"/>
      <c r="S271" s="218"/>
      <c r="T271" s="219"/>
      <c r="U271" s="30"/>
      <c r="V271" s="31"/>
      <c r="W271" s="30"/>
      <c r="X271" s="220"/>
      <c r="Y271" s="139"/>
      <c r="Z271" s="9"/>
    </row>
    <row r="272" spans="1:26">
      <c r="A272"/>
      <c r="E272" s="242"/>
      <c r="F272" s="227"/>
      <c r="G272" s="227"/>
      <c r="H272" s="232"/>
      <c r="I272" s="9"/>
      <c r="K272" s="217"/>
      <c r="L272" s="217"/>
      <c r="M272" s="268"/>
      <c r="N272" s="176"/>
      <c r="O272" s="269"/>
      <c r="P272" s="236"/>
      <c r="Q272" s="238"/>
      <c r="R272" s="238"/>
      <c r="S272" s="218"/>
      <c r="T272" s="219"/>
      <c r="U272" s="30"/>
      <c r="V272" s="31"/>
      <c r="W272" s="30"/>
      <c r="X272" s="220"/>
      <c r="Y272" s="139"/>
      <c r="Z272" s="9"/>
    </row>
    <row r="273" spans="1:26">
      <c r="A273"/>
      <c r="E273" s="242"/>
      <c r="F273" s="227"/>
      <c r="G273" s="227"/>
      <c r="H273" s="232"/>
      <c r="I273" s="9"/>
      <c r="K273" s="217"/>
      <c r="L273" s="217"/>
      <c r="M273" s="268"/>
      <c r="N273" s="176"/>
      <c r="O273" s="269"/>
      <c r="P273" s="236"/>
      <c r="Q273" s="238"/>
      <c r="R273" s="238"/>
      <c r="S273" s="218"/>
      <c r="T273" s="219"/>
      <c r="U273" s="30"/>
      <c r="V273" s="31"/>
      <c r="W273" s="30"/>
      <c r="X273" s="220"/>
      <c r="Y273" s="139"/>
      <c r="Z273" s="9"/>
    </row>
    <row r="274" spans="1:26">
      <c r="A274"/>
      <c r="E274" s="242"/>
      <c r="F274" s="227"/>
      <c r="G274" s="227"/>
      <c r="H274" s="232"/>
      <c r="I274" s="9"/>
      <c r="K274" s="217"/>
      <c r="L274" s="217"/>
      <c r="M274" s="268"/>
      <c r="N274" s="176"/>
      <c r="O274" s="269"/>
      <c r="P274" s="236"/>
      <c r="Q274" s="238"/>
      <c r="R274" s="238"/>
      <c r="S274" s="218"/>
      <c r="T274" s="219"/>
      <c r="U274" s="30"/>
      <c r="V274" s="31"/>
      <c r="W274" s="30"/>
      <c r="X274" s="220"/>
      <c r="Y274" s="139"/>
      <c r="Z274" s="9"/>
    </row>
    <row r="275" spans="1:26">
      <c r="A275"/>
      <c r="E275" s="242"/>
      <c r="F275" s="227"/>
      <c r="G275" s="227"/>
      <c r="H275" s="233"/>
      <c r="I275" s="9"/>
      <c r="K275" s="285"/>
      <c r="L275" s="285"/>
      <c r="M275" s="268"/>
      <c r="N275" s="176"/>
      <c r="O275" s="269"/>
      <c r="P275" s="236"/>
      <c r="Q275" s="238"/>
      <c r="R275" s="238"/>
      <c r="S275" s="218"/>
      <c r="T275" s="219"/>
      <c r="U275" s="30"/>
      <c r="V275" s="31"/>
      <c r="W275" s="30"/>
      <c r="X275" s="220"/>
      <c r="Y275" s="139"/>
      <c r="Z275" s="9"/>
    </row>
    <row r="276" spans="1:26">
      <c r="A276"/>
      <c r="E276" s="32"/>
      <c r="F276" s="32"/>
      <c r="G276" s="32"/>
      <c r="H276" s="9"/>
      <c r="I276" s="9"/>
      <c r="K276" s="284"/>
      <c r="L276" s="284"/>
      <c r="M276" s="268"/>
      <c r="N276" s="226"/>
      <c r="O276" s="269"/>
      <c r="P276" s="235"/>
      <c r="Q276" s="237"/>
      <c r="R276" s="237"/>
      <c r="S276" s="218"/>
      <c r="T276" s="219"/>
      <c r="U276" s="30"/>
      <c r="V276" s="31"/>
      <c r="W276" s="30"/>
      <c r="X276" s="220"/>
      <c r="Y276" s="139"/>
      <c r="Z276" s="9"/>
    </row>
    <row r="277" spans="1:26">
      <c r="A277"/>
      <c r="E277" s="242"/>
      <c r="F277" s="227"/>
      <c r="G277" s="227"/>
      <c r="H277" s="232"/>
      <c r="I277" s="9"/>
      <c r="K277" s="217"/>
      <c r="L277" s="217"/>
      <c r="M277" s="268"/>
      <c r="N277" s="176"/>
      <c r="O277" s="269"/>
      <c r="P277" s="236"/>
      <c r="Q277" s="238"/>
      <c r="R277" s="238"/>
      <c r="S277" s="218"/>
      <c r="T277" s="219"/>
      <c r="U277" s="30"/>
      <c r="V277" s="31"/>
      <c r="W277" s="30"/>
      <c r="X277" s="220"/>
      <c r="Y277" s="139"/>
      <c r="Z277" s="9"/>
    </row>
    <row r="278" spans="1:26">
      <c r="A278"/>
      <c r="E278" s="32"/>
      <c r="F278" s="32"/>
      <c r="G278" s="32"/>
      <c r="H278" s="9"/>
      <c r="I278" s="9"/>
      <c r="K278" s="284"/>
      <c r="L278" s="284"/>
      <c r="M278" s="268"/>
      <c r="N278" s="226"/>
      <c r="O278" s="269"/>
      <c r="P278" s="235"/>
      <c r="Q278" s="237"/>
      <c r="R278" s="237"/>
      <c r="S278" s="218"/>
      <c r="T278" s="219"/>
      <c r="U278" s="30"/>
      <c r="V278" s="31"/>
      <c r="W278" s="30"/>
      <c r="X278" s="220"/>
      <c r="Y278" s="139"/>
      <c r="Z278" s="9"/>
    </row>
    <row r="279" spans="1:26">
      <c r="A279"/>
      <c r="E279" s="32"/>
      <c r="F279" s="32"/>
      <c r="G279" s="32"/>
      <c r="H279" s="9"/>
      <c r="I279" s="9"/>
      <c r="K279" s="284"/>
      <c r="L279" s="284"/>
      <c r="M279" s="268"/>
      <c r="N279" s="226"/>
      <c r="O279" s="269"/>
      <c r="P279" s="235"/>
      <c r="Q279" s="237"/>
      <c r="R279" s="237"/>
      <c r="S279" s="218"/>
      <c r="T279" s="219"/>
      <c r="U279" s="30"/>
      <c r="V279" s="31"/>
      <c r="W279" s="30"/>
      <c r="X279" s="220"/>
      <c r="Y279" s="139"/>
      <c r="Z279" s="9"/>
    </row>
    <row r="280" spans="1:26">
      <c r="A280"/>
      <c r="E280" s="32"/>
      <c r="F280" s="32"/>
      <c r="G280" s="32"/>
      <c r="H280" s="9"/>
      <c r="I280" s="9"/>
      <c r="K280" s="284"/>
      <c r="L280" s="284"/>
      <c r="M280" s="268"/>
      <c r="N280" s="226"/>
      <c r="O280" s="269"/>
      <c r="P280" s="235"/>
      <c r="Q280" s="237"/>
      <c r="R280" s="237"/>
      <c r="S280" s="218"/>
      <c r="T280" s="219"/>
      <c r="U280" s="30"/>
      <c r="V280" s="31"/>
      <c r="W280" s="30"/>
      <c r="X280" s="220"/>
      <c r="Y280" s="139"/>
      <c r="Z280" s="9"/>
    </row>
    <row r="281" spans="1:26">
      <c r="A281"/>
      <c r="E281" s="242"/>
      <c r="F281" s="227"/>
      <c r="G281" s="227"/>
      <c r="H281" s="233"/>
      <c r="I281" s="9"/>
      <c r="K281" s="285"/>
      <c r="L281" s="285"/>
      <c r="M281" s="268"/>
      <c r="N281" s="176"/>
      <c r="O281" s="269"/>
      <c r="P281" s="236"/>
      <c r="Q281" s="238"/>
      <c r="R281" s="238"/>
      <c r="S281" s="218"/>
      <c r="T281" s="219"/>
      <c r="U281" s="30"/>
      <c r="V281" s="31"/>
      <c r="W281" s="30"/>
      <c r="X281" s="220"/>
      <c r="Y281" s="139"/>
      <c r="Z281" s="9"/>
    </row>
    <row r="282" spans="1:26">
      <c r="A282"/>
      <c r="E282" s="242"/>
      <c r="F282" s="58"/>
      <c r="G282" s="58"/>
      <c r="H282" s="29"/>
      <c r="I282" s="9"/>
      <c r="K282" s="217"/>
      <c r="L282" s="217"/>
      <c r="M282" s="268"/>
      <c r="N282" s="176"/>
      <c r="O282" s="269"/>
      <c r="P282" s="236"/>
      <c r="Q282" s="238"/>
      <c r="R282" s="238"/>
      <c r="S282" s="218"/>
      <c r="T282" s="219"/>
      <c r="U282" s="30"/>
      <c r="V282" s="31"/>
      <c r="W282" s="30"/>
      <c r="X282" s="220"/>
      <c r="Y282" s="139"/>
      <c r="Z282" s="9"/>
    </row>
    <row r="283" spans="1:26">
      <c r="A283"/>
      <c r="E283" s="242"/>
      <c r="F283" s="227"/>
      <c r="G283" s="227"/>
      <c r="H283" s="232"/>
      <c r="I283" s="9"/>
      <c r="K283" s="217"/>
      <c r="L283" s="217"/>
      <c r="M283" s="268"/>
      <c r="N283" s="176"/>
      <c r="O283" s="269"/>
      <c r="P283" s="236"/>
      <c r="Q283" s="238"/>
      <c r="R283" s="238"/>
      <c r="S283" s="218"/>
      <c r="T283" s="219"/>
      <c r="U283" s="30"/>
      <c r="V283" s="31"/>
      <c r="W283" s="30"/>
      <c r="X283" s="220"/>
      <c r="Y283" s="139"/>
      <c r="Z283" s="9"/>
    </row>
    <row r="284" spans="1:26">
      <c r="A284"/>
      <c r="E284" s="32"/>
      <c r="F284" s="32"/>
      <c r="G284" s="32"/>
      <c r="H284" s="9"/>
      <c r="I284" s="9"/>
      <c r="K284" s="284"/>
      <c r="L284" s="284"/>
      <c r="M284" s="268"/>
      <c r="N284" s="226"/>
      <c r="O284" s="269"/>
      <c r="P284" s="235"/>
      <c r="Q284" s="237"/>
      <c r="R284" s="237"/>
      <c r="S284" s="218"/>
      <c r="T284" s="219"/>
      <c r="U284" s="30"/>
      <c r="V284" s="31"/>
      <c r="W284" s="30"/>
      <c r="X284" s="220"/>
      <c r="Y284" s="139"/>
      <c r="Z284" s="9"/>
    </row>
    <row r="285" spans="1:26">
      <c r="A285"/>
      <c r="E285" s="32"/>
      <c r="F285" s="32"/>
      <c r="G285" s="32"/>
      <c r="H285" s="9"/>
      <c r="I285" s="9"/>
      <c r="K285" s="284"/>
      <c r="L285" s="284"/>
      <c r="M285" s="268"/>
      <c r="N285" s="226"/>
      <c r="O285" s="269"/>
      <c r="P285" s="235"/>
      <c r="Q285" s="237"/>
      <c r="R285" s="237"/>
      <c r="S285" s="218"/>
      <c r="T285" s="219"/>
      <c r="U285" s="30"/>
      <c r="V285" s="31"/>
      <c r="W285" s="30"/>
      <c r="X285" s="220"/>
      <c r="Y285" s="139"/>
      <c r="Z285" s="9"/>
    </row>
    <row r="286" spans="1:26">
      <c r="A286"/>
      <c r="E286" s="32"/>
      <c r="F286" s="32"/>
      <c r="G286" s="32"/>
      <c r="H286" s="9"/>
      <c r="I286" s="9"/>
      <c r="K286" s="284"/>
      <c r="L286" s="284"/>
      <c r="M286" s="268"/>
      <c r="N286" s="226"/>
      <c r="O286" s="269"/>
      <c r="P286" s="235"/>
      <c r="Q286" s="237"/>
      <c r="R286" s="237"/>
      <c r="S286" s="218"/>
      <c r="T286" s="219"/>
      <c r="U286" s="30"/>
      <c r="V286" s="31"/>
      <c r="W286" s="30"/>
      <c r="X286" s="220"/>
      <c r="Y286" s="139"/>
      <c r="Z286" s="9"/>
    </row>
    <row r="287" spans="1:26">
      <c r="A287"/>
      <c r="E287" s="242"/>
      <c r="F287" s="227"/>
      <c r="G287" s="227"/>
      <c r="H287" s="232"/>
      <c r="I287" s="9"/>
      <c r="K287" s="217"/>
      <c r="L287" s="217"/>
      <c r="M287" s="268"/>
      <c r="N287" s="176"/>
      <c r="O287" s="269"/>
      <c r="P287" s="236"/>
      <c r="Q287" s="238"/>
      <c r="R287" s="238"/>
      <c r="S287" s="218"/>
      <c r="T287" s="219"/>
      <c r="U287" s="30"/>
      <c r="V287" s="31"/>
      <c r="W287" s="30"/>
      <c r="X287" s="220"/>
      <c r="Y287" s="139"/>
      <c r="Z287" s="9"/>
    </row>
    <row r="288" spans="1:26">
      <c r="A288"/>
      <c r="E288" s="32"/>
      <c r="F288" s="32"/>
      <c r="G288" s="32"/>
      <c r="H288" s="9"/>
      <c r="I288" s="9"/>
      <c r="K288" s="284"/>
      <c r="L288" s="284"/>
      <c r="M288" s="268"/>
      <c r="N288" s="226"/>
      <c r="O288" s="269"/>
      <c r="P288" s="235"/>
      <c r="Q288" s="237"/>
      <c r="R288" s="237"/>
      <c r="S288" s="218"/>
      <c r="T288" s="219"/>
      <c r="U288" s="30"/>
      <c r="V288" s="31"/>
      <c r="W288" s="30"/>
      <c r="X288" s="220"/>
      <c r="Y288" s="139"/>
      <c r="Z288" s="9"/>
    </row>
    <row r="289" spans="1:26">
      <c r="A289"/>
      <c r="E289" s="32"/>
      <c r="F289" s="32"/>
      <c r="G289" s="32"/>
      <c r="H289" s="9"/>
      <c r="I289" s="9"/>
      <c r="K289" s="284"/>
      <c r="L289" s="284"/>
      <c r="M289" s="268"/>
      <c r="N289" s="226"/>
      <c r="O289" s="269"/>
      <c r="P289" s="235"/>
      <c r="Q289" s="237"/>
      <c r="R289" s="237"/>
      <c r="S289" s="218"/>
      <c r="T289" s="219"/>
      <c r="U289" s="30"/>
      <c r="V289" s="31"/>
      <c r="W289" s="30"/>
      <c r="X289" s="220"/>
      <c r="Y289" s="139"/>
      <c r="Z289" s="9"/>
    </row>
    <row r="290" spans="1:26">
      <c r="A290"/>
      <c r="E290" s="32"/>
      <c r="F290" s="32"/>
      <c r="G290" s="32"/>
      <c r="H290" s="9"/>
      <c r="I290" s="9"/>
      <c r="K290" s="284"/>
      <c r="L290" s="284"/>
      <c r="M290" s="268"/>
      <c r="N290" s="226"/>
      <c r="O290" s="269"/>
      <c r="P290" s="235"/>
      <c r="Q290" s="237"/>
      <c r="R290" s="237"/>
      <c r="S290" s="218"/>
      <c r="T290" s="219"/>
      <c r="U290" s="30"/>
      <c r="V290" s="31"/>
      <c r="W290" s="30"/>
      <c r="X290" s="220"/>
      <c r="Y290" s="139"/>
      <c r="Z290" s="9"/>
    </row>
    <row r="291" spans="1:26">
      <c r="A291"/>
      <c r="E291" s="32"/>
      <c r="F291" s="32"/>
      <c r="G291" s="32"/>
      <c r="H291" s="9"/>
      <c r="I291" s="9"/>
      <c r="K291" s="284"/>
      <c r="L291" s="284"/>
      <c r="M291" s="268"/>
      <c r="N291" s="226"/>
      <c r="O291" s="269"/>
      <c r="P291" s="235"/>
      <c r="Q291" s="237"/>
      <c r="R291" s="237"/>
      <c r="S291" s="218"/>
      <c r="T291" s="219"/>
      <c r="U291" s="30"/>
      <c r="V291" s="31"/>
      <c r="W291" s="30"/>
      <c r="X291" s="220"/>
      <c r="Y291" s="139"/>
      <c r="Z291" s="9"/>
    </row>
    <row r="292" spans="1:26">
      <c r="A292"/>
      <c r="E292" s="32"/>
      <c r="F292" s="32"/>
      <c r="G292" s="32"/>
      <c r="H292" s="9"/>
      <c r="I292" s="9"/>
      <c r="K292" s="284"/>
      <c r="L292" s="284"/>
      <c r="M292" s="268"/>
      <c r="N292" s="226"/>
      <c r="O292" s="269"/>
      <c r="P292" s="235"/>
      <c r="Q292" s="237"/>
      <c r="R292" s="237"/>
      <c r="S292" s="218"/>
      <c r="T292" s="219"/>
      <c r="U292" s="30"/>
      <c r="V292" s="31"/>
      <c r="W292" s="30"/>
      <c r="X292" s="220"/>
      <c r="Y292" s="139"/>
      <c r="Z292" s="9"/>
    </row>
    <row r="293" spans="1:26">
      <c r="A293"/>
      <c r="E293" s="32"/>
      <c r="F293" s="32"/>
      <c r="G293" s="32"/>
      <c r="H293" s="9"/>
      <c r="I293" s="9"/>
      <c r="K293" s="284"/>
      <c r="L293" s="284"/>
      <c r="M293" s="268"/>
      <c r="N293" s="226"/>
      <c r="O293" s="269"/>
      <c r="P293" s="235"/>
      <c r="Q293" s="237"/>
      <c r="R293" s="237"/>
      <c r="S293" s="218"/>
      <c r="T293" s="219"/>
      <c r="U293" s="30"/>
      <c r="V293" s="31"/>
      <c r="W293" s="30"/>
      <c r="X293" s="220"/>
      <c r="Y293" s="139"/>
      <c r="Z293" s="9"/>
    </row>
    <row r="294" spans="1:26">
      <c r="A294"/>
      <c r="E294" s="32"/>
      <c r="F294" s="32"/>
      <c r="G294" s="32"/>
      <c r="H294" s="9"/>
      <c r="I294" s="9"/>
      <c r="K294" s="284"/>
      <c r="L294" s="284"/>
      <c r="M294" s="268"/>
      <c r="N294" s="226"/>
      <c r="O294" s="269"/>
      <c r="P294" s="235"/>
      <c r="Q294" s="237"/>
      <c r="R294" s="237"/>
      <c r="S294" s="218"/>
      <c r="T294" s="219"/>
      <c r="U294" s="30"/>
      <c r="V294" s="31"/>
      <c r="W294" s="30"/>
      <c r="X294" s="220"/>
      <c r="Y294" s="139"/>
      <c r="Z294" s="9"/>
    </row>
    <row r="295" spans="1:26">
      <c r="A295"/>
      <c r="E295" s="32"/>
      <c r="F295" s="32"/>
      <c r="G295" s="32"/>
      <c r="H295" s="9"/>
      <c r="I295" s="9"/>
      <c r="K295" s="284"/>
      <c r="L295" s="284"/>
      <c r="M295" s="268"/>
      <c r="N295" s="226"/>
      <c r="O295" s="269"/>
      <c r="P295" s="235"/>
      <c r="Q295" s="237"/>
      <c r="R295" s="237"/>
      <c r="S295" s="218"/>
      <c r="T295" s="219"/>
      <c r="U295" s="30"/>
      <c r="V295" s="31"/>
      <c r="W295" s="30"/>
      <c r="X295" s="220"/>
      <c r="Y295" s="139"/>
      <c r="Z295" s="9"/>
    </row>
    <row r="296" spans="1:26">
      <c r="A296"/>
      <c r="E296" s="32"/>
      <c r="F296" s="32"/>
      <c r="G296" s="32"/>
      <c r="H296" s="9"/>
      <c r="I296" s="9"/>
      <c r="K296" s="284"/>
      <c r="L296" s="284"/>
      <c r="M296" s="268"/>
      <c r="N296" s="226"/>
      <c r="O296" s="269"/>
      <c r="P296" s="235"/>
      <c r="Q296" s="237"/>
      <c r="R296" s="237"/>
      <c r="S296" s="218"/>
      <c r="T296" s="219"/>
      <c r="U296" s="30"/>
      <c r="V296" s="31"/>
      <c r="W296" s="30"/>
      <c r="X296" s="220"/>
      <c r="Y296" s="139"/>
      <c r="Z296" s="9"/>
    </row>
    <row r="297" spans="1:26">
      <c r="A297"/>
      <c r="E297" s="32"/>
      <c r="F297" s="32"/>
      <c r="G297" s="32"/>
      <c r="H297" s="9"/>
      <c r="I297" s="9"/>
      <c r="K297" s="284"/>
      <c r="L297" s="284"/>
      <c r="M297" s="268"/>
      <c r="N297" s="226"/>
      <c r="O297" s="269"/>
      <c r="P297" s="235"/>
      <c r="Q297" s="237"/>
      <c r="R297" s="237"/>
      <c r="S297" s="218"/>
      <c r="T297" s="219"/>
      <c r="U297" s="30"/>
      <c r="V297" s="31"/>
      <c r="W297" s="30"/>
      <c r="X297" s="220"/>
      <c r="Y297" s="139"/>
      <c r="Z297" s="9"/>
    </row>
    <row r="298" spans="1:26">
      <c r="A298"/>
      <c r="E298" s="242"/>
      <c r="F298" s="227"/>
      <c r="G298" s="227"/>
      <c r="H298" s="232"/>
      <c r="I298" s="9"/>
      <c r="K298" s="217"/>
      <c r="L298" s="217"/>
      <c r="M298" s="268"/>
      <c r="N298" s="176"/>
      <c r="O298" s="269"/>
      <c r="P298" s="236"/>
      <c r="Q298" s="238"/>
      <c r="R298" s="238"/>
      <c r="S298" s="218"/>
      <c r="T298" s="219"/>
      <c r="U298" s="30"/>
      <c r="V298" s="31"/>
      <c r="W298" s="30"/>
      <c r="X298" s="220"/>
      <c r="Y298" s="139"/>
      <c r="Z298" s="9"/>
    </row>
    <row r="299" spans="1:26">
      <c r="A299"/>
      <c r="E299" s="32"/>
      <c r="F299" s="32"/>
      <c r="G299" s="32"/>
      <c r="H299" s="9"/>
      <c r="I299" s="9"/>
      <c r="K299" s="284"/>
      <c r="L299" s="284"/>
      <c r="M299" s="268"/>
      <c r="N299" s="226"/>
      <c r="O299" s="269"/>
      <c r="P299" s="235"/>
      <c r="Q299" s="237"/>
      <c r="R299" s="237"/>
      <c r="S299" s="218"/>
      <c r="T299" s="219"/>
      <c r="U299" s="30"/>
      <c r="V299" s="31"/>
      <c r="W299" s="30"/>
      <c r="X299" s="220"/>
      <c r="Y299" s="139"/>
      <c r="Z299" s="9"/>
    </row>
    <row r="300" spans="1:26">
      <c r="A300"/>
      <c r="E300" s="242"/>
      <c r="F300" s="227"/>
      <c r="G300" s="227"/>
      <c r="H300" s="232"/>
      <c r="I300" s="9"/>
      <c r="K300" s="217"/>
      <c r="L300" s="217"/>
      <c r="M300" s="268"/>
      <c r="N300" s="176"/>
      <c r="O300" s="269"/>
      <c r="P300" s="236"/>
      <c r="Q300" s="238"/>
      <c r="R300" s="238"/>
      <c r="S300" s="218"/>
      <c r="T300" s="219"/>
      <c r="U300" s="30"/>
      <c r="V300" s="31"/>
      <c r="W300" s="30"/>
      <c r="X300" s="220"/>
      <c r="Y300" s="139"/>
      <c r="Z300" s="9"/>
    </row>
    <row r="301" spans="1:26">
      <c r="A301"/>
      <c r="E301" s="32"/>
      <c r="F301" s="32"/>
      <c r="G301" s="32"/>
      <c r="H301" s="9"/>
      <c r="I301" s="9"/>
      <c r="K301" s="284"/>
      <c r="L301" s="284"/>
      <c r="M301" s="268"/>
      <c r="N301" s="226"/>
      <c r="O301" s="269"/>
      <c r="P301" s="235"/>
      <c r="Q301" s="237"/>
      <c r="R301" s="237"/>
      <c r="S301" s="218"/>
      <c r="T301" s="219"/>
      <c r="U301" s="30"/>
      <c r="V301" s="31"/>
      <c r="W301" s="30"/>
      <c r="X301" s="220"/>
      <c r="Y301" s="139"/>
      <c r="Z301" s="9"/>
    </row>
    <row r="302" spans="1:26">
      <c r="A302"/>
      <c r="E302" s="32"/>
      <c r="F302" s="32"/>
      <c r="G302" s="32"/>
      <c r="H302" s="9"/>
      <c r="I302" s="9"/>
      <c r="K302" s="284"/>
      <c r="L302" s="284"/>
      <c r="M302" s="268"/>
      <c r="N302" s="226"/>
      <c r="O302" s="269"/>
      <c r="P302" s="235"/>
      <c r="Q302" s="237"/>
      <c r="R302" s="237"/>
      <c r="S302" s="218"/>
      <c r="T302" s="219"/>
      <c r="U302" s="30"/>
      <c r="V302" s="31"/>
      <c r="W302" s="30"/>
      <c r="X302" s="220"/>
      <c r="Y302" s="139"/>
      <c r="Z302" s="9"/>
    </row>
    <row r="303" spans="1:26">
      <c r="A303"/>
      <c r="E303" s="32"/>
      <c r="F303" s="32"/>
      <c r="G303" s="32"/>
      <c r="H303" s="9"/>
      <c r="I303" s="9"/>
      <c r="K303" s="284"/>
      <c r="L303" s="284"/>
      <c r="M303" s="268"/>
      <c r="N303" s="226"/>
      <c r="O303" s="269"/>
      <c r="P303" s="235"/>
      <c r="Q303" s="237"/>
      <c r="R303" s="237"/>
      <c r="S303" s="218"/>
      <c r="T303" s="219"/>
      <c r="U303" s="30"/>
      <c r="V303" s="31"/>
      <c r="W303" s="30"/>
      <c r="X303" s="220"/>
      <c r="Y303" s="139"/>
      <c r="Z303" s="9"/>
    </row>
    <row r="304" spans="1:26">
      <c r="A304"/>
      <c r="E304" s="32"/>
      <c r="F304" s="32"/>
      <c r="G304" s="32"/>
      <c r="H304" s="9"/>
      <c r="I304" s="9"/>
      <c r="K304" s="284"/>
      <c r="L304" s="284"/>
      <c r="M304" s="268"/>
      <c r="N304" s="226"/>
      <c r="O304" s="269"/>
      <c r="P304" s="235"/>
      <c r="Q304" s="237"/>
      <c r="R304" s="237"/>
      <c r="S304" s="218"/>
      <c r="T304" s="219"/>
      <c r="U304" s="30"/>
      <c r="V304" s="31"/>
      <c r="W304" s="30"/>
      <c r="X304" s="220"/>
      <c r="Y304" s="139"/>
      <c r="Z304" s="9"/>
    </row>
    <row r="305" spans="1:26">
      <c r="A305"/>
      <c r="E305" s="32"/>
      <c r="F305" s="32"/>
      <c r="G305" s="32"/>
      <c r="H305" s="9"/>
      <c r="I305" s="9"/>
      <c r="K305" s="284"/>
      <c r="L305" s="284"/>
      <c r="M305" s="268"/>
      <c r="N305" s="226"/>
      <c r="O305" s="269"/>
      <c r="P305" s="235"/>
      <c r="Q305" s="237"/>
      <c r="R305" s="237"/>
      <c r="S305" s="218"/>
      <c r="T305" s="219"/>
      <c r="U305" s="30"/>
      <c r="V305" s="31"/>
      <c r="W305" s="30"/>
      <c r="X305" s="220"/>
      <c r="Y305" s="139"/>
      <c r="Z305" s="9"/>
    </row>
    <row r="306" spans="1:26">
      <c r="A306"/>
      <c r="E306" s="32"/>
      <c r="F306" s="32"/>
      <c r="G306" s="32"/>
      <c r="H306" s="9"/>
      <c r="I306" s="9"/>
      <c r="K306" s="284"/>
      <c r="L306" s="284"/>
      <c r="M306" s="268"/>
      <c r="N306" s="226"/>
      <c r="O306" s="269"/>
      <c r="P306" s="235"/>
      <c r="Q306" s="237"/>
      <c r="R306" s="237"/>
      <c r="S306" s="218"/>
      <c r="T306" s="219"/>
      <c r="U306" s="30"/>
      <c r="V306" s="31"/>
      <c r="W306" s="30"/>
      <c r="X306" s="220"/>
      <c r="Y306" s="139"/>
      <c r="Z306" s="9"/>
    </row>
    <row r="307" spans="1:26">
      <c r="A307"/>
      <c r="E307" s="242"/>
      <c r="F307" s="58"/>
      <c r="G307" s="58"/>
      <c r="H307" s="29"/>
      <c r="I307" s="9"/>
      <c r="K307" s="217"/>
      <c r="L307" s="217"/>
      <c r="M307" s="268"/>
      <c r="N307" s="176"/>
      <c r="O307" s="269"/>
      <c r="P307" s="236"/>
      <c r="Q307" s="238"/>
      <c r="R307" s="238"/>
      <c r="S307" s="218"/>
      <c r="T307" s="219"/>
      <c r="U307" s="30"/>
      <c r="V307" s="31"/>
      <c r="W307" s="30"/>
      <c r="X307" s="220"/>
      <c r="Y307" s="139"/>
      <c r="Z307" s="9"/>
    </row>
    <row r="308" spans="1:26">
      <c r="A308"/>
      <c r="E308" s="242"/>
      <c r="F308" s="227"/>
      <c r="G308" s="227"/>
      <c r="H308" s="232"/>
      <c r="I308" s="9"/>
      <c r="K308" s="217"/>
      <c r="L308" s="217"/>
      <c r="M308" s="268"/>
      <c r="N308" s="176"/>
      <c r="O308" s="269"/>
      <c r="P308" s="236"/>
      <c r="Q308" s="238"/>
      <c r="R308" s="238"/>
      <c r="S308" s="218"/>
      <c r="T308" s="219"/>
      <c r="U308" s="30"/>
      <c r="V308" s="31"/>
      <c r="W308" s="30"/>
      <c r="X308" s="220"/>
      <c r="Y308" s="139"/>
      <c r="Z308" s="9"/>
    </row>
    <row r="309" spans="1:26">
      <c r="A309"/>
      <c r="E309" s="242"/>
      <c r="F309" s="227"/>
      <c r="G309" s="227"/>
      <c r="H309" s="233"/>
      <c r="I309" s="9"/>
      <c r="K309" s="285"/>
      <c r="L309" s="285"/>
      <c r="M309" s="268"/>
      <c r="N309" s="176"/>
      <c r="O309" s="269"/>
      <c r="P309" s="236"/>
      <c r="Q309" s="238"/>
      <c r="R309" s="238"/>
      <c r="S309" s="218"/>
      <c r="T309" s="219"/>
      <c r="U309" s="30"/>
      <c r="V309" s="31"/>
      <c r="W309" s="30"/>
      <c r="X309" s="220"/>
      <c r="Y309" s="139"/>
      <c r="Z309" s="9"/>
    </row>
    <row r="310" spans="1:26">
      <c r="A310"/>
      <c r="E310" s="242"/>
      <c r="F310" s="58"/>
      <c r="G310" s="58"/>
      <c r="H310" s="29"/>
      <c r="I310" s="9"/>
      <c r="K310" s="217"/>
      <c r="L310" s="217"/>
      <c r="M310" s="268"/>
      <c r="N310" s="176"/>
      <c r="O310" s="269"/>
      <c r="P310" s="236"/>
      <c r="Q310" s="238"/>
      <c r="R310" s="238"/>
      <c r="S310" s="218"/>
      <c r="T310" s="219"/>
      <c r="U310" s="30"/>
      <c r="V310" s="31"/>
      <c r="W310" s="30"/>
      <c r="X310" s="220"/>
      <c r="Y310" s="139"/>
      <c r="Z310" s="9"/>
    </row>
    <row r="311" spans="1:26">
      <c r="A311"/>
      <c r="E311" s="32"/>
      <c r="F311" s="32"/>
      <c r="G311" s="32"/>
      <c r="H311" s="9"/>
      <c r="I311" s="9"/>
      <c r="K311" s="284"/>
      <c r="L311" s="284"/>
      <c r="M311" s="268"/>
      <c r="N311" s="226"/>
      <c r="O311" s="269"/>
      <c r="P311" s="235"/>
      <c r="Q311" s="237"/>
      <c r="R311" s="237"/>
      <c r="S311" s="218"/>
      <c r="T311" s="219"/>
      <c r="U311" s="30"/>
      <c r="V311" s="31"/>
      <c r="W311" s="30"/>
      <c r="X311" s="220"/>
      <c r="Y311" s="139"/>
      <c r="Z311" s="9"/>
    </row>
    <row r="312" spans="1:26">
      <c r="A312"/>
      <c r="E312" s="32"/>
      <c r="F312" s="32"/>
      <c r="G312" s="32"/>
      <c r="H312" s="9"/>
      <c r="I312" s="9"/>
      <c r="K312" s="284"/>
      <c r="L312" s="284"/>
      <c r="M312" s="268"/>
      <c r="N312" s="226"/>
      <c r="O312" s="269"/>
      <c r="P312" s="235"/>
      <c r="Q312" s="237"/>
      <c r="R312" s="237"/>
      <c r="S312" s="218"/>
      <c r="T312" s="219"/>
      <c r="U312" s="30"/>
      <c r="V312" s="31"/>
      <c r="W312" s="30"/>
      <c r="X312" s="220"/>
      <c r="Y312" s="139"/>
      <c r="Z312" s="9"/>
    </row>
    <row r="313" spans="1:26">
      <c r="A313"/>
      <c r="E313" s="32"/>
      <c r="F313" s="32"/>
      <c r="G313" s="32"/>
      <c r="H313" s="9"/>
      <c r="I313" s="9"/>
      <c r="K313" s="284"/>
      <c r="L313" s="284"/>
      <c r="M313" s="268"/>
      <c r="N313" s="226"/>
      <c r="O313" s="269"/>
      <c r="P313" s="235"/>
      <c r="Q313" s="237"/>
      <c r="R313" s="237"/>
      <c r="S313" s="218"/>
      <c r="T313" s="219"/>
      <c r="U313" s="30"/>
      <c r="V313" s="31"/>
      <c r="W313" s="30"/>
      <c r="X313" s="220"/>
      <c r="Y313" s="139"/>
      <c r="Z313" s="9"/>
    </row>
    <row r="314" spans="1:26">
      <c r="A314"/>
      <c r="E314" s="32"/>
      <c r="F314" s="32"/>
      <c r="G314" s="32"/>
      <c r="H314" s="9"/>
      <c r="I314" s="9"/>
      <c r="K314" s="284"/>
      <c r="L314" s="284"/>
      <c r="M314" s="268"/>
      <c r="N314" s="222"/>
      <c r="O314" s="269"/>
      <c r="P314" s="223"/>
      <c r="Q314" s="237"/>
      <c r="R314" s="237"/>
      <c r="S314" s="218"/>
      <c r="T314" s="219"/>
      <c r="U314" s="30"/>
      <c r="V314" s="31"/>
      <c r="W314" s="30"/>
      <c r="X314" s="220"/>
      <c r="Y314" s="139"/>
      <c r="Z314" s="9"/>
    </row>
    <row r="315" spans="1:26">
      <c r="A315"/>
      <c r="E315" s="32"/>
      <c r="F315" s="32"/>
      <c r="G315" s="32"/>
      <c r="H315" s="9"/>
      <c r="I315" s="9"/>
      <c r="K315" s="284"/>
      <c r="L315" s="284"/>
      <c r="M315" s="268"/>
      <c r="N315" s="226"/>
      <c r="O315" s="269"/>
      <c r="P315" s="235"/>
      <c r="Q315" s="237"/>
      <c r="R315" s="237"/>
      <c r="S315" s="218"/>
      <c r="T315" s="219"/>
      <c r="U315" s="30"/>
      <c r="V315" s="31"/>
      <c r="W315" s="30"/>
      <c r="X315" s="220"/>
      <c r="Y315" s="139"/>
      <c r="Z315" s="9"/>
    </row>
    <row r="316" spans="1:26">
      <c r="A316"/>
      <c r="E316" s="242"/>
      <c r="F316" s="227"/>
      <c r="G316" s="227"/>
      <c r="H316" s="232"/>
      <c r="I316" s="9"/>
      <c r="K316" s="217"/>
      <c r="L316" s="217"/>
      <c r="M316" s="268"/>
      <c r="N316" s="176"/>
      <c r="O316" s="269"/>
      <c r="P316" s="236"/>
      <c r="Q316" s="238"/>
      <c r="R316" s="238"/>
      <c r="S316" s="218"/>
      <c r="T316" s="219"/>
      <c r="U316" s="30"/>
      <c r="V316" s="31"/>
      <c r="W316" s="30"/>
      <c r="X316" s="220"/>
      <c r="Y316" s="139"/>
      <c r="Z316" s="9"/>
    </row>
    <row r="317" spans="1:26">
      <c r="A317"/>
      <c r="E317" s="32"/>
      <c r="F317" s="32"/>
      <c r="G317" s="32"/>
      <c r="H317" s="9"/>
      <c r="I317" s="9"/>
      <c r="K317" s="284"/>
      <c r="L317" s="284"/>
      <c r="M317" s="268"/>
      <c r="N317" s="226"/>
      <c r="O317" s="269"/>
      <c r="P317" s="235"/>
      <c r="Q317" s="237"/>
      <c r="R317" s="237"/>
      <c r="S317" s="218"/>
      <c r="T317" s="219"/>
      <c r="U317" s="30"/>
      <c r="V317" s="31"/>
      <c r="W317" s="30"/>
      <c r="X317" s="220"/>
      <c r="Y317" s="139"/>
      <c r="Z317" s="9"/>
    </row>
    <row r="318" spans="1:26">
      <c r="A318"/>
      <c r="E318" s="242"/>
      <c r="F318" s="227"/>
      <c r="G318" s="227"/>
      <c r="H318" s="232"/>
      <c r="I318" s="9"/>
      <c r="K318" s="217"/>
      <c r="L318" s="217"/>
      <c r="M318" s="268"/>
      <c r="N318" s="176"/>
      <c r="O318" s="269"/>
      <c r="P318" s="236"/>
      <c r="Q318" s="238"/>
      <c r="R318" s="238"/>
      <c r="S318" s="218"/>
      <c r="T318" s="219"/>
      <c r="U318" s="30"/>
      <c r="V318" s="31"/>
      <c r="W318" s="30"/>
      <c r="X318" s="220"/>
      <c r="Y318" s="139"/>
      <c r="Z318" s="9"/>
    </row>
    <row r="319" spans="1:26">
      <c r="A319"/>
      <c r="E319" s="32"/>
      <c r="F319" s="32"/>
      <c r="G319" s="32"/>
      <c r="H319" s="9"/>
      <c r="I319" s="9"/>
      <c r="K319" s="284"/>
      <c r="L319" s="284"/>
      <c r="M319" s="268"/>
      <c r="N319" s="226"/>
      <c r="O319" s="269"/>
      <c r="P319" s="235"/>
      <c r="Q319" s="237"/>
      <c r="R319" s="237"/>
      <c r="S319" s="218"/>
      <c r="T319" s="219"/>
      <c r="U319" s="30"/>
      <c r="V319" s="31"/>
      <c r="W319" s="30"/>
      <c r="X319" s="220"/>
      <c r="Y319" s="139"/>
      <c r="Z319" s="9"/>
    </row>
    <row r="320" spans="1:26">
      <c r="A320"/>
      <c r="E320" s="242"/>
      <c r="F320" s="227"/>
      <c r="G320" s="227"/>
      <c r="H320" s="232"/>
      <c r="I320" s="9"/>
      <c r="K320" s="217"/>
      <c r="L320" s="217"/>
      <c r="M320" s="268"/>
      <c r="N320" s="176"/>
      <c r="O320" s="269"/>
      <c r="P320" s="236"/>
      <c r="Q320" s="238"/>
      <c r="R320" s="238"/>
      <c r="S320" s="218"/>
      <c r="T320" s="219"/>
      <c r="U320" s="30"/>
      <c r="V320" s="31"/>
      <c r="W320" s="30"/>
      <c r="X320" s="220"/>
      <c r="Y320" s="139"/>
      <c r="Z320" s="9"/>
    </row>
    <row r="321" spans="1:26">
      <c r="A321"/>
      <c r="E321" s="32"/>
      <c r="F321" s="32"/>
      <c r="G321" s="32"/>
      <c r="H321" s="9"/>
      <c r="I321" s="9"/>
      <c r="K321" s="284"/>
      <c r="L321" s="284"/>
      <c r="M321" s="268"/>
      <c r="N321" s="226"/>
      <c r="O321" s="269"/>
      <c r="P321" s="235"/>
      <c r="Q321" s="237"/>
      <c r="R321" s="237"/>
      <c r="S321" s="218"/>
      <c r="T321" s="219"/>
      <c r="U321" s="30"/>
      <c r="V321" s="31"/>
      <c r="W321" s="30"/>
      <c r="X321" s="220"/>
      <c r="Y321" s="139"/>
      <c r="Z321" s="9"/>
    </row>
    <row r="322" spans="1:26">
      <c r="A322"/>
      <c r="E322" s="242"/>
      <c r="F322" s="227"/>
      <c r="G322" s="227"/>
      <c r="H322" s="232"/>
      <c r="I322" s="9"/>
      <c r="K322" s="217"/>
      <c r="L322" s="217"/>
      <c r="M322" s="268"/>
      <c r="N322" s="176"/>
      <c r="O322" s="269"/>
      <c r="P322" s="236"/>
      <c r="Q322" s="238"/>
      <c r="R322" s="238"/>
      <c r="S322" s="218"/>
      <c r="T322" s="219"/>
      <c r="U322" s="30"/>
      <c r="V322" s="31"/>
      <c r="W322" s="30"/>
      <c r="X322" s="220"/>
      <c r="Y322" s="139"/>
      <c r="Z322" s="9"/>
    </row>
    <row r="323" spans="1:26">
      <c r="A323"/>
      <c r="E323" s="32"/>
      <c r="F323" s="32"/>
      <c r="G323" s="32"/>
      <c r="H323" s="9"/>
      <c r="I323" s="9"/>
      <c r="K323" s="284"/>
      <c r="L323" s="284"/>
      <c r="M323" s="268"/>
      <c r="N323" s="226"/>
      <c r="O323" s="269"/>
      <c r="P323" s="235"/>
      <c r="Q323" s="237"/>
      <c r="R323" s="237"/>
      <c r="S323" s="218"/>
      <c r="T323" s="219"/>
      <c r="U323" s="30"/>
      <c r="V323" s="31"/>
      <c r="W323" s="30"/>
      <c r="X323" s="220"/>
      <c r="Y323" s="139"/>
      <c r="Z323" s="9"/>
    </row>
    <row r="324" spans="1:26">
      <c r="A324"/>
      <c r="E324" s="242"/>
      <c r="F324" s="58"/>
      <c r="G324" s="58"/>
      <c r="H324" s="29"/>
      <c r="I324" s="9"/>
      <c r="K324" s="217"/>
      <c r="L324" s="217"/>
      <c r="M324" s="268"/>
      <c r="N324" s="176"/>
      <c r="O324" s="269"/>
      <c r="P324" s="236"/>
      <c r="Q324" s="238"/>
      <c r="R324" s="238"/>
      <c r="S324" s="218"/>
      <c r="T324" s="219"/>
      <c r="U324" s="30"/>
      <c r="V324" s="31"/>
      <c r="W324" s="30"/>
      <c r="X324" s="220"/>
      <c r="Y324" s="139"/>
      <c r="Z324" s="9"/>
    </row>
    <row r="325" spans="1:26">
      <c r="A325"/>
      <c r="E325" s="32"/>
      <c r="F325" s="32"/>
      <c r="G325" s="32"/>
      <c r="H325" s="9"/>
      <c r="I325" s="9"/>
      <c r="K325" s="284"/>
      <c r="L325" s="284"/>
      <c r="M325" s="268"/>
      <c r="N325" s="222"/>
      <c r="O325" s="269"/>
      <c r="P325" s="223"/>
      <c r="Q325" s="237"/>
      <c r="R325" s="237"/>
      <c r="S325" s="218"/>
      <c r="T325" s="219"/>
      <c r="U325" s="30"/>
      <c r="V325" s="31"/>
      <c r="W325" s="30"/>
      <c r="X325" s="220"/>
      <c r="Y325" s="139"/>
      <c r="Z325" s="9"/>
    </row>
    <row r="326" spans="1:26">
      <c r="A326"/>
      <c r="E326" s="32"/>
      <c r="F326" s="32"/>
      <c r="G326" s="32"/>
      <c r="H326" s="9"/>
      <c r="I326" s="9"/>
      <c r="K326" s="284"/>
      <c r="L326" s="284"/>
      <c r="M326" s="268"/>
      <c r="N326" s="226"/>
      <c r="O326" s="269"/>
      <c r="P326" s="235"/>
      <c r="Q326" s="237"/>
      <c r="R326" s="237"/>
      <c r="S326" s="218"/>
      <c r="T326" s="219"/>
      <c r="U326" s="30"/>
      <c r="V326" s="31"/>
      <c r="W326" s="30"/>
      <c r="X326" s="220"/>
      <c r="Y326" s="139"/>
      <c r="Z326" s="9"/>
    </row>
    <row r="327" spans="1:26">
      <c r="A327"/>
      <c r="E327" s="32"/>
      <c r="F327" s="32"/>
      <c r="G327" s="32"/>
      <c r="H327" s="9"/>
      <c r="I327" s="9"/>
      <c r="K327" s="284"/>
      <c r="L327" s="284"/>
      <c r="M327" s="268"/>
      <c r="N327" s="226"/>
      <c r="O327" s="269"/>
      <c r="P327" s="235"/>
      <c r="Q327" s="237"/>
      <c r="R327" s="237"/>
      <c r="S327" s="218"/>
      <c r="T327" s="219"/>
      <c r="U327" s="30"/>
      <c r="V327" s="31"/>
      <c r="W327" s="30"/>
      <c r="X327" s="220"/>
      <c r="Y327" s="139"/>
      <c r="Z327" s="9"/>
    </row>
    <row r="328" spans="1:26">
      <c r="A328"/>
      <c r="E328" s="242"/>
      <c r="F328" s="227"/>
      <c r="G328" s="227"/>
      <c r="H328" s="214"/>
      <c r="I328" s="9"/>
      <c r="K328" s="217"/>
      <c r="L328" s="217"/>
      <c r="M328" s="268"/>
      <c r="N328" s="176"/>
      <c r="O328" s="269"/>
      <c r="P328" s="273"/>
      <c r="Q328" s="286"/>
      <c r="R328" s="286"/>
      <c r="S328" s="218"/>
      <c r="T328" s="219"/>
      <c r="U328" s="30"/>
      <c r="V328" s="31"/>
      <c r="W328" s="30"/>
      <c r="X328" s="220"/>
      <c r="Y328" s="139"/>
      <c r="Z328" s="9"/>
    </row>
    <row r="329" spans="1:26">
      <c r="A329"/>
      <c r="E329" s="242"/>
      <c r="F329" s="227"/>
      <c r="G329" s="227"/>
      <c r="H329" s="214"/>
      <c r="I329" s="9"/>
      <c r="K329" s="217"/>
      <c r="L329" s="217"/>
      <c r="M329" s="268"/>
      <c r="N329" s="176"/>
      <c r="O329" s="269"/>
      <c r="P329" s="273"/>
      <c r="Q329" s="286"/>
      <c r="R329" s="286"/>
      <c r="S329" s="218"/>
      <c r="T329" s="219"/>
      <c r="U329" s="30"/>
      <c r="V329" s="31"/>
      <c r="W329" s="30"/>
      <c r="X329" s="220"/>
      <c r="Y329" s="139"/>
      <c r="Z329" s="9"/>
    </row>
    <row r="330" spans="1:26">
      <c r="A330"/>
      <c r="E330" s="242"/>
      <c r="F330" s="227"/>
      <c r="G330" s="227"/>
      <c r="H330" s="232"/>
      <c r="I330" s="9"/>
      <c r="K330" s="217"/>
      <c r="L330" s="217"/>
      <c r="M330" s="268"/>
      <c r="N330" s="176"/>
      <c r="O330" s="269"/>
      <c r="P330" s="236"/>
      <c r="Q330" s="238"/>
      <c r="R330" s="238"/>
      <c r="S330" s="218"/>
      <c r="T330" s="219"/>
      <c r="U330" s="30"/>
      <c r="V330" s="31"/>
      <c r="W330" s="30"/>
      <c r="X330" s="220"/>
      <c r="Y330" s="139"/>
      <c r="Z330" s="9"/>
    </row>
    <row r="331" spans="1:26">
      <c r="A331"/>
      <c r="E331" s="32"/>
      <c r="F331" s="32"/>
      <c r="G331" s="32"/>
      <c r="H331" s="9"/>
      <c r="I331" s="9"/>
      <c r="K331" s="284"/>
      <c r="L331" s="284"/>
      <c r="M331" s="268"/>
      <c r="N331" s="226"/>
      <c r="O331" s="269"/>
      <c r="P331" s="235"/>
      <c r="Q331" s="281"/>
      <c r="R331" s="281"/>
      <c r="S331" s="218"/>
      <c r="T331" s="219"/>
      <c r="U331" s="30"/>
      <c r="V331" s="31"/>
      <c r="W331" s="30"/>
      <c r="X331" s="220"/>
      <c r="Y331" s="139"/>
      <c r="Z331" s="9"/>
    </row>
    <row r="332" spans="1:26">
      <c r="A332"/>
      <c r="E332" s="32"/>
      <c r="F332" s="32"/>
      <c r="G332" s="32"/>
      <c r="H332" s="9"/>
      <c r="I332" s="9"/>
      <c r="K332" s="284"/>
      <c r="L332" s="284"/>
      <c r="M332" s="268"/>
      <c r="N332" s="222"/>
      <c r="O332" s="269"/>
      <c r="P332" s="223"/>
      <c r="Q332" s="237"/>
      <c r="R332" s="237"/>
      <c r="S332" s="218"/>
      <c r="T332" s="219"/>
      <c r="U332" s="30"/>
      <c r="V332" s="31"/>
      <c r="W332" s="30"/>
      <c r="X332" s="220"/>
      <c r="Y332" s="139"/>
      <c r="Z332" s="9"/>
    </row>
    <row r="333" spans="1:26">
      <c r="A333"/>
      <c r="E333" s="32"/>
      <c r="F333" s="32"/>
      <c r="G333" s="32"/>
      <c r="H333" s="9"/>
      <c r="I333" s="9"/>
      <c r="K333" s="284"/>
      <c r="L333" s="284"/>
      <c r="M333" s="268"/>
      <c r="N333" s="226"/>
      <c r="O333" s="269"/>
      <c r="P333" s="235"/>
      <c r="Q333" s="237"/>
      <c r="R333" s="237"/>
      <c r="S333" s="218"/>
      <c r="T333" s="219"/>
      <c r="U333" s="30"/>
      <c r="V333" s="31"/>
      <c r="W333" s="30"/>
      <c r="X333" s="220"/>
      <c r="Y333" s="139"/>
      <c r="Z333" s="9"/>
    </row>
    <row r="334" spans="1:26">
      <c r="A334"/>
      <c r="E334" s="242"/>
      <c r="F334" s="227"/>
      <c r="G334" s="227"/>
      <c r="H334" s="232"/>
      <c r="I334" s="9"/>
      <c r="K334" s="217"/>
      <c r="L334" s="217"/>
      <c r="M334" s="268"/>
      <c r="N334" s="176"/>
      <c r="O334" s="269"/>
      <c r="P334" s="236"/>
      <c r="Q334" s="238"/>
      <c r="R334" s="238"/>
      <c r="S334" s="218"/>
      <c r="T334" s="219"/>
      <c r="U334" s="30"/>
      <c r="V334" s="31"/>
      <c r="W334" s="30"/>
      <c r="X334" s="220"/>
      <c r="Y334" s="139"/>
      <c r="Z334" s="9"/>
    </row>
    <row r="335" spans="1:26">
      <c r="A335"/>
      <c r="E335" s="242"/>
      <c r="F335" s="58"/>
      <c r="G335" s="58"/>
      <c r="H335" s="234"/>
      <c r="I335" s="9"/>
      <c r="K335" s="285"/>
      <c r="L335" s="285"/>
      <c r="M335" s="268"/>
      <c r="N335" s="176"/>
      <c r="O335" s="269"/>
      <c r="P335" s="236"/>
      <c r="Q335" s="238"/>
      <c r="R335" s="238"/>
      <c r="S335" s="218"/>
      <c r="T335" s="219"/>
      <c r="U335" s="30"/>
      <c r="V335" s="31"/>
      <c r="W335" s="30"/>
      <c r="X335" s="220"/>
      <c r="Y335" s="139"/>
      <c r="Z335" s="9"/>
    </row>
    <row r="336" spans="1:26">
      <c r="A336"/>
      <c r="E336" s="242"/>
      <c r="F336" s="227"/>
      <c r="G336" s="227"/>
      <c r="H336" s="214"/>
      <c r="I336" s="9"/>
      <c r="K336" s="217"/>
      <c r="L336" s="217"/>
      <c r="M336" s="268"/>
      <c r="N336" s="176"/>
      <c r="O336" s="269"/>
      <c r="P336" s="273"/>
      <c r="Q336" s="286"/>
      <c r="R336" s="286"/>
      <c r="S336" s="218"/>
      <c r="T336" s="219"/>
      <c r="U336" s="30"/>
      <c r="V336" s="31"/>
      <c r="W336" s="30"/>
      <c r="X336" s="220"/>
      <c r="Y336" s="139"/>
      <c r="Z336" s="9"/>
    </row>
    <row r="337" spans="1:26">
      <c r="A337"/>
      <c r="E337" s="242"/>
      <c r="F337" s="227"/>
      <c r="G337" s="227"/>
      <c r="H337" s="232"/>
      <c r="I337" s="9"/>
      <c r="K337" s="217"/>
      <c r="L337" s="217"/>
      <c r="M337" s="268"/>
      <c r="N337" s="176"/>
      <c r="O337" s="269"/>
      <c r="P337" s="236"/>
      <c r="Q337" s="238"/>
      <c r="R337" s="238"/>
      <c r="S337" s="218"/>
      <c r="T337" s="219"/>
      <c r="U337" s="30"/>
      <c r="V337" s="31"/>
      <c r="W337" s="30"/>
      <c r="X337" s="220"/>
      <c r="Y337" s="139"/>
      <c r="Z337" s="9"/>
    </row>
    <row r="338" spans="1:26">
      <c r="A338"/>
      <c r="E338" s="32"/>
      <c r="F338" s="32"/>
      <c r="G338" s="32"/>
      <c r="H338" s="9"/>
      <c r="I338" s="9"/>
      <c r="K338" s="284"/>
      <c r="L338" s="284"/>
      <c r="M338" s="268"/>
      <c r="N338" s="226"/>
      <c r="O338" s="269"/>
      <c r="P338" s="235"/>
      <c r="Q338" s="237"/>
      <c r="R338" s="237"/>
      <c r="S338" s="218"/>
      <c r="T338" s="219"/>
      <c r="U338" s="30"/>
      <c r="V338" s="31"/>
      <c r="W338" s="30"/>
      <c r="X338" s="220"/>
      <c r="Y338" s="139"/>
      <c r="Z338" s="9"/>
    </row>
    <row r="339" spans="1:26">
      <c r="A339"/>
      <c r="E339" s="242"/>
      <c r="F339" s="227"/>
      <c r="G339" s="227"/>
      <c r="H339" s="232"/>
      <c r="I339" s="9"/>
      <c r="K339" s="217"/>
      <c r="L339" s="217"/>
      <c r="M339" s="268"/>
      <c r="N339" s="176"/>
      <c r="O339" s="269"/>
      <c r="P339" s="236"/>
      <c r="Q339" s="238"/>
      <c r="R339" s="238"/>
      <c r="S339" s="218"/>
      <c r="T339" s="219"/>
      <c r="U339" s="30"/>
      <c r="V339" s="31"/>
      <c r="W339" s="30"/>
      <c r="X339" s="220"/>
      <c r="Y339" s="139"/>
      <c r="Z339" s="9"/>
    </row>
    <row r="340" spans="1:26">
      <c r="A340"/>
      <c r="E340" s="32"/>
      <c r="F340" s="32"/>
      <c r="G340" s="32"/>
      <c r="H340" s="9"/>
      <c r="I340" s="9"/>
      <c r="K340" s="284"/>
      <c r="L340" s="284"/>
      <c r="M340" s="268"/>
      <c r="N340" s="226"/>
      <c r="O340" s="269"/>
      <c r="P340" s="235"/>
      <c r="Q340" s="237"/>
      <c r="R340" s="237"/>
      <c r="S340" s="218"/>
      <c r="T340" s="219"/>
      <c r="U340" s="30"/>
      <c r="V340" s="31"/>
      <c r="W340" s="30"/>
      <c r="X340" s="220"/>
      <c r="Y340" s="139"/>
      <c r="Z340" s="9"/>
    </row>
    <row r="341" spans="1:26">
      <c r="A341"/>
      <c r="E341" s="32"/>
      <c r="F341" s="32"/>
      <c r="G341" s="32"/>
      <c r="H341" s="9"/>
      <c r="I341" s="9"/>
      <c r="K341" s="3"/>
      <c r="L341" s="3"/>
      <c r="M341" s="268"/>
      <c r="N341" s="222"/>
      <c r="O341" s="269"/>
      <c r="P341" s="223"/>
      <c r="Q341" s="283"/>
      <c r="R341" s="283"/>
      <c r="S341" s="218"/>
      <c r="T341" s="219"/>
      <c r="U341" s="30"/>
      <c r="V341" s="31"/>
      <c r="W341" s="30"/>
      <c r="X341" s="220"/>
      <c r="Y341" s="139"/>
      <c r="Z341" s="9"/>
    </row>
    <row r="342" spans="1:26">
      <c r="A342"/>
      <c r="E342" s="32"/>
      <c r="F342" s="32"/>
      <c r="G342" s="32"/>
      <c r="H342" s="9"/>
      <c r="I342" s="9"/>
      <c r="K342" s="284"/>
      <c r="L342" s="284"/>
      <c r="M342" s="268"/>
      <c r="N342" s="226"/>
      <c r="O342" s="269"/>
      <c r="P342" s="235"/>
      <c r="Q342" s="237"/>
      <c r="R342" s="237"/>
      <c r="S342" s="218"/>
      <c r="T342" s="219"/>
      <c r="U342" s="30"/>
      <c r="V342" s="31"/>
      <c r="W342" s="30"/>
      <c r="X342" s="220"/>
      <c r="Y342" s="139"/>
      <c r="Z342" s="9"/>
    </row>
    <row r="343" spans="1:26">
      <c r="A343"/>
      <c r="E343" s="32"/>
      <c r="F343" s="32"/>
      <c r="G343" s="32"/>
      <c r="H343" s="9"/>
      <c r="I343" s="9"/>
      <c r="K343" s="284"/>
      <c r="L343" s="284"/>
      <c r="M343" s="268"/>
      <c r="N343" s="226"/>
      <c r="O343" s="269"/>
      <c r="P343" s="235"/>
      <c r="Q343" s="237"/>
      <c r="R343" s="237"/>
      <c r="S343" s="218"/>
      <c r="T343" s="219"/>
      <c r="U343" s="30"/>
      <c r="V343" s="31"/>
      <c r="W343" s="30"/>
      <c r="X343" s="220"/>
      <c r="Y343" s="139"/>
      <c r="Z343" s="9"/>
    </row>
    <row r="344" spans="1:26">
      <c r="A344"/>
      <c r="E344" s="242"/>
      <c r="F344" s="58"/>
      <c r="G344" s="58"/>
      <c r="H344" s="29"/>
      <c r="I344" s="9"/>
      <c r="K344" s="217"/>
      <c r="L344" s="217"/>
      <c r="M344" s="268"/>
      <c r="N344" s="176"/>
      <c r="O344" s="269"/>
      <c r="P344" s="273"/>
      <c r="Q344" s="286"/>
      <c r="R344" s="286"/>
      <c r="S344" s="218"/>
      <c r="T344" s="219"/>
      <c r="U344" s="30"/>
      <c r="V344" s="31"/>
      <c r="W344" s="30"/>
      <c r="X344" s="220"/>
      <c r="Y344" s="139"/>
      <c r="Z344" s="9"/>
    </row>
    <row r="345" spans="1:26">
      <c r="A345"/>
      <c r="E345" s="242"/>
      <c r="F345" s="227"/>
      <c r="G345" s="227"/>
      <c r="H345" s="214"/>
      <c r="I345" s="9"/>
      <c r="K345" s="217"/>
      <c r="L345" s="217"/>
      <c r="M345" s="268"/>
      <c r="N345" s="176"/>
      <c r="O345" s="269"/>
      <c r="P345" s="273"/>
      <c r="Q345" s="286"/>
      <c r="R345" s="286"/>
      <c r="S345" s="218"/>
      <c r="T345" s="219"/>
      <c r="U345" s="30"/>
      <c r="V345" s="31"/>
      <c r="W345" s="30"/>
      <c r="X345" s="220"/>
      <c r="Y345" s="139"/>
      <c r="Z345" s="9"/>
    </row>
    <row r="346" spans="1:26">
      <c r="A346"/>
      <c r="E346" s="32"/>
      <c r="F346" s="32"/>
      <c r="G346" s="32"/>
      <c r="H346" s="9"/>
      <c r="I346" s="9"/>
      <c r="K346" s="284"/>
      <c r="L346" s="284"/>
      <c r="M346" s="268"/>
      <c r="N346" s="226"/>
      <c r="O346" s="269"/>
      <c r="P346" s="235"/>
      <c r="Q346" s="237"/>
      <c r="R346" s="237"/>
      <c r="S346" s="218"/>
      <c r="T346" s="219"/>
      <c r="U346" s="30"/>
      <c r="V346" s="31"/>
      <c r="W346" s="30"/>
      <c r="X346" s="220"/>
      <c r="Y346" s="139"/>
      <c r="Z346" s="9"/>
    </row>
    <row r="347" spans="1:26">
      <c r="A347"/>
      <c r="E347" s="32"/>
      <c r="F347" s="32"/>
      <c r="G347" s="32"/>
      <c r="H347" s="9"/>
      <c r="I347" s="9"/>
      <c r="K347" s="284"/>
      <c r="L347" s="284"/>
      <c r="M347" s="268"/>
      <c r="N347" s="226"/>
      <c r="O347" s="269"/>
      <c r="P347" s="235"/>
      <c r="Q347" s="237"/>
      <c r="R347" s="237"/>
      <c r="S347" s="218"/>
      <c r="T347" s="219"/>
      <c r="U347" s="30"/>
      <c r="V347" s="31"/>
      <c r="W347" s="30"/>
      <c r="X347" s="220"/>
      <c r="Y347" s="139"/>
      <c r="Z347" s="9"/>
    </row>
    <row r="348" spans="1:26">
      <c r="A348"/>
      <c r="E348" s="32"/>
      <c r="F348" s="32"/>
      <c r="G348" s="32"/>
      <c r="H348" s="9"/>
      <c r="I348" s="9"/>
      <c r="K348" s="284"/>
      <c r="L348" s="284"/>
      <c r="M348" s="268"/>
      <c r="N348" s="226"/>
      <c r="O348" s="269"/>
      <c r="P348" s="235"/>
      <c r="Q348" s="237"/>
      <c r="R348" s="237"/>
      <c r="S348" s="218"/>
      <c r="T348" s="219"/>
      <c r="U348" s="30"/>
      <c r="V348" s="31"/>
      <c r="W348" s="30"/>
      <c r="X348" s="220"/>
      <c r="Y348" s="139"/>
      <c r="Z348" s="9"/>
    </row>
    <row r="349" spans="1:26">
      <c r="A349"/>
      <c r="E349" s="32"/>
      <c r="F349" s="32"/>
      <c r="G349" s="32"/>
      <c r="H349" s="9"/>
      <c r="I349" s="9"/>
      <c r="K349" s="284"/>
      <c r="L349" s="284"/>
      <c r="M349" s="268"/>
      <c r="N349" s="226"/>
      <c r="O349" s="269"/>
      <c r="P349" s="235"/>
      <c r="Q349" s="237"/>
      <c r="R349" s="237"/>
      <c r="S349" s="218"/>
      <c r="T349" s="219"/>
      <c r="U349" s="30"/>
      <c r="V349" s="31"/>
      <c r="W349" s="30"/>
      <c r="X349" s="220"/>
      <c r="Y349" s="139"/>
      <c r="Z349" s="9"/>
    </row>
    <row r="350" spans="1:26">
      <c r="A350"/>
      <c r="E350" s="242"/>
      <c r="F350" s="227"/>
      <c r="G350" s="227"/>
      <c r="H350" s="233"/>
      <c r="I350" s="9"/>
      <c r="K350" s="285"/>
      <c r="L350" s="285"/>
      <c r="M350" s="268"/>
      <c r="N350" s="176"/>
      <c r="O350" s="269"/>
      <c r="P350" s="236"/>
      <c r="Q350" s="238"/>
      <c r="R350" s="238"/>
      <c r="S350" s="218"/>
      <c r="T350" s="219"/>
      <c r="U350" s="30"/>
      <c r="V350" s="31"/>
      <c r="W350" s="30"/>
      <c r="X350" s="220"/>
      <c r="Y350" s="139"/>
      <c r="Z350" s="9"/>
    </row>
    <row r="351" spans="1:26">
      <c r="A351"/>
      <c r="E351" s="242"/>
      <c r="F351" s="227"/>
      <c r="G351" s="227"/>
      <c r="H351" s="214"/>
      <c r="I351" s="9"/>
      <c r="K351" s="217"/>
      <c r="L351" s="217"/>
      <c r="M351" s="268"/>
      <c r="N351" s="176"/>
      <c r="O351" s="269"/>
      <c r="P351" s="273"/>
      <c r="Q351" s="286"/>
      <c r="R351" s="286"/>
      <c r="S351" s="218"/>
      <c r="T351" s="219"/>
      <c r="U351" s="30"/>
      <c r="V351" s="31"/>
      <c r="W351" s="30"/>
      <c r="X351" s="220"/>
      <c r="Y351" s="139"/>
      <c r="Z351" s="9"/>
    </row>
    <row r="352" spans="1:26">
      <c r="A352"/>
      <c r="E352" s="32"/>
      <c r="F352" s="32"/>
      <c r="G352" s="32"/>
      <c r="H352" s="9"/>
      <c r="I352" s="9"/>
      <c r="K352" s="270"/>
      <c r="L352" s="270"/>
      <c r="M352" s="268"/>
      <c r="N352" s="222"/>
      <c r="O352" s="269"/>
      <c r="P352" s="272"/>
      <c r="Q352" s="283"/>
      <c r="R352" s="283"/>
      <c r="S352" s="218"/>
      <c r="T352" s="219"/>
      <c r="U352" s="30"/>
      <c r="V352" s="31"/>
      <c r="W352" s="30"/>
      <c r="X352" s="220"/>
      <c r="Y352" s="139"/>
      <c r="Z352" s="9"/>
    </row>
    <row r="353" spans="1:26">
      <c r="A353"/>
      <c r="E353" s="32"/>
      <c r="F353" s="32"/>
      <c r="G353" s="32"/>
      <c r="H353" s="9"/>
      <c r="I353" s="9"/>
      <c r="K353" s="284"/>
      <c r="L353" s="284"/>
      <c r="M353" s="268"/>
      <c r="N353" s="226"/>
      <c r="O353" s="269"/>
      <c r="P353" s="235"/>
      <c r="Q353" s="237"/>
      <c r="R353" s="237"/>
      <c r="S353" s="218"/>
      <c r="T353" s="219"/>
      <c r="U353" s="30"/>
      <c r="V353" s="31"/>
      <c r="W353" s="30"/>
      <c r="X353" s="220"/>
      <c r="Y353" s="139"/>
      <c r="Z353" s="9"/>
    </row>
    <row r="354" spans="1:26">
      <c r="A354"/>
      <c r="E354" s="242"/>
      <c r="F354" s="227"/>
      <c r="G354" s="227"/>
      <c r="H354" s="214"/>
      <c r="I354" s="9"/>
      <c r="K354" s="217"/>
      <c r="L354" s="217"/>
      <c r="M354" s="268"/>
      <c r="N354" s="176"/>
      <c r="O354" s="269"/>
      <c r="P354" s="273"/>
      <c r="Q354" s="286"/>
      <c r="R354" s="286"/>
      <c r="S354" s="218"/>
      <c r="T354" s="219"/>
      <c r="U354" s="30"/>
      <c r="V354" s="31"/>
      <c r="W354" s="30"/>
      <c r="X354" s="220"/>
      <c r="Y354" s="139"/>
      <c r="Z354" s="9"/>
    </row>
    <row r="355" spans="1:26">
      <c r="A355"/>
      <c r="E355" s="242"/>
      <c r="F355" s="227"/>
      <c r="G355" s="227"/>
      <c r="H355" s="214"/>
      <c r="I355" s="9"/>
      <c r="K355" s="217"/>
      <c r="L355" s="217"/>
      <c r="M355" s="268"/>
      <c r="N355" s="176"/>
      <c r="O355" s="269"/>
      <c r="P355" s="273"/>
      <c r="Q355" s="286"/>
      <c r="R355" s="286"/>
      <c r="S355" s="218"/>
      <c r="T355" s="219"/>
      <c r="U355" s="30"/>
      <c r="V355" s="31"/>
      <c r="W355" s="30"/>
      <c r="X355" s="220"/>
      <c r="Y355" s="139"/>
      <c r="Z355" s="9"/>
    </row>
    <row r="356" spans="1:26">
      <c r="A356"/>
      <c r="E356" s="32"/>
      <c r="F356" s="32"/>
      <c r="G356" s="32"/>
      <c r="H356" s="9"/>
      <c r="I356" s="9"/>
      <c r="K356" s="270"/>
      <c r="L356" s="270"/>
      <c r="M356" s="268"/>
      <c r="N356" s="222"/>
      <c r="O356" s="269"/>
      <c r="P356" s="272"/>
      <c r="Q356" s="283"/>
      <c r="R356" s="283"/>
      <c r="S356" s="218"/>
      <c r="T356" s="219"/>
      <c r="U356" s="30"/>
      <c r="V356" s="31"/>
      <c r="W356" s="30"/>
      <c r="X356" s="220"/>
      <c r="Y356" s="139"/>
      <c r="Z356" s="9"/>
    </row>
    <row r="357" spans="1:26">
      <c r="A357"/>
      <c r="E357" s="32"/>
      <c r="H357" s="9"/>
      <c r="I357" s="9"/>
      <c r="K357" s="270"/>
      <c r="L357" s="270"/>
      <c r="M357" s="268"/>
      <c r="N357" s="222"/>
      <c r="O357" s="269"/>
      <c r="P357" s="272"/>
      <c r="Q357" s="283"/>
      <c r="R357" s="283"/>
      <c r="S357" s="218"/>
      <c r="T357" s="219"/>
      <c r="U357" s="30"/>
      <c r="V357" s="31"/>
      <c r="W357" s="30"/>
      <c r="X357" s="220"/>
      <c r="Y357" s="139"/>
      <c r="Z357" s="9"/>
    </row>
    <row r="358" spans="1:26">
      <c r="A358"/>
      <c r="E358" s="242"/>
      <c r="F358" s="227"/>
      <c r="G358" s="227"/>
      <c r="H358" s="233"/>
      <c r="I358" s="9"/>
      <c r="K358" s="285"/>
      <c r="L358" s="285"/>
      <c r="M358" s="268"/>
      <c r="N358" s="176"/>
      <c r="O358" s="269"/>
      <c r="P358" s="236"/>
      <c r="Q358" s="282"/>
      <c r="R358" s="282"/>
      <c r="S358" s="218"/>
      <c r="T358" s="219"/>
      <c r="U358" s="30"/>
      <c r="V358" s="31"/>
      <c r="W358" s="30"/>
      <c r="X358" s="220"/>
      <c r="Y358" s="139"/>
      <c r="Z358" s="9"/>
    </row>
    <row r="359" spans="1:26">
      <c r="A359"/>
      <c r="E359" s="32"/>
      <c r="F359" s="32"/>
      <c r="G359" s="32"/>
      <c r="H359" s="9"/>
      <c r="I359" s="9"/>
      <c r="K359" s="270"/>
      <c r="L359" s="270"/>
      <c r="M359" s="268"/>
      <c r="N359" s="222"/>
      <c r="O359" s="269"/>
      <c r="P359" s="272"/>
      <c r="Q359" s="274"/>
      <c r="R359" s="274"/>
      <c r="S359" s="218"/>
      <c r="T359" s="219"/>
      <c r="U359" s="30"/>
      <c r="V359" s="31"/>
      <c r="W359" s="30"/>
      <c r="X359" s="220"/>
      <c r="Y359" s="139"/>
      <c r="Z359" s="9"/>
    </row>
    <row r="360" spans="1:26">
      <c r="A360"/>
      <c r="E360" s="242"/>
      <c r="F360" s="227"/>
      <c r="G360" s="227"/>
      <c r="H360" s="214"/>
      <c r="I360" s="9"/>
      <c r="K360" s="217"/>
      <c r="L360" s="217"/>
      <c r="M360" s="268"/>
      <c r="N360" s="176"/>
      <c r="O360" s="269"/>
      <c r="P360" s="273"/>
      <c r="Q360" s="286"/>
      <c r="R360" s="286"/>
      <c r="S360" s="218"/>
      <c r="T360" s="219"/>
      <c r="U360" s="30"/>
      <c r="V360" s="31"/>
      <c r="W360" s="30"/>
      <c r="X360" s="220"/>
      <c r="Y360" s="139"/>
      <c r="Z360" s="9"/>
    </row>
    <row r="361" spans="1:26">
      <c r="A361"/>
      <c r="E361" s="32"/>
      <c r="F361" s="32"/>
      <c r="G361" s="32"/>
      <c r="H361" s="9"/>
      <c r="I361" s="9"/>
      <c r="K361" s="270"/>
      <c r="L361" s="270"/>
      <c r="M361" s="268"/>
      <c r="N361" s="222"/>
      <c r="O361" s="269"/>
      <c r="P361" s="272"/>
      <c r="Q361" s="283"/>
      <c r="R361" s="283"/>
      <c r="S361" s="218"/>
      <c r="T361" s="219"/>
      <c r="U361" s="30"/>
      <c r="V361" s="31"/>
      <c r="W361" s="30"/>
      <c r="X361" s="220"/>
      <c r="Y361" s="139"/>
      <c r="Z361" s="9"/>
    </row>
    <row r="362" spans="1:26">
      <c r="A362"/>
      <c r="E362" s="32"/>
      <c r="F362" s="32"/>
      <c r="G362" s="32"/>
      <c r="H362" s="9"/>
      <c r="I362" s="9"/>
      <c r="K362" s="284"/>
      <c r="L362" s="284"/>
      <c r="M362" s="268"/>
      <c r="N362" s="226"/>
      <c r="O362" s="269"/>
      <c r="P362" s="235"/>
      <c r="Q362" s="237"/>
      <c r="R362" s="237"/>
      <c r="S362" s="218"/>
      <c r="T362" s="219"/>
      <c r="U362" s="30"/>
      <c r="V362" s="31"/>
      <c r="W362" s="30"/>
      <c r="X362" s="220"/>
      <c r="Y362" s="139"/>
      <c r="Z362" s="9"/>
    </row>
    <row r="363" spans="1:26">
      <c r="A363"/>
      <c r="E363" s="242"/>
      <c r="F363" s="227"/>
      <c r="G363" s="227"/>
      <c r="H363" s="233"/>
      <c r="I363" s="9"/>
      <c r="K363" s="285"/>
      <c r="L363" s="285"/>
      <c r="M363" s="268"/>
      <c r="N363" s="176"/>
      <c r="O363" s="269"/>
      <c r="P363" s="236"/>
      <c r="Q363" s="238"/>
      <c r="R363" s="238"/>
      <c r="S363" s="218"/>
      <c r="T363" s="219"/>
      <c r="U363" s="30"/>
      <c r="V363" s="31"/>
      <c r="W363" s="30"/>
      <c r="X363" s="220"/>
      <c r="Y363" s="139"/>
      <c r="Z363" s="9"/>
    </row>
    <row r="364" spans="1:26">
      <c r="A364"/>
      <c r="E364" s="242"/>
      <c r="F364" s="227"/>
      <c r="G364" s="227"/>
      <c r="H364" s="214"/>
      <c r="I364" s="9"/>
      <c r="K364" s="217"/>
      <c r="L364" s="217"/>
      <c r="M364" s="268"/>
      <c r="N364" s="176"/>
      <c r="O364" s="269"/>
      <c r="P364" s="273"/>
      <c r="Q364" s="286"/>
      <c r="R364" s="286"/>
      <c r="S364" s="218"/>
      <c r="T364" s="219"/>
      <c r="U364" s="30"/>
      <c r="V364" s="31"/>
      <c r="W364" s="30"/>
      <c r="X364" s="220"/>
      <c r="Y364" s="139"/>
      <c r="Z364" s="9"/>
    </row>
    <row r="365" spans="1:26">
      <c r="A365"/>
      <c r="E365" s="32"/>
      <c r="F365" s="32"/>
      <c r="G365" s="32"/>
      <c r="H365" s="9"/>
      <c r="I365" s="9"/>
      <c r="K365" s="270"/>
      <c r="L365" s="270"/>
      <c r="M365" s="268"/>
      <c r="N365" s="222"/>
      <c r="O365" s="269"/>
      <c r="P365" s="272"/>
      <c r="Q365" s="283"/>
      <c r="R365" s="283"/>
      <c r="S365" s="218"/>
      <c r="T365" s="219"/>
      <c r="U365" s="30"/>
      <c r="V365" s="31"/>
      <c r="W365" s="30"/>
      <c r="X365" s="220"/>
      <c r="Y365" s="139"/>
      <c r="Z365" s="9"/>
    </row>
    <row r="366" spans="1:26">
      <c r="A366"/>
      <c r="E366" s="242"/>
      <c r="F366" s="227"/>
      <c r="G366" s="227"/>
      <c r="H366" s="214"/>
      <c r="I366" s="9"/>
      <c r="K366" s="217"/>
      <c r="L366" s="217"/>
      <c r="M366" s="268"/>
      <c r="N366" s="176"/>
      <c r="O366" s="269"/>
      <c r="P366" s="273"/>
      <c r="Q366" s="286"/>
      <c r="R366" s="286"/>
      <c r="S366" s="218"/>
      <c r="T366" s="219"/>
      <c r="U366" s="30"/>
      <c r="V366" s="31"/>
      <c r="W366" s="30"/>
      <c r="X366" s="220"/>
      <c r="Y366" s="139"/>
      <c r="Z366" s="9"/>
    </row>
    <row r="367" spans="1:26">
      <c r="A367"/>
      <c r="E367" s="242"/>
      <c r="F367" s="227"/>
      <c r="G367" s="227"/>
      <c r="H367" s="232"/>
      <c r="I367" s="9"/>
      <c r="K367" s="217"/>
      <c r="L367" s="217"/>
      <c r="M367" s="268"/>
      <c r="N367" s="176"/>
      <c r="O367" s="269"/>
      <c r="P367" s="236"/>
      <c r="Q367" s="238"/>
      <c r="R367" s="238"/>
      <c r="S367" s="218"/>
      <c r="T367" s="219"/>
      <c r="U367" s="30"/>
      <c r="V367" s="31"/>
      <c r="W367" s="30"/>
      <c r="X367" s="220"/>
      <c r="Y367" s="139"/>
      <c r="Z367" s="9"/>
    </row>
    <row r="368" spans="1:26">
      <c r="A368"/>
      <c r="E368" s="32"/>
      <c r="F368" s="32"/>
      <c r="G368" s="32"/>
      <c r="H368" s="9"/>
      <c r="I368" s="9"/>
      <c r="K368" s="284"/>
      <c r="L368" s="284"/>
      <c r="M368" s="268"/>
      <c r="N368" s="226"/>
      <c r="O368" s="269"/>
      <c r="P368" s="235"/>
      <c r="Q368" s="237"/>
      <c r="R368" s="237"/>
      <c r="S368" s="218"/>
      <c r="T368" s="219"/>
      <c r="U368" s="30"/>
      <c r="V368" s="31"/>
      <c r="W368" s="30"/>
      <c r="X368" s="220"/>
      <c r="Y368" s="139"/>
      <c r="Z368" s="9"/>
    </row>
    <row r="369" spans="1:26">
      <c r="A369"/>
      <c r="E369" s="32"/>
      <c r="F369" s="32"/>
      <c r="G369" s="32"/>
      <c r="H369" s="9"/>
      <c r="I369" s="9"/>
      <c r="K369" s="284"/>
      <c r="L369" s="284"/>
      <c r="M369" s="268"/>
      <c r="N369" s="226"/>
      <c r="O369" s="269"/>
      <c r="P369" s="235"/>
      <c r="Q369" s="237"/>
      <c r="R369" s="237"/>
      <c r="S369" s="218"/>
      <c r="T369" s="219"/>
      <c r="U369" s="30"/>
      <c r="V369" s="31"/>
      <c r="W369" s="30"/>
      <c r="X369" s="220"/>
      <c r="Y369" s="139"/>
      <c r="Z369" s="9"/>
    </row>
    <row r="370" spans="1:26">
      <c r="A370"/>
      <c r="E370" s="242"/>
      <c r="F370" s="227"/>
      <c r="G370" s="227"/>
      <c r="H370" s="214"/>
      <c r="I370" s="9"/>
      <c r="K370" s="217"/>
      <c r="L370" s="217"/>
      <c r="M370" s="268"/>
      <c r="N370" s="176"/>
      <c r="O370" s="269"/>
      <c r="P370" s="273"/>
      <c r="Q370" s="286"/>
      <c r="R370" s="286"/>
      <c r="S370" s="218"/>
      <c r="T370" s="219"/>
      <c r="U370" s="30"/>
      <c r="V370" s="31"/>
      <c r="W370" s="30"/>
      <c r="X370" s="220"/>
      <c r="Y370" s="139"/>
      <c r="Z370" s="9"/>
    </row>
    <row r="371" spans="1:26">
      <c r="A371"/>
      <c r="E371" s="242"/>
      <c r="F371" s="227"/>
      <c r="G371" s="227"/>
      <c r="H371" s="214"/>
      <c r="I371" s="9"/>
      <c r="K371" s="217"/>
      <c r="L371" s="217"/>
      <c r="M371" s="268"/>
      <c r="N371" s="176"/>
      <c r="O371" s="269"/>
      <c r="P371" s="273"/>
      <c r="Q371" s="286"/>
      <c r="R371" s="286"/>
      <c r="S371" s="218"/>
      <c r="T371" s="219"/>
      <c r="U371" s="30"/>
      <c r="V371" s="31"/>
      <c r="W371" s="30"/>
      <c r="X371" s="220"/>
      <c r="Y371" s="139"/>
      <c r="Z371" s="9"/>
    </row>
    <row r="372" spans="1:26">
      <c r="A372"/>
      <c r="E372" s="32"/>
      <c r="F372" s="32"/>
      <c r="G372" s="32"/>
      <c r="H372" s="9"/>
      <c r="I372" s="9"/>
      <c r="K372" s="270"/>
      <c r="L372" s="270"/>
      <c r="M372" s="268"/>
      <c r="N372" s="222"/>
      <c r="O372" s="269"/>
      <c r="P372" s="272"/>
      <c r="Q372" s="283"/>
      <c r="R372" s="283"/>
      <c r="S372" s="218"/>
      <c r="T372" s="219"/>
      <c r="U372" s="30"/>
      <c r="V372" s="31"/>
      <c r="W372" s="30"/>
      <c r="X372" s="220"/>
      <c r="Y372" s="139"/>
      <c r="Z372" s="9"/>
    </row>
    <row r="373" spans="1:26">
      <c r="A373"/>
      <c r="E373" s="32"/>
      <c r="F373" s="32"/>
      <c r="G373" s="32"/>
      <c r="H373" s="9"/>
      <c r="I373" s="9"/>
      <c r="K373" s="270"/>
      <c r="L373" s="270"/>
      <c r="M373" s="268"/>
      <c r="N373" s="222"/>
      <c r="O373" s="269"/>
      <c r="P373" s="272"/>
      <c r="Q373" s="283"/>
      <c r="R373" s="283"/>
      <c r="S373" s="218"/>
      <c r="T373" s="219"/>
      <c r="U373" s="30"/>
      <c r="V373" s="31"/>
      <c r="W373" s="30"/>
      <c r="X373" s="220"/>
      <c r="Y373" s="139"/>
      <c r="Z373" s="9"/>
    </row>
    <row r="374" spans="1:26">
      <c r="A374"/>
      <c r="E374" s="32"/>
      <c r="F374" s="32"/>
      <c r="G374" s="32"/>
      <c r="H374" s="9"/>
      <c r="I374" s="9"/>
      <c r="K374" s="284"/>
      <c r="L374" s="284"/>
      <c r="M374" s="268"/>
      <c r="N374" s="226"/>
      <c r="O374" s="269"/>
      <c r="P374" s="235"/>
      <c r="Q374" s="237"/>
      <c r="R374" s="237"/>
      <c r="S374" s="218"/>
      <c r="T374" s="219"/>
      <c r="U374" s="30"/>
      <c r="V374" s="31"/>
      <c r="W374" s="30"/>
      <c r="X374" s="220"/>
      <c r="Y374" s="139"/>
      <c r="Z374" s="9"/>
    </row>
    <row r="375" spans="1:26">
      <c r="A375"/>
      <c r="E375" s="32"/>
      <c r="F375" s="32"/>
      <c r="G375" s="32"/>
      <c r="H375" s="9"/>
      <c r="I375" s="9"/>
      <c r="K375" s="270"/>
      <c r="L375" s="270"/>
      <c r="M375" s="268"/>
      <c r="N375" s="222"/>
      <c r="O375" s="269"/>
      <c r="P375" s="272"/>
      <c r="Q375" s="274"/>
      <c r="R375" s="274"/>
      <c r="S375" s="218"/>
      <c r="T375" s="219"/>
      <c r="U375" s="30"/>
      <c r="V375" s="31"/>
      <c r="W375" s="30"/>
      <c r="X375" s="220"/>
      <c r="Y375" s="139"/>
      <c r="Z375" s="9"/>
    </row>
    <row r="376" spans="1:26">
      <c r="A376"/>
      <c r="E376" s="32"/>
      <c r="F376" s="32"/>
      <c r="G376" s="32"/>
      <c r="H376" s="9"/>
      <c r="I376" s="9"/>
      <c r="K376" s="270"/>
      <c r="L376" s="270"/>
      <c r="M376" s="268"/>
      <c r="N376" s="222"/>
      <c r="O376" s="269"/>
      <c r="P376" s="272"/>
      <c r="Q376" s="283"/>
      <c r="R376" s="283"/>
      <c r="S376" s="218"/>
      <c r="T376" s="219"/>
      <c r="U376" s="30"/>
      <c r="V376" s="31"/>
      <c r="W376" s="30"/>
      <c r="X376" s="220"/>
      <c r="Y376" s="139"/>
      <c r="Z376" s="9"/>
    </row>
    <row r="377" spans="1:26">
      <c r="A377"/>
      <c r="E377" s="32"/>
      <c r="F377" s="32"/>
      <c r="G377" s="32"/>
      <c r="H377" s="9"/>
      <c r="I377" s="9"/>
      <c r="K377" s="3"/>
      <c r="L377" s="3"/>
      <c r="M377" s="268"/>
      <c r="N377" s="222"/>
      <c r="O377" s="269"/>
      <c r="P377" s="223"/>
      <c r="Q377" s="283"/>
      <c r="R377" s="283"/>
      <c r="S377" s="218"/>
      <c r="T377" s="219"/>
      <c r="U377" s="30"/>
      <c r="V377" s="31"/>
      <c r="W377" s="30"/>
      <c r="X377" s="220"/>
      <c r="Y377" s="139"/>
      <c r="Z377" s="9"/>
    </row>
    <row r="378" spans="1:26">
      <c r="A378"/>
      <c r="E378" s="32"/>
      <c r="F378" s="32"/>
      <c r="G378" s="32"/>
      <c r="H378" s="9"/>
      <c r="I378" s="9"/>
      <c r="K378" s="270"/>
      <c r="L378" s="270"/>
      <c r="M378" s="268"/>
      <c r="N378" s="222"/>
      <c r="O378" s="269"/>
      <c r="P378" s="272"/>
      <c r="Q378" s="274"/>
      <c r="R378" s="274"/>
      <c r="S378" s="218"/>
      <c r="T378" s="219"/>
      <c r="U378" s="30"/>
      <c r="V378" s="31"/>
      <c r="W378" s="30"/>
      <c r="X378" s="220"/>
      <c r="Y378" s="139"/>
      <c r="Z378" s="9"/>
    </row>
    <row r="379" spans="1:26">
      <c r="A379"/>
      <c r="E379" s="32"/>
      <c r="F379" s="32"/>
      <c r="G379" s="32"/>
      <c r="H379" s="9"/>
      <c r="I379" s="9"/>
      <c r="K379" s="270"/>
      <c r="L379" s="270"/>
      <c r="M379" s="268"/>
      <c r="N379" s="222"/>
      <c r="O379" s="269"/>
      <c r="P379" s="272"/>
      <c r="Q379" s="283"/>
      <c r="R379" s="283"/>
      <c r="S379" s="218"/>
      <c r="T379" s="219"/>
      <c r="U379" s="30"/>
      <c r="V379" s="31"/>
      <c r="W379" s="30"/>
      <c r="X379" s="220"/>
      <c r="Y379" s="139"/>
      <c r="Z379" s="9"/>
    </row>
    <row r="380" spans="1:26">
      <c r="A380"/>
      <c r="E380" s="32"/>
      <c r="F380" s="32"/>
      <c r="G380" s="32"/>
      <c r="H380" s="9"/>
      <c r="I380" s="9"/>
      <c r="K380" s="284"/>
      <c r="L380" s="284"/>
      <c r="M380" s="268"/>
      <c r="N380" s="226"/>
      <c r="O380" s="269"/>
      <c r="P380" s="235"/>
      <c r="Q380" s="237"/>
      <c r="R380" s="237"/>
      <c r="S380" s="218"/>
      <c r="T380" s="219"/>
      <c r="U380" s="30"/>
      <c r="V380" s="31"/>
      <c r="W380" s="30"/>
      <c r="X380" s="220"/>
      <c r="Y380" s="139"/>
      <c r="Z380" s="9"/>
    </row>
    <row r="381" spans="1:26">
      <c r="A381"/>
      <c r="E381" s="32"/>
      <c r="F381" s="32"/>
      <c r="G381" s="32"/>
      <c r="H381" s="9"/>
      <c r="I381" s="9"/>
      <c r="K381" s="270"/>
      <c r="L381" s="270"/>
      <c r="M381" s="268"/>
      <c r="N381" s="222"/>
      <c r="O381" s="269"/>
      <c r="P381" s="272"/>
      <c r="Q381" s="283"/>
      <c r="R381" s="283"/>
      <c r="S381" s="218"/>
      <c r="T381" s="219"/>
      <c r="U381" s="30"/>
      <c r="V381" s="31"/>
      <c r="W381" s="30"/>
      <c r="X381" s="220"/>
      <c r="Y381" s="139"/>
      <c r="Z381" s="9"/>
    </row>
    <row r="382" spans="1:26">
      <c r="A382"/>
      <c r="E382" s="32"/>
      <c r="F382" s="32"/>
      <c r="G382" s="32"/>
      <c r="H382" s="9"/>
      <c r="I382" s="9"/>
      <c r="K382" s="270"/>
      <c r="L382" s="270"/>
      <c r="M382" s="268"/>
      <c r="N382" s="222"/>
      <c r="O382" s="269"/>
      <c r="P382" s="272"/>
      <c r="Q382" s="274"/>
      <c r="R382" s="274"/>
      <c r="S382" s="218"/>
      <c r="T382" s="219"/>
      <c r="U382" s="30"/>
      <c r="V382" s="31"/>
      <c r="W382" s="30"/>
      <c r="X382" s="220"/>
      <c r="Y382" s="139"/>
      <c r="Z382" s="9"/>
    </row>
    <row r="383" spans="1:26">
      <c r="A383"/>
      <c r="E383" s="32"/>
      <c r="F383" s="32"/>
      <c r="G383" s="32"/>
      <c r="H383" s="9"/>
      <c r="I383" s="9"/>
      <c r="K383" s="270"/>
      <c r="L383" s="270"/>
      <c r="M383" s="268"/>
      <c r="N383" s="222"/>
      <c r="O383" s="269"/>
      <c r="P383" s="272"/>
      <c r="Q383" s="283"/>
      <c r="R383" s="283"/>
      <c r="S383" s="218"/>
      <c r="T383" s="219"/>
      <c r="U383" s="30"/>
      <c r="V383" s="31"/>
      <c r="W383" s="30"/>
      <c r="X383" s="220"/>
      <c r="Y383" s="139"/>
      <c r="Z383" s="9"/>
    </row>
    <row r="384" spans="1:26">
      <c r="A384"/>
      <c r="E384" s="32"/>
      <c r="F384" s="32"/>
      <c r="G384" s="32"/>
      <c r="H384" s="9"/>
      <c r="I384" s="9"/>
      <c r="K384" s="270"/>
      <c r="L384" s="270"/>
      <c r="M384" s="268"/>
      <c r="N384" s="222"/>
      <c r="O384" s="269"/>
      <c r="P384" s="272"/>
      <c r="Q384" s="274"/>
      <c r="R384" s="274"/>
      <c r="S384" s="218"/>
      <c r="T384" s="219"/>
      <c r="U384" s="30"/>
      <c r="V384" s="31"/>
      <c r="W384" s="30"/>
      <c r="X384" s="220"/>
      <c r="Y384" s="139"/>
      <c r="Z384" s="9"/>
    </row>
    <row r="385" spans="1:27">
      <c r="A385"/>
      <c r="E385" s="32"/>
      <c r="F385" s="32"/>
      <c r="G385" s="32"/>
      <c r="H385" s="9"/>
      <c r="I385" s="9"/>
      <c r="K385" s="270"/>
      <c r="L385" s="270"/>
      <c r="M385" s="268"/>
      <c r="N385" s="222"/>
      <c r="O385" s="269"/>
      <c r="P385" s="272"/>
      <c r="Q385" s="274"/>
      <c r="R385" s="274"/>
      <c r="S385" s="218"/>
      <c r="T385" s="219"/>
      <c r="U385" s="30"/>
      <c r="V385" s="31"/>
      <c r="W385" s="30"/>
      <c r="X385" s="220"/>
      <c r="Y385" s="139"/>
      <c r="Z385" s="9"/>
    </row>
    <row r="386" spans="1:27">
      <c r="A386"/>
      <c r="E386" s="242"/>
      <c r="F386" s="227"/>
      <c r="G386" s="227"/>
      <c r="H386" s="232"/>
      <c r="I386" s="9"/>
      <c r="K386" s="217"/>
      <c r="L386" s="217"/>
      <c r="M386" s="268"/>
      <c r="N386" s="176"/>
      <c r="O386" s="269"/>
      <c r="P386" s="236"/>
      <c r="Q386" s="238"/>
      <c r="R386" s="238"/>
      <c r="S386" s="218"/>
      <c r="T386" s="219"/>
      <c r="U386" s="30"/>
      <c r="V386" s="31"/>
      <c r="W386" s="30"/>
      <c r="X386" s="220"/>
      <c r="Y386" s="139"/>
      <c r="Z386" s="9"/>
    </row>
    <row r="387" spans="1:27">
      <c r="A387"/>
      <c r="E387" s="32"/>
      <c r="F387" s="32"/>
      <c r="G387" s="32"/>
      <c r="H387" s="9"/>
      <c r="I387" s="9"/>
      <c r="K387" s="270"/>
      <c r="L387" s="270"/>
      <c r="M387" s="268"/>
      <c r="N387" s="222"/>
      <c r="O387" s="269"/>
      <c r="P387" s="272"/>
      <c r="Q387" s="283"/>
      <c r="R387" s="283"/>
      <c r="S387" s="218"/>
      <c r="T387" s="219"/>
      <c r="U387" s="30"/>
      <c r="V387" s="31"/>
      <c r="W387" s="30"/>
      <c r="X387" s="220"/>
      <c r="Y387" s="139"/>
      <c r="Z387" s="9"/>
    </row>
    <row r="388" spans="1:27">
      <c r="A388"/>
      <c r="E388" s="32"/>
      <c r="F388" s="32"/>
      <c r="G388" s="32"/>
      <c r="H388" s="9"/>
      <c r="I388" s="9"/>
      <c r="K388" s="284"/>
      <c r="L388" s="284"/>
      <c r="M388" s="268"/>
      <c r="N388" s="226"/>
      <c r="O388" s="269"/>
      <c r="P388" s="235"/>
      <c r="Q388" s="237"/>
      <c r="R388" s="237"/>
      <c r="S388" s="218"/>
      <c r="T388" s="219"/>
      <c r="U388" s="30"/>
      <c r="V388" s="31"/>
      <c r="W388" s="30"/>
      <c r="X388" s="220"/>
      <c r="Y388" s="139"/>
      <c r="Z388" s="9"/>
    </row>
    <row r="389" spans="1:27">
      <c r="A389"/>
      <c r="E389" s="32"/>
      <c r="F389" s="32"/>
      <c r="G389" s="32"/>
      <c r="H389" s="9"/>
      <c r="I389" s="9"/>
      <c r="K389" s="270"/>
      <c r="L389" s="270"/>
      <c r="M389" s="268"/>
      <c r="N389" s="222"/>
      <c r="O389" s="269"/>
      <c r="P389" s="272"/>
      <c r="Q389" s="283"/>
      <c r="R389" s="283"/>
      <c r="S389" s="218"/>
      <c r="T389" s="219"/>
      <c r="U389" s="30"/>
      <c r="V389" s="31"/>
      <c r="W389" s="30"/>
      <c r="X389" s="220"/>
      <c r="Y389" s="139"/>
      <c r="Z389" s="9"/>
    </row>
    <row r="390" spans="1:27">
      <c r="A390"/>
      <c r="C390" s="216"/>
      <c r="D390" s="29"/>
      <c r="E390" s="32"/>
      <c r="F390" s="32"/>
      <c r="G390" s="32"/>
      <c r="H390" s="9"/>
      <c r="I390" s="9"/>
      <c r="K390" s="270"/>
      <c r="L390" s="270"/>
      <c r="M390" s="268"/>
      <c r="N390" s="222"/>
      <c r="O390" s="269"/>
      <c r="P390" s="272"/>
      <c r="Q390" s="283"/>
      <c r="R390" s="283"/>
      <c r="S390" s="218"/>
      <c r="T390" s="219"/>
      <c r="U390" s="30"/>
      <c r="V390" s="31"/>
      <c r="W390" s="30"/>
      <c r="X390" s="220"/>
      <c r="Y390" s="139"/>
      <c r="Z390" s="9"/>
      <c r="AA390" s="9"/>
    </row>
    <row r="391" spans="1:27">
      <c r="A391"/>
      <c r="E391" s="32"/>
      <c r="F391" s="32"/>
      <c r="G391" s="32"/>
      <c r="H391" s="9"/>
      <c r="I391" s="9"/>
      <c r="K391" s="270"/>
      <c r="L391" s="270"/>
      <c r="M391" s="268"/>
      <c r="N391" s="222"/>
      <c r="O391" s="269"/>
      <c r="P391" s="272"/>
      <c r="Q391" s="283"/>
      <c r="R391" s="283"/>
      <c r="S391" s="218"/>
      <c r="T391" s="219"/>
      <c r="U391" s="30"/>
      <c r="V391" s="31"/>
      <c r="W391" s="30"/>
      <c r="X391" s="220"/>
      <c r="Y391" s="139"/>
      <c r="Z391" s="9"/>
    </row>
    <row r="392" spans="1:27">
      <c r="A392"/>
      <c r="C392" s="216"/>
      <c r="D392" s="29"/>
      <c r="E392" s="32"/>
      <c r="F392" s="32"/>
      <c r="G392" s="32"/>
      <c r="H392" s="9"/>
      <c r="I392" s="9"/>
      <c r="K392" s="270"/>
      <c r="L392" s="270"/>
      <c r="M392" s="268"/>
      <c r="N392" s="222"/>
      <c r="O392" s="269"/>
      <c r="P392" s="272"/>
      <c r="Q392" s="274"/>
      <c r="R392" s="274"/>
      <c r="S392" s="218"/>
      <c r="T392" s="219"/>
      <c r="U392" s="30"/>
      <c r="V392" s="31"/>
      <c r="W392" s="30"/>
      <c r="X392" s="220"/>
      <c r="Y392" s="139"/>
      <c r="Z392" s="9"/>
      <c r="AA392" s="9"/>
    </row>
    <row r="393" spans="1:27">
      <c r="A393"/>
      <c r="C393" s="216"/>
      <c r="D393" s="29"/>
      <c r="E393" s="32"/>
      <c r="F393" s="32"/>
      <c r="G393" s="32"/>
      <c r="H393" s="9"/>
      <c r="I393" s="9"/>
      <c r="K393" s="284"/>
      <c r="L393" s="284"/>
      <c r="M393" s="268"/>
      <c r="N393" s="226"/>
      <c r="O393" s="269"/>
      <c r="P393" s="235"/>
      <c r="Q393" s="237"/>
      <c r="R393" s="237"/>
      <c r="S393" s="218"/>
      <c r="T393" s="219"/>
      <c r="U393" s="30"/>
      <c r="V393" s="31"/>
      <c r="W393" s="30"/>
      <c r="X393" s="220"/>
      <c r="Y393" s="139"/>
      <c r="Z393" s="9"/>
      <c r="AA393" s="9"/>
    </row>
    <row r="394" spans="1:27">
      <c r="A394"/>
      <c r="E394" s="32"/>
      <c r="F394" s="32"/>
      <c r="G394" s="32"/>
      <c r="H394" s="9"/>
      <c r="I394" s="9"/>
      <c r="K394" s="270"/>
      <c r="L394" s="270"/>
      <c r="M394" s="268"/>
      <c r="N394" s="222"/>
      <c r="O394" s="269"/>
      <c r="P394" s="223"/>
      <c r="Q394" s="283"/>
      <c r="R394" s="283"/>
      <c r="S394" s="218"/>
      <c r="T394" s="219"/>
      <c r="U394" s="30"/>
      <c r="V394" s="31"/>
      <c r="W394" s="30"/>
      <c r="X394" s="220"/>
      <c r="Y394" s="139"/>
      <c r="Z394" s="9"/>
    </row>
    <row r="395" spans="1:27">
      <c r="A395"/>
      <c r="E395" s="32"/>
      <c r="F395" s="32"/>
      <c r="G395" s="32"/>
      <c r="H395" s="9"/>
      <c r="I395" s="9"/>
      <c r="K395" s="270"/>
      <c r="L395" s="270"/>
      <c r="M395" s="268"/>
      <c r="N395" s="222"/>
      <c r="O395" s="269"/>
      <c r="P395" s="272"/>
      <c r="Q395" s="283"/>
      <c r="R395" s="283"/>
      <c r="S395" s="218"/>
      <c r="T395" s="219"/>
      <c r="U395" s="30"/>
      <c r="V395" s="31"/>
      <c r="W395" s="30"/>
      <c r="X395" s="220"/>
      <c r="Y395" s="139"/>
      <c r="Z395" s="9"/>
    </row>
    <row r="396" spans="1:27">
      <c r="A396"/>
      <c r="B396" s="221"/>
      <c r="C396" s="216"/>
      <c r="D396" s="29"/>
      <c r="E396" s="32"/>
      <c r="F396" s="32"/>
      <c r="G396" s="32"/>
      <c r="H396" s="9"/>
      <c r="I396" s="9"/>
      <c r="K396" s="270"/>
      <c r="L396" s="270"/>
      <c r="M396" s="268"/>
      <c r="N396" s="222"/>
      <c r="O396" s="269"/>
      <c r="P396" s="272"/>
      <c r="Q396" s="283"/>
      <c r="R396" s="283"/>
      <c r="S396" s="218"/>
      <c r="T396" s="219"/>
      <c r="U396" s="30"/>
      <c r="V396" s="31"/>
      <c r="W396" s="30"/>
      <c r="X396" s="220"/>
      <c r="Y396" s="139"/>
      <c r="Z396" s="9"/>
      <c r="AA396" s="9"/>
    </row>
    <row r="397" spans="1:27">
      <c r="A397"/>
      <c r="C397" s="216"/>
      <c r="D397" s="29"/>
      <c r="E397" s="32"/>
      <c r="F397" s="32"/>
      <c r="G397" s="32"/>
      <c r="H397" s="9"/>
      <c r="I397" s="9"/>
      <c r="K397" s="270"/>
      <c r="L397" s="270"/>
      <c r="M397" s="268"/>
      <c r="N397" s="222"/>
      <c r="O397" s="269"/>
      <c r="P397" s="272"/>
      <c r="Q397" s="283"/>
      <c r="R397" s="283"/>
      <c r="S397" s="218"/>
      <c r="T397" s="219"/>
      <c r="U397" s="30"/>
      <c r="V397" s="31"/>
      <c r="W397" s="30"/>
      <c r="X397" s="220"/>
      <c r="Y397" s="139"/>
      <c r="Z397" s="9"/>
      <c r="AA397" s="9"/>
    </row>
    <row r="398" spans="1:27">
      <c r="A398"/>
      <c r="B398" s="221"/>
      <c r="C398" s="216"/>
      <c r="D398" s="29"/>
      <c r="E398" s="32"/>
      <c r="F398" s="32"/>
      <c r="G398" s="32"/>
      <c r="H398" s="9"/>
      <c r="I398" s="9"/>
      <c r="K398" s="270"/>
      <c r="L398" s="270"/>
      <c r="M398" s="268"/>
      <c r="N398" s="222"/>
      <c r="O398" s="269"/>
      <c r="P398" s="272"/>
      <c r="Q398" s="283"/>
      <c r="R398" s="283"/>
      <c r="S398" s="218"/>
      <c r="T398" s="219"/>
      <c r="U398" s="30"/>
      <c r="V398" s="31"/>
      <c r="W398" s="30"/>
      <c r="X398" s="220"/>
      <c r="Y398" s="139"/>
      <c r="Z398" s="9"/>
      <c r="AA398" s="9"/>
    </row>
    <row r="399" spans="1:27">
      <c r="A399"/>
      <c r="C399" s="216"/>
      <c r="D399" s="29"/>
      <c r="E399" s="32"/>
      <c r="F399" s="32"/>
      <c r="G399" s="32"/>
      <c r="H399" s="9"/>
      <c r="I399" s="9"/>
      <c r="K399" s="270"/>
      <c r="L399" s="270"/>
      <c r="M399" s="268"/>
      <c r="N399" s="222"/>
      <c r="O399" s="269"/>
      <c r="P399" s="272"/>
      <c r="Q399" s="283"/>
      <c r="R399" s="283"/>
      <c r="S399" s="218"/>
      <c r="T399" s="219"/>
      <c r="U399" s="30"/>
      <c r="V399" s="31"/>
      <c r="W399" s="30"/>
      <c r="X399" s="220"/>
      <c r="Y399" s="139"/>
      <c r="Z399" s="9"/>
      <c r="AA399" s="9"/>
    </row>
    <row r="400" spans="1:27">
      <c r="A400"/>
      <c r="E400" s="32"/>
      <c r="F400" s="32"/>
      <c r="G400" s="32"/>
      <c r="H400" s="9"/>
      <c r="I400" s="9"/>
      <c r="K400" s="270"/>
      <c r="L400" s="270"/>
      <c r="M400" s="268"/>
      <c r="N400" s="222"/>
      <c r="O400" s="269"/>
      <c r="P400" s="223"/>
      <c r="Q400" s="283"/>
      <c r="R400" s="283"/>
      <c r="S400" s="218"/>
      <c r="T400" s="219"/>
      <c r="U400" s="30"/>
      <c r="V400" s="31"/>
      <c r="W400" s="30"/>
      <c r="X400" s="220"/>
      <c r="Y400" s="139"/>
      <c r="Z400" s="9"/>
    </row>
    <row r="401" spans="1:28">
      <c r="A401"/>
      <c r="B401" s="221"/>
      <c r="C401" s="216"/>
      <c r="D401" s="29"/>
      <c r="E401" s="32"/>
      <c r="F401" s="32"/>
      <c r="G401" s="32"/>
      <c r="H401" s="9"/>
      <c r="I401" s="9"/>
      <c r="K401" s="270"/>
      <c r="L401" s="270"/>
      <c r="M401" s="268"/>
      <c r="N401" s="222"/>
      <c r="O401" s="269"/>
      <c r="P401" s="223"/>
      <c r="Q401" s="283"/>
      <c r="R401" s="283"/>
      <c r="S401" s="218"/>
      <c r="T401" s="219"/>
      <c r="U401" s="30"/>
      <c r="V401" s="31"/>
      <c r="W401" s="30"/>
      <c r="X401" s="220"/>
      <c r="Y401" s="139"/>
      <c r="Z401" s="9"/>
      <c r="AA401" s="9"/>
    </row>
    <row r="402" spans="1:28">
      <c r="A402"/>
      <c r="C402" s="216"/>
      <c r="D402" s="29"/>
      <c r="E402" s="32"/>
      <c r="F402" s="32"/>
      <c r="G402" s="32"/>
      <c r="H402" s="9"/>
      <c r="I402" s="9"/>
      <c r="K402" s="270"/>
      <c r="L402" s="270"/>
      <c r="M402" s="268"/>
      <c r="N402" s="222"/>
      <c r="O402" s="269"/>
      <c r="P402" s="272"/>
      <c r="Q402" s="283"/>
      <c r="R402" s="283"/>
      <c r="S402" s="218"/>
      <c r="T402" s="219"/>
      <c r="U402" s="30"/>
      <c r="V402" s="31"/>
      <c r="W402" s="30"/>
      <c r="X402" s="220"/>
      <c r="Y402" s="139"/>
      <c r="Z402" s="9"/>
      <c r="AA402" s="9"/>
    </row>
    <row r="403" spans="1:28">
      <c r="A403"/>
      <c r="B403" s="221"/>
      <c r="C403" s="216"/>
      <c r="D403" s="29"/>
      <c r="E403" s="32"/>
      <c r="F403" s="32"/>
      <c r="G403" s="32"/>
      <c r="H403" s="9"/>
      <c r="I403" s="9"/>
      <c r="K403" s="270"/>
      <c r="L403" s="270"/>
      <c r="M403" s="268"/>
      <c r="N403" s="222"/>
      <c r="O403" s="269"/>
      <c r="P403" s="223"/>
      <c r="Q403" s="283"/>
      <c r="R403" s="283"/>
      <c r="S403" s="218"/>
      <c r="T403" s="219"/>
      <c r="U403" s="30"/>
      <c r="V403" s="31"/>
      <c r="W403" s="30"/>
      <c r="X403" s="220"/>
      <c r="Y403" s="139"/>
      <c r="Z403" s="9"/>
      <c r="AA403" s="9"/>
    </row>
    <row r="404" spans="1:28">
      <c r="A404"/>
      <c r="B404" s="221"/>
      <c r="C404" s="216"/>
      <c r="D404" s="29"/>
      <c r="E404" s="32"/>
      <c r="F404" s="32"/>
      <c r="G404" s="32"/>
      <c r="H404" s="9"/>
      <c r="I404" s="9"/>
      <c r="K404" s="270"/>
      <c r="L404" s="270"/>
      <c r="M404" s="268"/>
      <c r="N404" s="222"/>
      <c r="O404" s="269"/>
      <c r="P404" s="223"/>
      <c r="Q404" s="283"/>
      <c r="R404" s="283"/>
      <c r="S404" s="218"/>
      <c r="T404" s="219"/>
      <c r="U404" s="30"/>
      <c r="V404" s="31"/>
      <c r="W404" s="30"/>
      <c r="X404" s="220"/>
      <c r="Y404" s="139"/>
      <c r="Z404" s="9"/>
      <c r="AA404" s="9"/>
    </row>
    <row r="405" spans="1:28">
      <c r="A405"/>
      <c r="C405" s="216"/>
      <c r="D405" s="29"/>
      <c r="E405" s="32"/>
      <c r="F405" s="32"/>
      <c r="G405" s="32"/>
      <c r="H405" s="9"/>
      <c r="I405" s="9"/>
      <c r="K405" s="270"/>
      <c r="L405" s="270"/>
      <c r="M405" s="268"/>
      <c r="N405" s="222"/>
      <c r="O405" s="269"/>
      <c r="P405" s="272"/>
      <c r="Q405" s="283"/>
      <c r="R405" s="283"/>
      <c r="S405" s="218"/>
      <c r="T405" s="219"/>
      <c r="U405" s="30"/>
      <c r="V405" s="31"/>
      <c r="W405" s="30"/>
      <c r="X405" s="220"/>
      <c r="Y405" s="139"/>
      <c r="Z405" s="9"/>
      <c r="AA405" s="9"/>
    </row>
    <row r="406" spans="1:28">
      <c r="A406"/>
      <c r="C406" s="216"/>
      <c r="D406" s="29"/>
      <c r="E406" s="32"/>
      <c r="F406" s="32"/>
      <c r="G406" s="32"/>
      <c r="H406" s="9"/>
      <c r="I406" s="9"/>
      <c r="K406" s="270"/>
      <c r="L406" s="270"/>
      <c r="M406" s="268"/>
      <c r="N406" s="222"/>
      <c r="O406" s="269"/>
      <c r="P406" s="223"/>
      <c r="Q406" s="283"/>
      <c r="R406" s="283"/>
      <c r="S406" s="218"/>
      <c r="T406" s="219"/>
      <c r="U406" s="30"/>
      <c r="V406" s="31"/>
      <c r="W406" s="30"/>
      <c r="X406" s="220"/>
      <c r="Y406" s="139"/>
      <c r="Z406" s="9"/>
      <c r="AA406" s="9"/>
    </row>
    <row r="407" spans="1:28">
      <c r="A407"/>
      <c r="C407" s="216"/>
      <c r="D407" s="29"/>
      <c r="E407" s="32"/>
      <c r="F407" s="32"/>
      <c r="G407" s="32"/>
      <c r="H407" s="9"/>
      <c r="I407" s="9"/>
      <c r="K407" s="270"/>
      <c r="L407" s="270"/>
      <c r="M407" s="268"/>
      <c r="N407" s="222"/>
      <c r="O407" s="269"/>
      <c r="P407" s="223"/>
      <c r="Q407" s="283"/>
      <c r="R407" s="283"/>
      <c r="S407" s="218"/>
      <c r="T407" s="219"/>
      <c r="U407" s="30"/>
      <c r="V407" s="31"/>
      <c r="W407" s="30"/>
      <c r="X407" s="220"/>
      <c r="Y407" s="139"/>
      <c r="Z407" s="9"/>
      <c r="AA407" s="9"/>
    </row>
    <row r="408" spans="1:28">
      <c r="A408"/>
      <c r="B408" s="221"/>
      <c r="C408" s="216"/>
      <c r="D408" s="29"/>
      <c r="E408" s="32"/>
      <c r="F408" s="32"/>
      <c r="G408" s="32"/>
      <c r="H408" s="9"/>
      <c r="I408" s="9"/>
      <c r="K408" s="270"/>
      <c r="L408" s="270"/>
      <c r="M408" s="268"/>
      <c r="N408" s="222"/>
      <c r="O408" s="269"/>
      <c r="P408" s="223"/>
      <c r="Q408" s="283"/>
      <c r="R408" s="283"/>
      <c r="S408" s="218"/>
      <c r="T408" s="219"/>
      <c r="U408" s="30"/>
      <c r="V408" s="31"/>
      <c r="W408" s="30"/>
      <c r="X408" s="220"/>
      <c r="Y408" s="139"/>
      <c r="Z408" s="9"/>
      <c r="AA408" s="9"/>
    </row>
    <row r="409" spans="1:28">
      <c r="A409"/>
      <c r="C409" s="216"/>
      <c r="D409" s="29"/>
      <c r="E409" s="32"/>
      <c r="F409" s="32"/>
      <c r="G409" s="32"/>
      <c r="H409" s="9"/>
      <c r="I409" s="9"/>
      <c r="K409" s="270"/>
      <c r="L409" s="270"/>
      <c r="M409" s="268"/>
      <c r="N409" s="222"/>
      <c r="O409" s="269"/>
      <c r="P409" s="223"/>
      <c r="Q409" s="283"/>
      <c r="R409" s="283"/>
      <c r="S409" s="218"/>
      <c r="T409" s="219"/>
      <c r="U409" s="30"/>
      <c r="V409" s="31"/>
      <c r="W409" s="30"/>
      <c r="X409" s="220"/>
      <c r="Y409" s="139"/>
      <c r="Z409" s="9"/>
      <c r="AA409" s="9"/>
    </row>
    <row r="410" spans="1:28">
      <c r="A410"/>
      <c r="B410" s="221"/>
      <c r="C410" s="216"/>
      <c r="D410" s="29"/>
      <c r="E410" s="32"/>
      <c r="F410" s="32"/>
      <c r="G410" s="32"/>
      <c r="H410" s="9"/>
      <c r="I410" s="9"/>
      <c r="K410" s="270"/>
      <c r="L410" s="270"/>
      <c r="M410" s="268"/>
      <c r="N410" s="222"/>
      <c r="O410" s="269"/>
      <c r="P410" s="223"/>
      <c r="Q410" s="274"/>
      <c r="R410" s="274"/>
      <c r="S410" s="218"/>
      <c r="T410" s="219"/>
      <c r="U410" s="30"/>
      <c r="V410" s="31"/>
      <c r="W410" s="30"/>
      <c r="X410" s="220"/>
      <c r="Y410" s="139"/>
      <c r="Z410" s="9"/>
      <c r="AA410" s="9"/>
    </row>
    <row r="411" spans="1:28">
      <c r="A411"/>
      <c r="C411" s="216"/>
      <c r="D411" s="29"/>
      <c r="E411" s="32"/>
      <c r="F411" s="32"/>
      <c r="G411" s="32"/>
      <c r="H411" s="9"/>
      <c r="I411" s="9"/>
      <c r="K411" s="270"/>
      <c r="L411" s="270"/>
      <c r="M411" s="268"/>
      <c r="N411" s="222"/>
      <c r="O411" s="269"/>
      <c r="P411" s="223"/>
      <c r="Q411" s="283"/>
      <c r="R411" s="283"/>
      <c r="S411" s="218"/>
      <c r="T411" s="219"/>
      <c r="U411" s="30"/>
      <c r="V411" s="31"/>
      <c r="W411" s="30"/>
      <c r="X411" s="220"/>
      <c r="Y411" s="139"/>
      <c r="Z411" s="9"/>
      <c r="AA411" s="9"/>
    </row>
    <row r="412" spans="1:28">
      <c r="A412"/>
      <c r="B412" s="215"/>
      <c r="C412" s="216"/>
      <c r="D412" s="29"/>
      <c r="E412" s="32"/>
      <c r="F412" s="32"/>
      <c r="G412" s="32"/>
      <c r="H412" s="9"/>
      <c r="I412" s="9"/>
      <c r="K412" s="270"/>
      <c r="L412" s="270"/>
      <c r="M412" s="268"/>
      <c r="N412" s="222"/>
      <c r="O412" s="269"/>
      <c r="P412" s="223"/>
      <c r="Q412" s="274"/>
      <c r="R412" s="274"/>
      <c r="S412" s="218"/>
      <c r="T412" s="219"/>
      <c r="U412" s="30"/>
      <c r="V412" s="31"/>
      <c r="W412" s="30"/>
      <c r="X412" s="220"/>
      <c r="Y412" s="139"/>
      <c r="Z412" s="9"/>
      <c r="AA412" s="9"/>
      <c r="AB412" s="32"/>
    </row>
    <row r="413" spans="1:28">
      <c r="A413"/>
      <c r="B413" s="221"/>
      <c r="C413" s="216"/>
      <c r="D413" s="29"/>
      <c r="E413" s="32"/>
      <c r="F413" s="32"/>
      <c r="G413" s="32"/>
      <c r="H413" s="9"/>
      <c r="I413" s="9"/>
      <c r="K413" s="270"/>
      <c r="L413" s="270"/>
      <c r="M413" s="268"/>
      <c r="N413" s="222"/>
      <c r="O413" s="269"/>
      <c r="P413" s="223"/>
      <c r="Q413" s="283"/>
      <c r="R413" s="283"/>
      <c r="S413" s="218"/>
      <c r="T413" s="219"/>
      <c r="U413" s="30"/>
      <c r="V413" s="31"/>
      <c r="W413" s="30"/>
      <c r="X413" s="220"/>
      <c r="Y413" s="139"/>
      <c r="Z413" s="9"/>
      <c r="AA413" s="9"/>
    </row>
    <row r="414" spans="1:28">
      <c r="A414"/>
      <c r="C414" s="216"/>
      <c r="D414" s="29"/>
      <c r="E414" s="32"/>
      <c r="F414" s="32"/>
      <c r="G414" s="32"/>
      <c r="H414" s="9"/>
      <c r="I414" s="9"/>
      <c r="K414" s="270"/>
      <c r="L414" s="270"/>
      <c r="M414" s="268"/>
      <c r="N414" s="222"/>
      <c r="O414" s="269"/>
      <c r="P414" s="223"/>
      <c r="Q414" s="274"/>
      <c r="R414" s="274"/>
      <c r="S414" s="218"/>
      <c r="T414" s="219"/>
      <c r="U414" s="30"/>
      <c r="V414" s="31"/>
      <c r="W414" s="30"/>
      <c r="X414" s="220"/>
      <c r="Y414" s="139"/>
      <c r="Z414" s="9"/>
      <c r="AA414" s="9"/>
    </row>
    <row r="415" spans="1:28">
      <c r="A415"/>
      <c r="C415" s="216"/>
      <c r="D415" s="29"/>
      <c r="E415" s="32"/>
      <c r="F415" s="32"/>
      <c r="G415" s="32"/>
      <c r="H415" s="9"/>
      <c r="I415" s="9"/>
      <c r="K415" s="270"/>
      <c r="L415" s="270"/>
      <c r="M415" s="268"/>
      <c r="N415" s="222"/>
      <c r="O415" s="269"/>
      <c r="P415" s="223"/>
      <c r="Q415" s="283"/>
      <c r="R415" s="283"/>
      <c r="S415" s="218"/>
      <c r="T415" s="219"/>
      <c r="U415" s="30"/>
      <c r="V415" s="31"/>
      <c r="W415" s="30"/>
      <c r="X415" s="220"/>
      <c r="Y415" s="139"/>
      <c r="Z415" s="9"/>
      <c r="AA415" s="9"/>
    </row>
    <row r="416" spans="1:28">
      <c r="A416"/>
      <c r="B416" s="215"/>
      <c r="C416" s="216"/>
      <c r="D416" s="29"/>
      <c r="E416" s="32"/>
      <c r="F416" s="32"/>
      <c r="G416" s="32"/>
      <c r="H416" s="9"/>
      <c r="I416" s="9"/>
      <c r="K416" s="270"/>
      <c r="L416" s="270"/>
      <c r="M416" s="268"/>
      <c r="N416" s="222"/>
      <c r="O416" s="269"/>
      <c r="P416" s="223"/>
      <c r="Q416" s="274"/>
      <c r="R416" s="274"/>
      <c r="S416" s="218"/>
      <c r="T416" s="219"/>
      <c r="U416" s="30"/>
      <c r="V416" s="31"/>
      <c r="W416" s="30"/>
      <c r="X416" s="220"/>
      <c r="Y416" s="139"/>
      <c r="Z416" s="9"/>
      <c r="AA416" s="9"/>
      <c r="AB416" s="32"/>
    </row>
    <row r="417" spans="1:28">
      <c r="A417"/>
      <c r="B417" s="221"/>
      <c r="C417" s="216"/>
      <c r="D417" s="29"/>
      <c r="E417" s="32"/>
      <c r="F417" s="32"/>
      <c r="G417" s="32"/>
      <c r="H417" s="9"/>
      <c r="I417" s="9"/>
      <c r="K417" s="270"/>
      <c r="L417" s="270"/>
      <c r="M417" s="268"/>
      <c r="N417" s="222"/>
      <c r="O417" s="269"/>
      <c r="P417" s="223"/>
      <c r="Q417" s="283"/>
      <c r="R417" s="283"/>
      <c r="S417" s="218"/>
      <c r="T417" s="219"/>
      <c r="U417" s="30"/>
      <c r="V417" s="31"/>
      <c r="W417" s="30"/>
      <c r="X417" s="220"/>
      <c r="Y417" s="139"/>
      <c r="Z417" s="9"/>
      <c r="AA417" s="9"/>
    </row>
    <row r="418" spans="1:28">
      <c r="A418"/>
      <c r="C418" s="216"/>
      <c r="D418" s="29"/>
      <c r="E418" s="32"/>
      <c r="F418" s="32"/>
      <c r="G418" s="32"/>
      <c r="H418" s="9"/>
      <c r="I418" s="9"/>
      <c r="K418" s="270"/>
      <c r="L418" s="270"/>
      <c r="M418" s="268"/>
      <c r="N418" s="222"/>
      <c r="O418" s="269"/>
      <c r="P418" s="223"/>
      <c r="Q418" s="283"/>
      <c r="R418" s="283"/>
      <c r="S418" s="218"/>
      <c r="T418" s="219"/>
      <c r="U418" s="30"/>
      <c r="V418" s="31"/>
      <c r="W418" s="30"/>
      <c r="X418" s="220"/>
      <c r="Y418" s="139"/>
      <c r="Z418" s="9"/>
      <c r="AA418" s="9"/>
    </row>
    <row r="419" spans="1:28">
      <c r="A419"/>
      <c r="B419" s="221"/>
      <c r="C419" s="216"/>
      <c r="D419" s="29"/>
      <c r="E419" s="32"/>
      <c r="F419" s="32"/>
      <c r="G419" s="32"/>
      <c r="H419" s="9"/>
      <c r="I419" s="9"/>
      <c r="K419" s="270"/>
      <c r="L419" s="270"/>
      <c r="M419" s="268"/>
      <c r="N419" s="222"/>
      <c r="O419" s="269"/>
      <c r="P419" s="223"/>
      <c r="Q419" s="283"/>
      <c r="R419" s="283"/>
      <c r="S419" s="218"/>
      <c r="T419" s="219"/>
      <c r="U419" s="30"/>
      <c r="V419" s="31"/>
      <c r="W419" s="30"/>
      <c r="X419" s="220"/>
      <c r="Y419" s="139"/>
      <c r="Z419" s="9"/>
      <c r="AA419" s="9"/>
    </row>
    <row r="420" spans="1:28">
      <c r="A420"/>
      <c r="B420" s="221"/>
      <c r="C420" s="216"/>
      <c r="D420" s="29"/>
      <c r="E420" s="32"/>
      <c r="F420" s="32"/>
      <c r="G420" s="32"/>
      <c r="H420" s="9"/>
      <c r="I420" s="9"/>
      <c r="K420" s="270"/>
      <c r="L420" s="270"/>
      <c r="M420" s="268"/>
      <c r="N420" s="222"/>
      <c r="O420" s="269"/>
      <c r="P420" s="223"/>
      <c r="Q420" s="283"/>
      <c r="R420" s="283"/>
      <c r="S420" s="218"/>
      <c r="T420" s="219"/>
      <c r="U420" s="30"/>
      <c r="V420" s="31"/>
      <c r="W420" s="30"/>
      <c r="X420" s="220"/>
      <c r="Y420" s="139"/>
      <c r="Z420" s="9"/>
      <c r="AA420" s="9"/>
    </row>
    <row r="421" spans="1:28">
      <c r="A421"/>
      <c r="B421" s="215"/>
      <c r="C421" s="216"/>
      <c r="D421" s="29"/>
      <c r="E421" s="32"/>
      <c r="F421" s="32"/>
      <c r="G421" s="32"/>
      <c r="H421" s="9"/>
      <c r="I421" s="9"/>
      <c r="K421" s="270"/>
      <c r="L421" s="270"/>
      <c r="M421" s="268"/>
      <c r="N421" s="222"/>
      <c r="O421" s="269"/>
      <c r="P421" s="223"/>
      <c r="Q421" s="283"/>
      <c r="R421" s="283"/>
      <c r="S421" s="218"/>
      <c r="T421" s="219"/>
      <c r="U421" s="30"/>
      <c r="V421" s="31"/>
      <c r="W421" s="30"/>
      <c r="X421" s="220"/>
      <c r="Y421" s="139"/>
      <c r="Z421" s="9"/>
      <c r="AA421" s="9"/>
      <c r="AB421" s="32"/>
    </row>
    <row r="422" spans="1:28">
      <c r="A422"/>
      <c r="C422" s="216"/>
      <c r="D422" s="29"/>
      <c r="E422" s="242"/>
      <c r="F422" s="227"/>
      <c r="G422" s="227"/>
      <c r="H422" s="214"/>
      <c r="I422" s="9"/>
      <c r="K422" s="217"/>
      <c r="L422" s="217"/>
      <c r="M422" s="268"/>
      <c r="N422" s="176"/>
      <c r="O422" s="269"/>
      <c r="P422" s="273"/>
      <c r="Q422" s="286"/>
      <c r="R422" s="286"/>
      <c r="S422" s="218"/>
      <c r="T422" s="219"/>
      <c r="U422" s="30"/>
      <c r="V422" s="31"/>
      <c r="W422" s="30"/>
      <c r="X422" s="220"/>
      <c r="Y422" s="139"/>
      <c r="Z422" s="9"/>
      <c r="AA422" s="9"/>
    </row>
    <row r="423" spans="1:28">
      <c r="A423"/>
      <c r="C423" s="216"/>
      <c r="D423" s="29"/>
      <c r="E423" s="32"/>
      <c r="F423" s="32"/>
      <c r="G423" s="32"/>
      <c r="H423" s="9"/>
      <c r="I423" s="9"/>
      <c r="K423" s="270"/>
      <c r="L423" s="270"/>
      <c r="M423" s="268"/>
      <c r="N423" s="222"/>
      <c r="O423" s="269"/>
      <c r="P423" s="272"/>
      <c r="Q423" s="283"/>
      <c r="R423" s="283"/>
      <c r="S423" s="218"/>
      <c r="T423" s="219"/>
      <c r="U423" s="30"/>
      <c r="V423" s="31"/>
      <c r="W423" s="30"/>
      <c r="X423" s="220"/>
      <c r="Y423" s="139"/>
      <c r="Z423" s="9"/>
      <c r="AA423" s="9"/>
    </row>
    <row r="424" spans="1:28">
      <c r="A424"/>
      <c r="B424" s="221"/>
      <c r="C424" s="216"/>
      <c r="D424" s="29"/>
      <c r="E424" s="32"/>
      <c r="F424" s="32"/>
      <c r="G424" s="32"/>
      <c r="H424" s="9"/>
      <c r="I424" s="9"/>
      <c r="K424" s="270"/>
      <c r="L424" s="270"/>
      <c r="M424" s="268"/>
      <c r="N424" s="222"/>
      <c r="O424" s="269"/>
      <c r="P424" s="223"/>
      <c r="Q424" s="283"/>
      <c r="R424" s="283"/>
      <c r="S424" s="218"/>
      <c r="T424" s="219"/>
      <c r="U424" s="30"/>
      <c r="V424" s="31"/>
      <c r="W424" s="30"/>
      <c r="X424" s="220"/>
      <c r="Y424" s="139"/>
      <c r="Z424" s="9"/>
      <c r="AA424" s="9"/>
    </row>
    <row r="425" spans="1:28">
      <c r="A425"/>
      <c r="C425" s="216"/>
      <c r="D425" s="29"/>
      <c r="E425" s="32"/>
      <c r="F425" s="32"/>
      <c r="G425" s="32"/>
      <c r="H425" s="9"/>
      <c r="I425" s="9"/>
      <c r="K425" s="270"/>
      <c r="L425" s="270"/>
      <c r="M425" s="268"/>
      <c r="N425" s="222"/>
      <c r="O425" s="269"/>
      <c r="P425" s="223"/>
      <c r="Q425" s="283"/>
      <c r="R425" s="283"/>
      <c r="S425" s="218"/>
      <c r="T425" s="219"/>
      <c r="U425" s="30"/>
      <c r="V425" s="31"/>
      <c r="W425" s="30"/>
      <c r="X425" s="220"/>
      <c r="Y425" s="139"/>
      <c r="Z425" s="9"/>
      <c r="AA425" s="9"/>
    </row>
    <row r="426" spans="1:28">
      <c r="A426"/>
      <c r="B426" s="221"/>
      <c r="C426" s="216"/>
      <c r="D426" s="29"/>
      <c r="E426" s="32"/>
      <c r="F426" s="32"/>
      <c r="G426" s="32"/>
      <c r="H426" s="9"/>
      <c r="I426" s="9"/>
      <c r="K426" s="270"/>
      <c r="L426" s="270"/>
      <c r="M426" s="268"/>
      <c r="N426" s="222"/>
      <c r="O426" s="269"/>
      <c r="P426" s="223"/>
      <c r="Q426" s="283"/>
      <c r="R426" s="283"/>
      <c r="S426" s="218"/>
      <c r="T426" s="219"/>
      <c r="U426" s="30"/>
      <c r="V426" s="31"/>
      <c r="W426" s="30"/>
      <c r="X426" s="220"/>
      <c r="Y426" s="139"/>
      <c r="Z426" s="9"/>
      <c r="AA426" s="9"/>
    </row>
    <row r="427" spans="1:28">
      <c r="A427"/>
      <c r="B427" s="215"/>
      <c r="C427" s="216"/>
      <c r="D427" s="29"/>
      <c r="E427" s="32"/>
      <c r="F427" s="32"/>
      <c r="G427" s="32"/>
      <c r="H427" s="9"/>
      <c r="I427" s="9"/>
      <c r="K427" s="270"/>
      <c r="L427" s="270"/>
      <c r="M427" s="268"/>
      <c r="N427" s="222"/>
      <c r="O427" s="269"/>
      <c r="P427" s="223"/>
      <c r="Q427" s="283"/>
      <c r="R427" s="283"/>
      <c r="S427" s="218"/>
      <c r="T427" s="219"/>
      <c r="U427" s="30"/>
      <c r="V427" s="31"/>
      <c r="W427" s="30"/>
      <c r="X427" s="220"/>
      <c r="Y427" s="139"/>
      <c r="Z427" s="9"/>
      <c r="AA427" s="9"/>
      <c r="AB427" s="32"/>
    </row>
    <row r="428" spans="1:28">
      <c r="A428"/>
      <c r="B428" s="221"/>
      <c r="C428" s="216"/>
      <c r="D428" s="29"/>
      <c r="E428" s="32"/>
      <c r="F428" s="32"/>
      <c r="G428" s="32"/>
      <c r="H428" s="9"/>
      <c r="I428" s="9"/>
      <c r="K428" s="270"/>
      <c r="L428" s="270"/>
      <c r="M428" s="268"/>
      <c r="N428" s="222"/>
      <c r="O428" s="269"/>
      <c r="P428" s="223"/>
      <c r="Q428" s="283"/>
      <c r="R428" s="283"/>
      <c r="S428" s="218"/>
      <c r="T428" s="219"/>
      <c r="U428" s="30"/>
      <c r="V428" s="31"/>
      <c r="W428" s="30"/>
      <c r="X428" s="220"/>
      <c r="Y428" s="139"/>
      <c r="Z428" s="9"/>
      <c r="AA428" s="9"/>
    </row>
    <row r="429" spans="1:28">
      <c r="A429"/>
      <c r="B429" s="215"/>
      <c r="C429" s="216"/>
      <c r="D429" s="29"/>
      <c r="E429" s="32"/>
      <c r="F429" s="32"/>
      <c r="G429" s="32"/>
      <c r="H429" s="9"/>
      <c r="I429" s="9"/>
      <c r="K429" s="270"/>
      <c r="L429" s="270"/>
      <c r="M429" s="268"/>
      <c r="N429" s="222"/>
      <c r="O429" s="269"/>
      <c r="P429" s="223"/>
      <c r="Q429" s="283"/>
      <c r="R429" s="283"/>
      <c r="S429" s="218"/>
      <c r="T429" s="219"/>
      <c r="U429" s="30"/>
      <c r="V429" s="31"/>
      <c r="W429" s="30"/>
      <c r="X429" s="220"/>
      <c r="Y429" s="139"/>
      <c r="Z429" s="9"/>
      <c r="AA429" s="9"/>
      <c r="AB429" s="32"/>
    </row>
    <row r="430" spans="1:28">
      <c r="A430"/>
      <c r="B430" s="215"/>
      <c r="C430" s="216"/>
      <c r="D430" s="29"/>
      <c r="E430" s="32"/>
      <c r="F430" s="32"/>
      <c r="G430" s="32"/>
      <c r="H430" s="9"/>
      <c r="I430" s="9"/>
      <c r="K430" s="270"/>
      <c r="L430" s="270"/>
      <c r="M430" s="268"/>
      <c r="N430" s="222"/>
      <c r="O430" s="269"/>
      <c r="P430" s="223"/>
      <c r="Q430" s="283"/>
      <c r="R430" s="283"/>
      <c r="S430" s="218"/>
      <c r="T430" s="219"/>
      <c r="U430" s="30"/>
      <c r="V430" s="31"/>
      <c r="W430" s="30"/>
      <c r="X430" s="220"/>
      <c r="Y430" s="139"/>
      <c r="Z430" s="9"/>
      <c r="AA430" s="9"/>
      <c r="AB430" s="32"/>
    </row>
    <row r="431" spans="1:28">
      <c r="A431"/>
      <c r="C431" s="216"/>
      <c r="D431" s="29"/>
      <c r="E431" s="32"/>
      <c r="F431" s="32"/>
      <c r="G431" s="32"/>
      <c r="H431" s="9"/>
      <c r="I431" s="9"/>
      <c r="K431" s="270"/>
      <c r="L431" s="270"/>
      <c r="M431" s="268"/>
      <c r="N431" s="222"/>
      <c r="O431" s="269"/>
      <c r="P431" s="223"/>
      <c r="Q431" s="283"/>
      <c r="R431" s="283"/>
      <c r="S431" s="218"/>
      <c r="T431" s="219"/>
      <c r="U431" s="30"/>
      <c r="V431" s="31"/>
      <c r="W431" s="30"/>
      <c r="X431" s="220"/>
      <c r="Y431" s="139"/>
      <c r="Z431" s="9"/>
      <c r="AA431" s="9"/>
    </row>
    <row r="432" spans="1:28">
      <c r="A432"/>
      <c r="B432" s="221"/>
      <c r="C432" s="216"/>
      <c r="D432" s="29"/>
      <c r="E432" s="32"/>
      <c r="F432" s="32"/>
      <c r="G432" s="32"/>
      <c r="H432" s="9"/>
      <c r="I432" s="9"/>
      <c r="K432" s="270"/>
      <c r="L432" s="270"/>
      <c r="M432" s="268"/>
      <c r="N432" s="222"/>
      <c r="O432" s="269"/>
      <c r="P432" s="223"/>
      <c r="Q432" s="283"/>
      <c r="R432" s="283"/>
      <c r="S432" s="218"/>
      <c r="T432" s="219"/>
      <c r="U432" s="30"/>
      <c r="V432" s="31"/>
      <c r="W432" s="30"/>
      <c r="X432" s="220"/>
      <c r="Y432" s="139"/>
      <c r="Z432" s="9"/>
      <c r="AA432" s="9"/>
    </row>
    <row r="433" spans="1:28">
      <c r="A433"/>
      <c r="B433" s="221"/>
      <c r="C433" s="216"/>
      <c r="D433" s="29"/>
      <c r="E433" s="32"/>
      <c r="F433" s="32"/>
      <c r="G433" s="32"/>
      <c r="H433" s="9"/>
      <c r="I433" s="9"/>
      <c r="K433" s="270"/>
      <c r="L433" s="270"/>
      <c r="M433" s="268"/>
      <c r="N433" s="222"/>
      <c r="O433" s="269"/>
      <c r="P433" s="223"/>
      <c r="Q433" s="283"/>
      <c r="R433" s="283"/>
      <c r="S433" s="218"/>
      <c r="T433" s="219"/>
      <c r="U433" s="30"/>
      <c r="V433" s="31"/>
      <c r="W433" s="30"/>
      <c r="X433" s="220"/>
      <c r="Y433" s="139"/>
      <c r="Z433" s="9"/>
      <c r="AA433" s="9"/>
    </row>
    <row r="434" spans="1:28">
      <c r="A434"/>
      <c r="B434" s="215"/>
      <c r="C434" s="216"/>
      <c r="D434" s="29"/>
      <c r="E434" s="32"/>
      <c r="F434" s="32"/>
      <c r="G434" s="32"/>
      <c r="H434" s="9"/>
      <c r="I434" s="9"/>
      <c r="K434" s="270"/>
      <c r="L434" s="270"/>
      <c r="M434" s="268"/>
      <c r="N434" s="222"/>
      <c r="O434" s="269"/>
      <c r="P434" s="223"/>
      <c r="Q434" s="283"/>
      <c r="R434" s="283"/>
      <c r="S434" s="218"/>
      <c r="T434" s="219"/>
      <c r="U434" s="30"/>
      <c r="V434" s="31"/>
      <c r="W434" s="30"/>
      <c r="X434" s="220"/>
      <c r="Y434" s="139"/>
      <c r="Z434" s="9"/>
      <c r="AA434" s="9"/>
      <c r="AB434" s="32"/>
    </row>
    <row r="435" spans="1:28">
      <c r="A435"/>
      <c r="B435" s="221"/>
      <c r="C435" s="216"/>
      <c r="D435" s="29"/>
      <c r="E435" s="32"/>
      <c r="F435" s="32"/>
      <c r="G435" s="32"/>
      <c r="H435" s="9"/>
      <c r="I435" s="9"/>
      <c r="K435" s="270"/>
      <c r="L435" s="270"/>
      <c r="M435" s="268"/>
      <c r="N435" s="222"/>
      <c r="O435" s="269"/>
      <c r="P435" s="223"/>
      <c r="Q435" s="274"/>
      <c r="R435" s="274"/>
      <c r="S435" s="218"/>
      <c r="T435" s="219"/>
      <c r="U435" s="30"/>
      <c r="V435" s="31"/>
      <c r="W435" s="30"/>
      <c r="X435" s="220"/>
      <c r="Y435" s="139"/>
      <c r="Z435" s="9"/>
      <c r="AA435" s="9"/>
    </row>
    <row r="436" spans="1:28">
      <c r="A436"/>
      <c r="C436" s="216"/>
      <c r="D436" s="29"/>
      <c r="E436" s="32"/>
      <c r="F436" s="32"/>
      <c r="G436" s="32"/>
      <c r="H436" s="9"/>
      <c r="I436" s="9"/>
      <c r="K436" s="270"/>
      <c r="L436" s="270"/>
      <c r="M436" s="268"/>
      <c r="N436" s="222"/>
      <c r="O436" s="269"/>
      <c r="P436" s="223"/>
      <c r="Q436" s="283"/>
      <c r="R436" s="283"/>
      <c r="S436" s="218"/>
      <c r="T436" s="219"/>
      <c r="U436" s="30"/>
      <c r="V436" s="31"/>
      <c r="W436" s="30"/>
      <c r="X436" s="220"/>
      <c r="Y436" s="139"/>
      <c r="Z436" s="9"/>
      <c r="AA436" s="9"/>
    </row>
    <row r="437" spans="1:28">
      <c r="A437"/>
      <c r="B437" s="221"/>
      <c r="C437" s="216"/>
      <c r="D437" s="29"/>
      <c r="E437" s="32"/>
      <c r="F437" s="32"/>
      <c r="G437" s="32"/>
      <c r="H437" s="9"/>
      <c r="I437" s="9"/>
      <c r="K437" s="270"/>
      <c r="L437" s="270"/>
      <c r="M437" s="268"/>
      <c r="N437" s="222"/>
      <c r="O437" s="269"/>
      <c r="P437" s="223"/>
      <c r="Q437" s="283"/>
      <c r="R437" s="283"/>
      <c r="S437" s="218"/>
      <c r="T437" s="219"/>
      <c r="U437" s="30"/>
      <c r="V437" s="31"/>
      <c r="W437" s="30"/>
      <c r="X437" s="220"/>
      <c r="Y437" s="139"/>
      <c r="Z437" s="9"/>
      <c r="AA437" s="9"/>
    </row>
    <row r="438" spans="1:28">
      <c r="A438"/>
      <c r="B438" s="215"/>
      <c r="C438" s="216"/>
      <c r="D438" s="29"/>
      <c r="E438" s="32"/>
      <c r="F438" s="32"/>
      <c r="G438" s="32"/>
      <c r="H438" s="9"/>
      <c r="I438" s="9"/>
      <c r="K438" s="270"/>
      <c r="L438" s="270"/>
      <c r="M438" s="268"/>
      <c r="N438" s="222"/>
      <c r="O438" s="269"/>
      <c r="P438" s="223"/>
      <c r="Q438" s="283"/>
      <c r="R438" s="283"/>
      <c r="S438" s="218"/>
      <c r="T438" s="219"/>
      <c r="U438" s="30"/>
      <c r="V438" s="31"/>
      <c r="W438" s="30"/>
      <c r="X438" s="220"/>
      <c r="Y438" s="139"/>
      <c r="Z438" s="9"/>
      <c r="AA438" s="9"/>
      <c r="AB438" s="32"/>
    </row>
    <row r="439" spans="1:28">
      <c r="A439"/>
      <c r="B439" s="221"/>
      <c r="C439" s="216"/>
      <c r="D439" s="29"/>
      <c r="E439" s="32"/>
      <c r="F439" s="32"/>
      <c r="G439" s="32"/>
      <c r="H439" s="9"/>
      <c r="I439" s="9"/>
      <c r="K439" s="270"/>
      <c r="L439" s="270"/>
      <c r="M439" s="268"/>
      <c r="N439" s="222"/>
      <c r="O439" s="269"/>
      <c r="P439" s="223"/>
      <c r="Q439" s="283"/>
      <c r="R439" s="283"/>
      <c r="S439" s="218"/>
      <c r="T439" s="219"/>
      <c r="U439" s="30"/>
      <c r="V439" s="31"/>
      <c r="W439" s="30"/>
      <c r="X439" s="220"/>
      <c r="Y439" s="139"/>
      <c r="Z439" s="9"/>
      <c r="AA439" s="9"/>
    </row>
    <row r="440" spans="1:28">
      <c r="A440"/>
      <c r="C440" s="216"/>
      <c r="D440" s="29"/>
      <c r="E440" s="32"/>
      <c r="F440" s="32"/>
      <c r="G440" s="32"/>
      <c r="H440" s="9"/>
      <c r="I440" s="9"/>
      <c r="K440" s="270"/>
      <c r="L440" s="270"/>
      <c r="M440" s="268"/>
      <c r="N440" s="222"/>
      <c r="O440" s="269"/>
      <c r="P440" s="223"/>
      <c r="Q440" s="283"/>
      <c r="R440" s="283"/>
      <c r="S440" s="218"/>
      <c r="T440" s="219"/>
      <c r="U440" s="30"/>
      <c r="V440" s="31"/>
      <c r="W440" s="30"/>
      <c r="X440" s="220"/>
      <c r="Y440" s="139"/>
      <c r="Z440" s="9"/>
      <c r="AA440" s="9"/>
    </row>
    <row r="441" spans="1:28">
      <c r="A441"/>
      <c r="C441" s="216"/>
      <c r="D441" s="29"/>
      <c r="E441" s="32"/>
      <c r="F441" s="32"/>
      <c r="G441" s="32"/>
      <c r="H441" s="9"/>
      <c r="I441" s="9"/>
      <c r="K441" s="270"/>
      <c r="L441" s="270"/>
      <c r="M441" s="268"/>
      <c r="N441" s="222"/>
      <c r="O441" s="269"/>
      <c r="P441" s="223"/>
      <c r="Q441" s="283"/>
      <c r="R441" s="283"/>
      <c r="S441" s="218"/>
      <c r="T441" s="219"/>
      <c r="U441" s="30"/>
      <c r="V441" s="31"/>
      <c r="W441" s="30"/>
      <c r="X441" s="220"/>
      <c r="Y441" s="139"/>
      <c r="Z441" s="9"/>
      <c r="AA441" s="9"/>
    </row>
    <row r="442" spans="1:28">
      <c r="A442"/>
      <c r="B442" s="221"/>
      <c r="C442" s="216"/>
      <c r="D442" s="29"/>
      <c r="E442" s="32"/>
      <c r="F442" s="32"/>
      <c r="G442" s="32"/>
      <c r="H442" s="9"/>
      <c r="I442" s="9"/>
      <c r="K442" s="270"/>
      <c r="L442" s="270"/>
      <c r="M442" s="268"/>
      <c r="N442" s="222"/>
      <c r="O442" s="269"/>
      <c r="P442" s="223"/>
      <c r="Q442" s="283"/>
      <c r="R442" s="283"/>
      <c r="S442" s="218"/>
      <c r="T442" s="219"/>
      <c r="U442" s="30"/>
      <c r="V442" s="31"/>
      <c r="W442" s="30"/>
      <c r="X442" s="220"/>
      <c r="Y442" s="139"/>
      <c r="Z442" s="9"/>
      <c r="AA442" s="9"/>
    </row>
    <row r="443" spans="1:28">
      <c r="A443"/>
      <c r="C443" s="216"/>
      <c r="D443" s="29"/>
      <c r="E443" s="32"/>
      <c r="F443" s="32"/>
      <c r="G443" s="32"/>
      <c r="H443" s="9"/>
      <c r="I443" s="9"/>
      <c r="K443" s="270"/>
      <c r="L443" s="270"/>
      <c r="M443" s="268"/>
      <c r="N443" s="222"/>
      <c r="O443" s="269"/>
      <c r="P443" s="223"/>
      <c r="Q443" s="283"/>
      <c r="R443" s="283"/>
      <c r="S443" s="218"/>
      <c r="T443" s="219"/>
      <c r="U443" s="30"/>
      <c r="V443" s="31"/>
      <c r="W443" s="30"/>
      <c r="X443" s="220"/>
      <c r="Y443" s="139"/>
      <c r="Z443" s="9"/>
      <c r="AA443" s="9"/>
    </row>
    <row r="444" spans="1:28">
      <c r="A444"/>
      <c r="C444" s="216"/>
      <c r="D444" s="29"/>
      <c r="E444" s="32"/>
      <c r="F444" s="32"/>
      <c r="G444" s="32"/>
      <c r="H444" s="9"/>
      <c r="I444" s="9"/>
      <c r="K444" s="270"/>
      <c r="L444" s="270"/>
      <c r="M444" s="268"/>
      <c r="N444" s="222"/>
      <c r="O444" s="269"/>
      <c r="P444" s="223"/>
      <c r="Q444" s="274"/>
      <c r="R444" s="274"/>
      <c r="S444" s="218"/>
      <c r="T444" s="219"/>
      <c r="U444" s="30"/>
      <c r="V444" s="31"/>
      <c r="W444" s="30"/>
      <c r="X444" s="220"/>
      <c r="Y444" s="139"/>
      <c r="Z444" s="9"/>
      <c r="AA444" s="9"/>
    </row>
    <row r="445" spans="1:28">
      <c r="A445"/>
      <c r="B445" s="221"/>
      <c r="C445" s="216"/>
      <c r="D445" s="29"/>
      <c r="E445" s="32"/>
      <c r="F445" s="32"/>
      <c r="G445" s="32"/>
      <c r="H445" s="9"/>
      <c r="I445" s="9"/>
      <c r="K445" s="270"/>
      <c r="L445" s="270"/>
      <c r="M445" s="268"/>
      <c r="N445" s="222"/>
      <c r="O445" s="269"/>
      <c r="P445" s="223"/>
      <c r="Q445" s="283"/>
      <c r="R445" s="283"/>
      <c r="S445" s="218"/>
      <c r="T445" s="219"/>
      <c r="U445" s="30"/>
      <c r="V445" s="31"/>
      <c r="W445" s="30"/>
      <c r="X445" s="220"/>
      <c r="Y445" s="139"/>
      <c r="Z445" s="9"/>
      <c r="AA445" s="9"/>
    </row>
    <row r="446" spans="1:28">
      <c r="A446"/>
      <c r="B446" s="221"/>
      <c r="C446" s="216"/>
      <c r="D446" s="29"/>
      <c r="E446" s="32"/>
      <c r="F446" s="32"/>
      <c r="G446" s="32"/>
      <c r="H446" s="9"/>
      <c r="I446" s="9"/>
      <c r="K446" s="270"/>
      <c r="L446" s="270"/>
      <c r="M446" s="268"/>
      <c r="N446" s="222"/>
      <c r="O446" s="269"/>
      <c r="P446" s="223"/>
      <c r="Q446" s="283"/>
      <c r="R446" s="283"/>
      <c r="S446" s="218"/>
      <c r="T446" s="219"/>
      <c r="U446" s="30"/>
      <c r="V446" s="31"/>
      <c r="W446" s="30"/>
      <c r="X446" s="220"/>
      <c r="Y446" s="139"/>
      <c r="Z446" s="9"/>
      <c r="AA446" s="9"/>
    </row>
    <row r="447" spans="1:28">
      <c r="A447"/>
      <c r="C447" s="216"/>
      <c r="D447" s="29"/>
      <c r="E447" s="32"/>
      <c r="F447" s="32"/>
      <c r="G447" s="32"/>
      <c r="H447" s="9"/>
      <c r="I447" s="9"/>
      <c r="K447" s="270"/>
      <c r="L447" s="270"/>
      <c r="M447" s="268"/>
      <c r="N447" s="222"/>
      <c r="O447" s="269"/>
      <c r="P447" s="223"/>
      <c r="Q447" s="283"/>
      <c r="R447" s="283"/>
      <c r="S447" s="218"/>
      <c r="T447" s="219"/>
      <c r="U447" s="30"/>
      <c r="V447" s="31"/>
      <c r="W447" s="30"/>
      <c r="X447" s="220"/>
      <c r="Y447" s="139"/>
      <c r="Z447" s="9"/>
      <c r="AA447" s="9"/>
    </row>
    <row r="448" spans="1:28">
      <c r="A448"/>
      <c r="B448" s="215"/>
      <c r="C448" s="216"/>
      <c r="D448" s="29"/>
      <c r="E448" s="32"/>
      <c r="F448" s="32"/>
      <c r="G448" s="32"/>
      <c r="H448" s="9"/>
      <c r="I448" s="9"/>
      <c r="K448" s="270"/>
      <c r="L448" s="270"/>
      <c r="M448" s="268"/>
      <c r="N448" s="222"/>
      <c r="O448" s="269"/>
      <c r="P448" s="223"/>
      <c r="Q448" s="283"/>
      <c r="R448" s="283"/>
      <c r="S448" s="218"/>
      <c r="T448" s="219"/>
      <c r="U448" s="30"/>
      <c r="V448" s="31"/>
      <c r="W448" s="30"/>
      <c r="X448" s="220"/>
      <c r="Y448" s="139"/>
      <c r="Z448" s="9"/>
      <c r="AA448" s="9"/>
      <c r="AB448" s="32"/>
    </row>
    <row r="449" spans="1:28">
      <c r="A449"/>
      <c r="B449" s="221"/>
      <c r="C449" s="216"/>
      <c r="D449" s="29"/>
      <c r="E449" s="32"/>
      <c r="F449" s="32"/>
      <c r="G449" s="32"/>
      <c r="H449" s="9"/>
      <c r="I449" s="9"/>
      <c r="K449" s="270"/>
      <c r="L449" s="270"/>
      <c r="M449" s="268"/>
      <c r="N449" s="222"/>
      <c r="O449" s="269"/>
      <c r="P449" s="223"/>
      <c r="Q449" s="283"/>
      <c r="R449" s="283"/>
      <c r="S449" s="218"/>
      <c r="T449" s="219"/>
      <c r="U449" s="30"/>
      <c r="V449" s="31"/>
      <c r="W449" s="30"/>
      <c r="X449" s="220"/>
      <c r="Y449" s="139"/>
      <c r="Z449" s="9"/>
      <c r="AA449" s="9"/>
    </row>
    <row r="450" spans="1:28">
      <c r="A450"/>
      <c r="B450" s="221"/>
      <c r="C450" s="216"/>
      <c r="D450" s="29"/>
      <c r="E450" s="32"/>
      <c r="F450" s="32"/>
      <c r="G450" s="32"/>
      <c r="H450" s="9"/>
      <c r="I450" s="9"/>
      <c r="K450" s="270"/>
      <c r="L450" s="270"/>
      <c r="M450" s="268"/>
      <c r="N450" s="222"/>
      <c r="O450" s="269"/>
      <c r="P450" s="223"/>
      <c r="Q450" s="283"/>
      <c r="R450" s="283"/>
      <c r="S450" s="218"/>
      <c r="T450" s="219"/>
      <c r="U450" s="30"/>
      <c r="V450" s="31"/>
      <c r="W450" s="30"/>
      <c r="X450" s="220"/>
      <c r="Y450" s="139"/>
      <c r="Z450" s="9"/>
      <c r="AA450" s="9"/>
    </row>
    <row r="451" spans="1:28">
      <c r="A451"/>
      <c r="B451" s="221"/>
      <c r="C451" s="216"/>
      <c r="D451" s="29"/>
      <c r="E451" s="32"/>
      <c r="F451" s="32"/>
      <c r="G451" s="32"/>
      <c r="H451" s="9"/>
      <c r="I451" s="9"/>
      <c r="K451" s="270"/>
      <c r="L451" s="270"/>
      <c r="M451" s="268"/>
      <c r="N451" s="222"/>
      <c r="O451" s="269"/>
      <c r="P451" s="223"/>
      <c r="Q451" s="274"/>
      <c r="R451" s="274"/>
      <c r="S451" s="218"/>
      <c r="T451" s="219"/>
      <c r="U451" s="30"/>
      <c r="V451" s="31"/>
      <c r="W451" s="30"/>
      <c r="X451" s="220"/>
      <c r="Y451" s="139"/>
      <c r="Z451" s="9"/>
      <c r="AA451" s="9"/>
    </row>
    <row r="452" spans="1:28">
      <c r="A452"/>
      <c r="B452" s="221"/>
      <c r="C452" s="216"/>
      <c r="D452" s="29"/>
      <c r="E452" s="32"/>
      <c r="F452" s="32"/>
      <c r="G452" s="32"/>
      <c r="H452" s="9"/>
      <c r="I452" s="9"/>
      <c r="K452" s="270"/>
      <c r="L452" s="270"/>
      <c r="M452" s="268"/>
      <c r="N452" s="222"/>
      <c r="O452" s="269"/>
      <c r="P452" s="223"/>
      <c r="Q452" s="283"/>
      <c r="R452" s="283"/>
      <c r="S452" s="218"/>
      <c r="T452" s="219"/>
      <c r="U452" s="30"/>
      <c r="V452" s="31"/>
      <c r="W452" s="30"/>
      <c r="X452" s="220"/>
      <c r="Y452" s="139"/>
      <c r="Z452" s="9"/>
      <c r="AA452" s="9"/>
    </row>
    <row r="453" spans="1:28">
      <c r="A453"/>
      <c r="B453" s="221"/>
      <c r="C453" s="216"/>
      <c r="D453" s="29"/>
      <c r="E453" s="32"/>
      <c r="F453" s="32"/>
      <c r="G453" s="32"/>
      <c r="H453" s="9"/>
      <c r="I453" s="9"/>
      <c r="K453" s="270"/>
      <c r="L453" s="270"/>
      <c r="M453" s="268"/>
      <c r="N453" s="222"/>
      <c r="O453" s="269"/>
      <c r="P453" s="223"/>
      <c r="Q453" s="283"/>
      <c r="R453" s="283"/>
      <c r="S453" s="218"/>
      <c r="T453" s="219"/>
      <c r="U453" s="30"/>
      <c r="V453" s="31"/>
      <c r="W453" s="30"/>
      <c r="X453" s="220"/>
      <c r="Y453" s="139"/>
      <c r="Z453" s="9"/>
      <c r="AA453" s="9"/>
    </row>
    <row r="454" spans="1:28">
      <c r="A454"/>
      <c r="B454" s="215"/>
      <c r="C454" s="216"/>
      <c r="D454" s="29"/>
      <c r="E454" s="32"/>
      <c r="F454" s="32"/>
      <c r="G454" s="32"/>
      <c r="H454" s="9"/>
      <c r="I454" s="9"/>
      <c r="K454" s="270"/>
      <c r="L454" s="270"/>
      <c r="M454" s="268"/>
      <c r="N454" s="222"/>
      <c r="O454" s="269"/>
      <c r="P454" s="223"/>
      <c r="Q454" s="283"/>
      <c r="R454" s="283"/>
      <c r="S454" s="218"/>
      <c r="T454" s="219"/>
      <c r="U454" s="30"/>
      <c r="V454" s="31"/>
      <c r="W454" s="30"/>
      <c r="X454" s="220"/>
      <c r="Y454" s="139"/>
      <c r="Z454" s="9"/>
      <c r="AA454" s="9"/>
      <c r="AB454" s="32"/>
    </row>
    <row r="455" spans="1:28">
      <c r="A455"/>
      <c r="B455" s="221"/>
      <c r="C455" s="216"/>
      <c r="D455" s="29"/>
      <c r="E455" s="32"/>
      <c r="F455" s="32"/>
      <c r="G455" s="32"/>
      <c r="H455" s="9"/>
      <c r="I455" s="9"/>
      <c r="K455" s="270"/>
      <c r="L455" s="270"/>
      <c r="M455" s="268"/>
      <c r="N455" s="222"/>
      <c r="O455" s="269"/>
      <c r="P455" s="223"/>
      <c r="Q455" s="274"/>
      <c r="R455" s="274"/>
      <c r="S455" s="218"/>
      <c r="T455" s="219"/>
      <c r="U455" s="30"/>
      <c r="V455" s="31"/>
      <c r="W455" s="30"/>
      <c r="X455" s="220"/>
      <c r="Y455" s="139"/>
      <c r="Z455" s="9"/>
      <c r="AA455" s="9"/>
    </row>
    <row r="456" spans="1:28">
      <c r="A456"/>
      <c r="B456" s="221"/>
      <c r="C456" s="216"/>
      <c r="D456" s="29"/>
      <c r="E456" s="32"/>
      <c r="F456" s="32"/>
      <c r="G456" s="32"/>
      <c r="H456" s="9"/>
      <c r="I456" s="9"/>
      <c r="K456" s="270"/>
      <c r="L456" s="270"/>
      <c r="M456" s="268"/>
      <c r="N456" s="222"/>
      <c r="O456" s="269"/>
      <c r="P456" s="223"/>
      <c r="Q456" s="283"/>
      <c r="R456" s="283"/>
      <c r="S456" s="218"/>
      <c r="T456" s="219"/>
      <c r="U456" s="30"/>
      <c r="V456" s="31"/>
      <c r="W456" s="30"/>
      <c r="X456" s="220"/>
      <c r="Y456" s="139"/>
      <c r="Z456" s="9"/>
      <c r="AA456" s="9"/>
    </row>
    <row r="457" spans="1:28">
      <c r="A457"/>
      <c r="B457" s="221"/>
      <c r="C457" s="216"/>
      <c r="D457" s="29"/>
      <c r="E457" s="32"/>
      <c r="F457" s="32"/>
      <c r="G457" s="32"/>
      <c r="H457" s="9"/>
      <c r="I457" s="9"/>
      <c r="K457" s="3"/>
      <c r="L457" s="3"/>
      <c r="M457" s="268"/>
      <c r="N457" s="222"/>
      <c r="O457" s="269"/>
      <c r="P457" s="223"/>
      <c r="Q457" s="283"/>
      <c r="R457" s="283"/>
      <c r="S457" s="218"/>
      <c r="T457" s="219"/>
      <c r="U457" s="30"/>
      <c r="V457" s="31"/>
      <c r="W457" s="30"/>
      <c r="X457" s="220"/>
      <c r="Y457" s="139"/>
      <c r="Z457" s="9"/>
      <c r="AA457" s="9"/>
    </row>
    <row r="458" spans="1:28">
      <c r="A458"/>
      <c r="C458" s="216"/>
      <c r="D458" s="29"/>
      <c r="E458" s="32"/>
      <c r="F458" s="32"/>
      <c r="G458" s="32"/>
      <c r="H458" s="9"/>
      <c r="I458" s="9"/>
      <c r="K458" s="270"/>
      <c r="L458" s="270"/>
      <c r="M458" s="268"/>
      <c r="N458" s="222"/>
      <c r="O458" s="269"/>
      <c r="P458" s="223"/>
      <c r="Q458" s="274"/>
      <c r="R458" s="274"/>
      <c r="S458" s="218"/>
      <c r="T458" s="219"/>
      <c r="U458" s="30"/>
      <c r="V458" s="31"/>
      <c r="W458" s="30"/>
      <c r="X458" s="220"/>
      <c r="Y458" s="139"/>
      <c r="Z458" s="9"/>
      <c r="AA458" s="9"/>
    </row>
    <row r="459" spans="1:28">
      <c r="A459"/>
      <c r="B459" s="221"/>
      <c r="C459" s="216"/>
      <c r="D459" s="29"/>
      <c r="E459" s="32"/>
      <c r="F459" s="32"/>
      <c r="G459" s="32"/>
      <c r="H459" s="9"/>
      <c r="I459" s="9"/>
      <c r="K459" s="3"/>
      <c r="L459" s="3"/>
      <c r="M459" s="268"/>
      <c r="N459" s="222"/>
      <c r="O459" s="269"/>
      <c r="P459" s="223"/>
      <c r="Q459" s="274"/>
      <c r="R459" s="274"/>
      <c r="S459" s="218"/>
      <c r="T459" s="219"/>
      <c r="U459" s="30"/>
      <c r="V459" s="31"/>
      <c r="W459" s="30"/>
      <c r="X459" s="220"/>
      <c r="Y459" s="139"/>
      <c r="Z459" s="9"/>
      <c r="AA459" s="9"/>
    </row>
    <row r="460" spans="1:28">
      <c r="A460"/>
      <c r="B460" s="221"/>
      <c r="C460" s="216"/>
      <c r="D460" s="29"/>
      <c r="E460" s="32"/>
      <c r="F460" s="32"/>
      <c r="G460" s="32"/>
      <c r="H460" s="9"/>
      <c r="I460" s="9"/>
      <c r="K460" s="270"/>
      <c r="L460" s="270"/>
      <c r="M460" s="268"/>
      <c r="N460" s="222"/>
      <c r="O460" s="269"/>
      <c r="P460" s="223"/>
      <c r="Q460" s="283"/>
      <c r="R460" s="283"/>
      <c r="S460" s="218"/>
      <c r="T460" s="219"/>
      <c r="U460" s="30"/>
      <c r="V460" s="31"/>
      <c r="W460" s="30"/>
      <c r="X460" s="220"/>
      <c r="Y460" s="139"/>
      <c r="Z460" s="9"/>
      <c r="AA460" s="9"/>
    </row>
    <row r="461" spans="1:28">
      <c r="A461"/>
      <c r="B461" s="215"/>
      <c r="C461" s="216"/>
      <c r="D461" s="29"/>
      <c r="E461" s="32"/>
      <c r="F461" s="32"/>
      <c r="G461" s="32"/>
      <c r="H461" s="9"/>
      <c r="I461" s="9"/>
      <c r="K461" s="270"/>
      <c r="L461" s="270"/>
      <c r="M461" s="268"/>
      <c r="N461" s="222"/>
      <c r="O461" s="269"/>
      <c r="P461" s="223"/>
      <c r="Q461" s="283"/>
      <c r="R461" s="283"/>
      <c r="S461" s="218"/>
      <c r="T461" s="219"/>
      <c r="U461" s="30"/>
      <c r="V461" s="31"/>
      <c r="W461" s="30"/>
      <c r="X461" s="220"/>
      <c r="Y461" s="139"/>
      <c r="Z461" s="9"/>
      <c r="AA461" s="9"/>
      <c r="AB461" s="32"/>
    </row>
    <row r="462" spans="1:28">
      <c r="A462"/>
      <c r="B462" s="215"/>
      <c r="C462" s="216"/>
      <c r="D462" s="29"/>
      <c r="E462" s="32"/>
      <c r="F462" s="32"/>
      <c r="G462" s="32"/>
      <c r="H462" s="9"/>
      <c r="I462" s="9"/>
      <c r="K462" s="270"/>
      <c r="L462" s="270"/>
      <c r="M462" s="268"/>
      <c r="N462" s="222"/>
      <c r="O462" s="269"/>
      <c r="P462" s="223"/>
      <c r="Q462" s="283"/>
      <c r="R462" s="283"/>
      <c r="S462" s="218"/>
      <c r="T462" s="219"/>
      <c r="U462" s="30"/>
      <c r="V462" s="31"/>
      <c r="W462" s="30"/>
      <c r="X462" s="220"/>
      <c r="Y462" s="139"/>
      <c r="Z462" s="9"/>
      <c r="AA462" s="9"/>
      <c r="AB462" s="32"/>
    </row>
    <row r="463" spans="1:28">
      <c r="A463"/>
      <c r="B463" s="221"/>
      <c r="C463" s="216"/>
      <c r="D463" s="29"/>
      <c r="E463" s="32"/>
      <c r="F463" s="32"/>
      <c r="G463" s="32"/>
      <c r="H463" s="9"/>
      <c r="I463" s="9"/>
      <c r="K463" s="270"/>
      <c r="L463" s="270"/>
      <c r="M463" s="268"/>
      <c r="N463" s="222"/>
      <c r="O463" s="269"/>
      <c r="P463" s="223"/>
      <c r="Q463" s="283"/>
      <c r="R463" s="283"/>
      <c r="S463" s="218"/>
      <c r="T463" s="219"/>
      <c r="U463" s="30"/>
      <c r="V463" s="31"/>
      <c r="W463" s="30"/>
      <c r="X463" s="220"/>
      <c r="Y463" s="139"/>
      <c r="Z463" s="9"/>
      <c r="AA463" s="9"/>
    </row>
    <row r="464" spans="1:28">
      <c r="A464"/>
      <c r="B464" s="221"/>
      <c r="C464" s="216"/>
      <c r="D464" s="29"/>
      <c r="E464" s="32"/>
      <c r="F464" s="32"/>
      <c r="G464" s="32"/>
      <c r="H464" s="9"/>
      <c r="I464" s="9"/>
      <c r="K464" s="270"/>
      <c r="L464" s="270"/>
      <c r="M464" s="268"/>
      <c r="N464" s="222"/>
      <c r="O464" s="269"/>
      <c r="P464" s="223"/>
      <c r="Q464" s="283"/>
      <c r="R464" s="283"/>
      <c r="S464" s="218"/>
      <c r="T464" s="219"/>
      <c r="U464" s="30"/>
      <c r="V464" s="31"/>
      <c r="W464" s="30"/>
      <c r="X464" s="220"/>
      <c r="Y464" s="139"/>
      <c r="Z464" s="9"/>
      <c r="AA464" s="9"/>
    </row>
    <row r="465" spans="1:28">
      <c r="A465"/>
      <c r="B465" s="221"/>
      <c r="C465" s="216"/>
      <c r="D465" s="29"/>
      <c r="E465" s="32"/>
      <c r="F465" s="32"/>
      <c r="G465" s="32"/>
      <c r="H465" s="9"/>
      <c r="I465" s="9"/>
      <c r="K465" s="3"/>
      <c r="L465" s="3"/>
      <c r="M465" s="268"/>
      <c r="N465" s="222"/>
      <c r="O465" s="269"/>
      <c r="P465" s="223"/>
      <c r="Q465" s="274"/>
      <c r="R465" s="274"/>
      <c r="S465" s="218"/>
      <c r="T465" s="219"/>
      <c r="U465" s="30"/>
      <c r="V465" s="31"/>
      <c r="W465" s="30"/>
      <c r="X465" s="220"/>
      <c r="Y465" s="139"/>
      <c r="Z465" s="9"/>
      <c r="AA465" s="9"/>
    </row>
    <row r="466" spans="1:28">
      <c r="A466"/>
      <c r="B466" s="221"/>
      <c r="C466" s="216"/>
      <c r="D466" s="29"/>
      <c r="E466" s="32"/>
      <c r="F466" s="32"/>
      <c r="G466" s="32"/>
      <c r="H466" s="9"/>
      <c r="I466" s="9"/>
      <c r="K466" s="270"/>
      <c r="L466" s="270"/>
      <c r="M466" s="268"/>
      <c r="N466" s="222"/>
      <c r="O466" s="269"/>
      <c r="P466" s="223"/>
      <c r="Q466" s="283"/>
      <c r="R466" s="283"/>
      <c r="S466" s="218"/>
      <c r="T466" s="219"/>
      <c r="U466" s="30"/>
      <c r="V466" s="31"/>
      <c r="W466" s="30"/>
      <c r="X466" s="220"/>
      <c r="Y466" s="139"/>
      <c r="Z466" s="9"/>
      <c r="AA466" s="9"/>
    </row>
    <row r="467" spans="1:28">
      <c r="A467"/>
      <c r="B467" s="215"/>
      <c r="C467" s="216"/>
      <c r="D467" s="29"/>
      <c r="E467" s="32"/>
      <c r="F467" s="32"/>
      <c r="G467" s="32"/>
      <c r="H467" s="9"/>
      <c r="I467" s="9"/>
      <c r="K467" s="270"/>
      <c r="L467" s="270"/>
      <c r="M467" s="268"/>
      <c r="N467" s="222"/>
      <c r="O467" s="269"/>
      <c r="P467" s="223"/>
      <c r="Q467" s="283"/>
      <c r="R467" s="283"/>
      <c r="S467" s="218"/>
      <c r="T467" s="219"/>
      <c r="U467" s="30"/>
      <c r="V467" s="31"/>
      <c r="W467" s="30"/>
      <c r="X467" s="220"/>
      <c r="Y467" s="139"/>
      <c r="Z467" s="9"/>
      <c r="AA467" s="9"/>
      <c r="AB467" s="32"/>
    </row>
    <row r="468" spans="1:28">
      <c r="A468"/>
      <c r="B468" s="221"/>
      <c r="C468" s="216"/>
      <c r="D468" s="29"/>
      <c r="E468" s="32"/>
      <c r="F468" s="32"/>
      <c r="G468" s="32"/>
      <c r="H468" s="9"/>
      <c r="I468" s="9"/>
      <c r="K468" s="270"/>
      <c r="L468" s="270"/>
      <c r="M468" s="268"/>
      <c r="N468" s="222"/>
      <c r="O468" s="269"/>
      <c r="P468" s="223"/>
      <c r="Q468" s="283"/>
      <c r="R468" s="283"/>
      <c r="S468" s="218"/>
      <c r="T468" s="219"/>
      <c r="U468" s="30"/>
      <c r="V468" s="31"/>
      <c r="W468" s="30"/>
      <c r="X468" s="220"/>
      <c r="Y468" s="139"/>
      <c r="Z468" s="9"/>
      <c r="AA468" s="9"/>
      <c r="AB468" s="32"/>
    </row>
    <row r="469" spans="1:28">
      <c r="A469"/>
      <c r="B469" s="221"/>
      <c r="C469" s="216"/>
      <c r="D469" s="29"/>
      <c r="E469" s="32"/>
      <c r="F469" s="32"/>
      <c r="G469" s="32"/>
      <c r="H469" s="9"/>
      <c r="I469" s="9"/>
      <c r="K469" s="270"/>
      <c r="L469" s="270"/>
      <c r="M469" s="268"/>
      <c r="N469" s="222"/>
      <c r="O469" s="269"/>
      <c r="P469" s="223"/>
      <c r="Q469" s="283"/>
      <c r="R469" s="283"/>
      <c r="S469" s="218"/>
      <c r="T469" s="219"/>
      <c r="U469" s="30"/>
      <c r="V469" s="31"/>
      <c r="W469" s="30"/>
      <c r="X469" s="220"/>
      <c r="Y469" s="139"/>
      <c r="Z469" s="9"/>
      <c r="AA469" s="9"/>
    </row>
    <row r="470" spans="1:28">
      <c r="A470"/>
      <c r="C470" s="216"/>
      <c r="D470" s="29"/>
      <c r="E470" s="32"/>
      <c r="F470" s="32"/>
      <c r="G470" s="32"/>
      <c r="H470" s="9"/>
      <c r="I470" s="9"/>
      <c r="K470" s="270"/>
      <c r="L470" s="270"/>
      <c r="M470" s="268"/>
      <c r="N470" s="222"/>
      <c r="O470" s="269"/>
      <c r="P470" s="223"/>
      <c r="Q470" s="283"/>
      <c r="R470" s="283"/>
      <c r="S470" s="218"/>
      <c r="T470" s="219"/>
      <c r="U470" s="30"/>
      <c r="V470" s="31"/>
      <c r="W470" s="30"/>
      <c r="X470" s="220"/>
      <c r="Y470" s="139"/>
      <c r="Z470" s="9"/>
      <c r="AA470" s="9"/>
    </row>
    <row r="471" spans="1:28">
      <c r="A471"/>
      <c r="B471" s="215"/>
      <c r="C471" s="216"/>
      <c r="D471" s="29"/>
      <c r="E471" s="32"/>
      <c r="F471" s="32"/>
      <c r="G471" s="32"/>
      <c r="H471" s="9"/>
      <c r="I471" s="9"/>
      <c r="K471" s="3"/>
      <c r="L471" s="3"/>
      <c r="M471" s="268"/>
      <c r="N471" s="222"/>
      <c r="O471" s="269"/>
      <c r="P471" s="223"/>
      <c r="Q471" s="283"/>
      <c r="R471" s="283"/>
      <c r="S471" s="218"/>
      <c r="T471" s="219"/>
      <c r="U471" s="30"/>
      <c r="V471" s="31"/>
      <c r="W471" s="30"/>
      <c r="X471" s="220"/>
      <c r="Y471" s="139"/>
      <c r="Z471" s="9"/>
      <c r="AA471" s="9"/>
      <c r="AB471" s="32"/>
    </row>
    <row r="472" spans="1:28">
      <c r="A472"/>
      <c r="B472" s="215"/>
      <c r="C472" s="216"/>
      <c r="D472" s="29"/>
      <c r="E472" s="32"/>
      <c r="F472" s="32"/>
      <c r="G472" s="32"/>
      <c r="H472" s="9"/>
      <c r="I472" s="9"/>
      <c r="K472" s="270"/>
      <c r="L472" s="270"/>
      <c r="M472" s="268"/>
      <c r="N472" s="222"/>
      <c r="O472" s="269"/>
      <c r="P472" s="223"/>
      <c r="Q472" s="283"/>
      <c r="R472" s="283"/>
      <c r="S472" s="218"/>
      <c r="T472" s="219"/>
      <c r="U472" s="30"/>
      <c r="V472" s="31"/>
      <c r="W472" s="30"/>
      <c r="X472" s="220"/>
      <c r="Y472" s="139"/>
      <c r="Z472" s="9"/>
      <c r="AA472" s="9"/>
      <c r="AB472" s="32"/>
    </row>
    <row r="473" spans="1:28">
      <c r="A473"/>
      <c r="B473" s="215"/>
      <c r="C473" s="216"/>
      <c r="D473" s="29"/>
      <c r="E473" s="32"/>
      <c r="F473" s="32"/>
      <c r="G473" s="32"/>
      <c r="H473" s="9"/>
      <c r="I473" s="9"/>
      <c r="K473" s="270"/>
      <c r="L473" s="270"/>
      <c r="M473" s="268"/>
      <c r="N473" s="222"/>
      <c r="O473" s="269"/>
      <c r="P473" s="223"/>
      <c r="Q473" s="283"/>
      <c r="R473" s="283"/>
      <c r="S473" s="218"/>
      <c r="T473" s="219"/>
      <c r="U473" s="30"/>
      <c r="V473" s="31"/>
      <c r="W473" s="30"/>
      <c r="X473" s="220"/>
      <c r="Y473" s="139"/>
      <c r="Z473" s="9"/>
      <c r="AA473" s="9"/>
      <c r="AB473" s="32"/>
    </row>
    <row r="474" spans="1:28">
      <c r="A474"/>
      <c r="B474" s="215"/>
      <c r="C474" s="216"/>
      <c r="D474" s="29"/>
      <c r="E474" s="32"/>
      <c r="F474" s="32"/>
      <c r="G474" s="32"/>
      <c r="H474" s="9"/>
      <c r="I474" s="9"/>
      <c r="K474" s="3"/>
      <c r="L474" s="3"/>
      <c r="M474" s="268"/>
      <c r="N474" s="222"/>
      <c r="O474" s="269"/>
      <c r="P474" s="223"/>
      <c r="Q474" s="283"/>
      <c r="R474" s="283"/>
      <c r="S474" s="218"/>
      <c r="T474" s="219"/>
      <c r="U474" s="30"/>
      <c r="V474" s="31"/>
      <c r="W474" s="30"/>
      <c r="X474" s="220"/>
      <c r="Y474" s="139"/>
      <c r="Z474" s="9"/>
      <c r="AA474" s="9"/>
      <c r="AB474" s="32"/>
    </row>
    <row r="475" spans="1:28">
      <c r="A475"/>
      <c r="C475" s="216"/>
      <c r="D475" s="29"/>
      <c r="E475" s="32"/>
      <c r="F475" s="32"/>
      <c r="G475" s="32"/>
      <c r="H475" s="9"/>
      <c r="I475" s="9"/>
      <c r="K475" s="3"/>
      <c r="L475" s="3"/>
      <c r="M475" s="268"/>
      <c r="N475" s="222"/>
      <c r="O475" s="269"/>
      <c r="P475" s="223"/>
      <c r="Q475" s="283"/>
      <c r="R475" s="283"/>
      <c r="S475" s="218"/>
      <c r="T475" s="219"/>
      <c r="U475" s="30"/>
      <c r="V475" s="31"/>
      <c r="W475" s="30"/>
      <c r="X475" s="220"/>
      <c r="Y475" s="139"/>
      <c r="Z475" s="9"/>
      <c r="AA475" s="9"/>
    </row>
    <row r="476" spans="1:28">
      <c r="A476"/>
      <c r="C476" s="216"/>
      <c r="D476" s="29"/>
      <c r="E476" s="32"/>
      <c r="F476" s="32"/>
      <c r="G476" s="32"/>
      <c r="H476" s="9"/>
      <c r="I476" s="9"/>
      <c r="K476" s="270"/>
      <c r="L476" s="270"/>
      <c r="M476" s="268"/>
      <c r="N476" s="222"/>
      <c r="O476" s="269"/>
      <c r="P476" s="223"/>
      <c r="Q476" s="283"/>
      <c r="R476" s="283"/>
      <c r="S476" s="218"/>
      <c r="T476" s="219"/>
      <c r="U476" s="30"/>
      <c r="V476" s="31"/>
      <c r="W476" s="30"/>
      <c r="X476" s="220"/>
      <c r="Y476" s="139"/>
      <c r="Z476" s="9"/>
      <c r="AA476" s="9"/>
    </row>
    <row r="477" spans="1:28">
      <c r="A477"/>
      <c r="C477" s="216"/>
      <c r="D477" s="29"/>
      <c r="E477" s="32"/>
      <c r="F477" s="32"/>
      <c r="G477" s="32"/>
      <c r="H477" s="9"/>
      <c r="I477" s="9"/>
      <c r="K477" s="3"/>
      <c r="L477" s="3"/>
      <c r="M477" s="268"/>
      <c r="N477" s="222"/>
      <c r="O477" s="269"/>
      <c r="P477" s="223"/>
      <c r="Q477" s="274"/>
      <c r="R477" s="274"/>
      <c r="S477" s="218"/>
      <c r="T477" s="219"/>
      <c r="U477" s="30"/>
      <c r="V477" s="31"/>
      <c r="W477" s="30"/>
      <c r="X477" s="220"/>
      <c r="Y477" s="139"/>
      <c r="Z477" s="9"/>
      <c r="AA477" s="9"/>
    </row>
    <row r="478" spans="1:28">
      <c r="A478"/>
      <c r="C478" s="216"/>
      <c r="D478" s="29"/>
      <c r="E478" s="32"/>
      <c r="F478" s="32"/>
      <c r="G478" s="32"/>
      <c r="H478" s="9"/>
      <c r="I478" s="9"/>
      <c r="K478" s="3"/>
      <c r="L478" s="3"/>
      <c r="M478" s="268"/>
      <c r="N478" s="222"/>
      <c r="O478" s="269"/>
      <c r="P478" s="223"/>
      <c r="Q478" s="274"/>
      <c r="R478" s="274"/>
      <c r="S478" s="218"/>
      <c r="T478" s="219"/>
      <c r="U478" s="30"/>
      <c r="V478" s="31"/>
      <c r="W478" s="30"/>
      <c r="X478" s="220"/>
      <c r="Y478" s="139"/>
      <c r="Z478" s="9"/>
      <c r="AA478" s="9"/>
    </row>
    <row r="479" spans="1:28">
      <c r="A479"/>
      <c r="C479" s="216"/>
      <c r="D479" s="29"/>
      <c r="E479" s="32"/>
      <c r="F479" s="32"/>
      <c r="G479" s="32"/>
      <c r="H479" s="9"/>
      <c r="I479" s="9"/>
      <c r="K479" s="3"/>
      <c r="L479" s="3"/>
      <c r="M479" s="268"/>
      <c r="N479" s="222"/>
      <c r="O479" s="269"/>
      <c r="P479" s="223"/>
      <c r="Q479" s="274"/>
      <c r="R479" s="274"/>
      <c r="S479" s="218"/>
      <c r="T479" s="219"/>
      <c r="U479" s="30"/>
      <c r="V479" s="31"/>
      <c r="W479" s="30"/>
      <c r="X479" s="220"/>
      <c r="Y479" s="139"/>
      <c r="Z479" s="9"/>
      <c r="AA479" s="9"/>
    </row>
    <row r="480" spans="1:28">
      <c r="A480"/>
      <c r="C480" s="216"/>
      <c r="D480" s="29"/>
      <c r="E480" s="32"/>
      <c r="F480" s="32"/>
      <c r="G480" s="32"/>
      <c r="H480" s="9"/>
      <c r="I480" s="9"/>
      <c r="K480" s="3"/>
      <c r="L480" s="3"/>
      <c r="M480" s="268"/>
      <c r="N480" s="222"/>
      <c r="O480" s="269"/>
      <c r="P480" s="223"/>
      <c r="Q480" s="274"/>
      <c r="R480" s="274"/>
      <c r="S480" s="218"/>
      <c r="T480" s="219"/>
      <c r="U480" s="30"/>
      <c r="V480" s="31"/>
      <c r="W480" s="30"/>
      <c r="X480" s="220"/>
      <c r="Y480" s="139"/>
      <c r="Z480" s="9"/>
      <c r="AA480" s="9"/>
    </row>
    <row r="481" spans="1:27">
      <c r="A481"/>
      <c r="C481" s="216"/>
      <c r="D481" s="29"/>
      <c r="E481" s="32"/>
      <c r="F481" s="32"/>
      <c r="G481" s="32"/>
      <c r="H481" s="9"/>
      <c r="I481" s="9"/>
      <c r="K481" s="270"/>
      <c r="L481" s="270"/>
      <c r="M481" s="268"/>
      <c r="N481" s="222"/>
      <c r="O481" s="269"/>
      <c r="P481" s="223"/>
      <c r="Q481" s="283"/>
      <c r="R481" s="283"/>
      <c r="S481" s="218"/>
      <c r="T481" s="219"/>
      <c r="U481" s="30"/>
      <c r="V481" s="31"/>
      <c r="W481" s="30"/>
      <c r="X481" s="220"/>
      <c r="Y481" s="139"/>
      <c r="Z481" s="9"/>
      <c r="AA481" s="9"/>
    </row>
    <row r="482" spans="1:27">
      <c r="A482"/>
      <c r="C482" s="216"/>
      <c r="D482" s="29"/>
      <c r="E482" s="32"/>
      <c r="F482" s="32"/>
      <c r="G482" s="32"/>
      <c r="H482" s="9"/>
      <c r="I482" s="9"/>
      <c r="K482" s="3"/>
      <c r="L482" s="3"/>
      <c r="M482" s="268"/>
      <c r="N482" s="222"/>
      <c r="O482" s="269"/>
      <c r="P482" s="223"/>
      <c r="Q482" s="283"/>
      <c r="R482" s="283"/>
      <c r="S482" s="218"/>
      <c r="T482" s="219"/>
      <c r="U482" s="30"/>
      <c r="V482" s="31"/>
      <c r="W482" s="30"/>
      <c r="X482" s="220"/>
      <c r="Y482" s="139"/>
      <c r="Z482" s="9"/>
      <c r="AA482" s="9"/>
    </row>
    <row r="483" spans="1:27">
      <c r="A483"/>
      <c r="C483" s="216"/>
      <c r="D483" s="29"/>
      <c r="E483" s="32"/>
      <c r="F483" s="32"/>
      <c r="G483" s="32"/>
      <c r="H483" s="9"/>
      <c r="I483" s="276"/>
      <c r="J483" s="276"/>
      <c r="K483" s="279"/>
      <c r="L483" s="279"/>
      <c r="M483" s="268"/>
      <c r="N483" s="226"/>
      <c r="O483" s="269"/>
      <c r="P483" s="235"/>
      <c r="Q483" s="280"/>
      <c r="R483" s="280"/>
      <c r="S483" s="218"/>
      <c r="T483" s="219"/>
      <c r="U483" s="30"/>
      <c r="V483" s="31"/>
      <c r="W483" s="30"/>
      <c r="X483" s="220"/>
      <c r="Y483" s="139"/>
      <c r="Z483" s="9"/>
      <c r="AA483" s="9"/>
    </row>
    <row r="484" spans="1:27">
      <c r="A484"/>
      <c r="C484" s="216"/>
      <c r="D484" s="29"/>
      <c r="E484" s="32"/>
      <c r="F484" s="32"/>
      <c r="G484" s="32"/>
      <c r="H484" s="9"/>
      <c r="I484" s="276"/>
      <c r="J484" s="276"/>
      <c r="K484" s="279"/>
      <c r="L484" s="279"/>
      <c r="M484" s="268"/>
      <c r="N484" s="222"/>
      <c r="O484" s="269"/>
      <c r="P484" s="223"/>
      <c r="Q484" s="287"/>
      <c r="R484" s="287"/>
      <c r="S484" s="218"/>
      <c r="T484" s="219"/>
      <c r="U484" s="30"/>
      <c r="V484" s="31"/>
      <c r="W484" s="30"/>
      <c r="X484" s="220"/>
      <c r="Y484" s="139"/>
      <c r="Z484" s="9"/>
      <c r="AA484" s="9"/>
    </row>
    <row r="485" spans="1:27">
      <c r="A485"/>
      <c r="C485" s="216"/>
      <c r="D485" s="29"/>
      <c r="E485" s="32"/>
      <c r="F485" s="32"/>
      <c r="G485" s="32"/>
      <c r="H485" s="9"/>
      <c r="I485" s="276"/>
      <c r="J485" s="276"/>
      <c r="K485" s="279"/>
      <c r="L485" s="279"/>
      <c r="M485" s="268"/>
      <c r="N485" s="226"/>
      <c r="O485" s="269"/>
      <c r="P485" s="235"/>
      <c r="Q485" s="280"/>
      <c r="R485" s="280"/>
      <c r="S485" s="218"/>
      <c r="T485" s="219"/>
      <c r="U485" s="30"/>
      <c r="V485" s="31"/>
      <c r="W485" s="30"/>
      <c r="X485" s="220"/>
      <c r="Y485" s="139"/>
      <c r="Z485" s="9"/>
      <c r="AA485" s="9"/>
    </row>
    <row r="486" spans="1:27">
      <c r="A486"/>
      <c r="C486" s="216"/>
      <c r="D486" s="29"/>
      <c r="E486" s="32"/>
      <c r="F486" s="32"/>
      <c r="G486" s="32"/>
      <c r="H486" s="9"/>
      <c r="I486" s="276"/>
      <c r="J486" s="276"/>
      <c r="K486" s="279"/>
      <c r="L486" s="279"/>
      <c r="M486" s="268"/>
      <c r="N486" s="226"/>
      <c r="O486" s="269"/>
      <c r="P486" s="235"/>
      <c r="Q486" s="280"/>
      <c r="R486" s="280"/>
      <c r="S486" s="218"/>
      <c r="T486" s="219"/>
      <c r="U486" s="30"/>
      <c r="V486" s="31"/>
      <c r="W486" s="30"/>
      <c r="X486" s="220"/>
      <c r="Y486" s="139"/>
      <c r="Z486" s="9"/>
      <c r="AA486" s="9"/>
    </row>
    <row r="487" spans="1:27">
      <c r="A487"/>
      <c r="C487" s="216"/>
      <c r="D487" s="29"/>
      <c r="E487" s="32"/>
      <c r="F487" s="32"/>
      <c r="G487" s="32"/>
      <c r="H487" s="9"/>
      <c r="I487" s="276"/>
      <c r="J487" s="276"/>
      <c r="K487" s="279"/>
      <c r="L487" s="279"/>
      <c r="M487" s="268"/>
      <c r="N487" s="226"/>
      <c r="O487" s="269"/>
      <c r="P487" s="235"/>
      <c r="Q487" s="280"/>
      <c r="R487" s="280"/>
      <c r="S487" s="218"/>
      <c r="T487" s="219"/>
      <c r="U487" s="30"/>
      <c r="V487" s="31"/>
      <c r="W487" s="30"/>
      <c r="X487" s="220"/>
      <c r="Y487" s="139"/>
      <c r="Z487" s="9"/>
      <c r="AA487" s="9"/>
    </row>
    <row r="488" spans="1:27">
      <c r="A488"/>
      <c r="C488" s="216"/>
      <c r="D488" s="29"/>
      <c r="E488" s="242"/>
      <c r="F488" s="227"/>
      <c r="G488" s="227"/>
      <c r="H488" s="232"/>
      <c r="I488" s="276"/>
      <c r="J488" s="276"/>
      <c r="K488" s="277"/>
      <c r="L488" s="277"/>
      <c r="M488" s="268"/>
      <c r="N488" s="176"/>
      <c r="O488" s="269"/>
      <c r="P488" s="236"/>
      <c r="Q488" s="278"/>
      <c r="R488" s="278"/>
      <c r="S488" s="218"/>
      <c r="T488" s="219"/>
      <c r="U488" s="30"/>
      <c r="V488" s="31"/>
      <c r="W488" s="30"/>
      <c r="X488" s="220"/>
      <c r="Y488" s="139"/>
      <c r="Z488" s="9"/>
      <c r="AA488" s="9"/>
    </row>
    <row r="489" spans="1:27">
      <c r="A489"/>
      <c r="C489" s="216"/>
      <c r="D489" s="29"/>
      <c r="E489" s="32"/>
      <c r="F489" s="32"/>
      <c r="G489" s="32"/>
      <c r="H489" s="9"/>
      <c r="I489" s="276"/>
      <c r="J489" s="276"/>
      <c r="K489" s="279"/>
      <c r="L489" s="279"/>
      <c r="M489" s="268"/>
      <c r="N489" s="226"/>
      <c r="O489" s="269"/>
      <c r="P489" s="235"/>
      <c r="Q489" s="280"/>
      <c r="R489" s="280"/>
      <c r="S489" s="218"/>
      <c r="T489" s="219"/>
      <c r="U489" s="30"/>
      <c r="V489" s="31"/>
      <c r="W489" s="30"/>
      <c r="X489" s="220"/>
      <c r="Y489" s="139"/>
      <c r="Z489" s="9"/>
      <c r="AA489" s="9"/>
    </row>
    <row r="490" spans="1:27">
      <c r="A490"/>
      <c r="C490" s="216"/>
      <c r="D490" s="29"/>
      <c r="E490" s="32"/>
      <c r="F490" s="32"/>
      <c r="G490" s="32"/>
      <c r="H490" s="9"/>
      <c r="I490" s="276"/>
      <c r="J490" s="276"/>
      <c r="K490" s="279"/>
      <c r="L490" s="279"/>
      <c r="M490" s="268"/>
      <c r="N490" s="226"/>
      <c r="O490" s="269"/>
      <c r="P490" s="235"/>
      <c r="Q490" s="280"/>
      <c r="R490" s="280"/>
      <c r="S490" s="218"/>
      <c r="T490" s="219"/>
      <c r="U490" s="30"/>
      <c r="V490" s="31"/>
      <c r="W490" s="30"/>
      <c r="X490" s="220"/>
      <c r="Y490" s="139"/>
      <c r="Z490" s="9"/>
      <c r="AA490" s="9"/>
    </row>
    <row r="491" spans="1:27">
      <c r="A491"/>
      <c r="C491" s="216"/>
      <c r="D491" s="29"/>
      <c r="E491" s="32"/>
      <c r="F491" s="32"/>
      <c r="G491" s="32"/>
      <c r="H491" s="9"/>
      <c r="I491" s="276"/>
      <c r="J491" s="276"/>
      <c r="K491" s="279"/>
      <c r="L491" s="279"/>
      <c r="M491" s="268"/>
      <c r="N491" s="226"/>
      <c r="O491" s="269"/>
      <c r="P491" s="235"/>
      <c r="Q491" s="280"/>
      <c r="R491" s="280"/>
      <c r="S491" s="218"/>
      <c r="T491" s="219"/>
      <c r="U491" s="30"/>
      <c r="V491" s="31"/>
      <c r="W491" s="30"/>
      <c r="X491" s="220"/>
      <c r="Y491" s="139"/>
      <c r="Z491" s="9"/>
      <c r="AA491" s="9"/>
    </row>
    <row r="492" spans="1:27">
      <c r="A492"/>
      <c r="C492" s="216"/>
      <c r="D492" s="29"/>
      <c r="E492" s="32"/>
      <c r="F492" s="32"/>
      <c r="G492" s="32"/>
      <c r="H492" s="9"/>
      <c r="I492" s="276"/>
      <c r="J492" s="276"/>
      <c r="K492" s="279"/>
      <c r="L492" s="279"/>
      <c r="M492" s="268"/>
      <c r="N492" s="222"/>
      <c r="O492" s="269"/>
      <c r="P492" s="223"/>
      <c r="Q492" s="287"/>
      <c r="R492" s="287"/>
      <c r="S492" s="218"/>
      <c r="T492" s="219"/>
      <c r="U492" s="30"/>
      <c r="V492" s="31"/>
      <c r="W492" s="30"/>
      <c r="X492" s="220"/>
      <c r="Y492" s="139"/>
      <c r="Z492" s="9"/>
      <c r="AA492" s="9"/>
    </row>
    <row r="493" spans="1:27">
      <c r="A493"/>
      <c r="C493" s="216"/>
      <c r="D493" s="29"/>
      <c r="E493" s="242"/>
      <c r="F493" s="227"/>
      <c r="G493" s="227"/>
      <c r="H493" s="232"/>
      <c r="I493" s="276"/>
      <c r="J493" s="276"/>
      <c r="K493" s="277"/>
      <c r="L493" s="277"/>
      <c r="M493" s="268"/>
      <c r="N493" s="176"/>
      <c r="O493" s="269"/>
      <c r="P493" s="236"/>
      <c r="Q493" s="278"/>
      <c r="R493" s="278"/>
      <c r="S493" s="218"/>
      <c r="T493" s="219"/>
      <c r="U493" s="30"/>
      <c r="V493" s="31"/>
      <c r="W493" s="30"/>
      <c r="X493" s="220"/>
      <c r="Y493" s="139"/>
      <c r="Z493" s="9"/>
      <c r="AA493" s="9"/>
    </row>
    <row r="494" spans="1:27">
      <c r="A494"/>
      <c r="C494" s="216"/>
      <c r="D494" s="29"/>
      <c r="E494" s="32"/>
      <c r="F494" s="32"/>
      <c r="G494" s="32"/>
      <c r="H494" s="9"/>
      <c r="I494" s="276"/>
      <c r="J494" s="276"/>
      <c r="K494" s="279"/>
      <c r="L494" s="279"/>
      <c r="M494" s="268"/>
      <c r="N494" s="226"/>
      <c r="O494" s="269"/>
      <c r="P494" s="235"/>
      <c r="Q494" s="280"/>
      <c r="R494" s="280"/>
      <c r="S494" s="218"/>
      <c r="T494" s="219"/>
      <c r="U494" s="30"/>
      <c r="V494" s="31"/>
      <c r="W494" s="30"/>
      <c r="X494" s="220"/>
      <c r="Y494" s="139"/>
      <c r="Z494" s="9"/>
      <c r="AA494" s="9"/>
    </row>
    <row r="495" spans="1:27">
      <c r="A495"/>
      <c r="C495" s="216"/>
      <c r="D495" s="29"/>
      <c r="E495" s="32"/>
      <c r="F495" s="32"/>
      <c r="G495" s="32"/>
      <c r="H495" s="9"/>
      <c r="I495" s="276"/>
      <c r="J495" s="276"/>
      <c r="K495" s="279"/>
      <c r="L495" s="279"/>
      <c r="M495" s="268"/>
      <c r="N495" s="226"/>
      <c r="O495" s="269"/>
      <c r="P495" s="235"/>
      <c r="Q495" s="280"/>
      <c r="R495" s="280"/>
      <c r="S495" s="218"/>
      <c r="T495" s="219"/>
      <c r="U495" s="30"/>
      <c r="V495" s="31"/>
      <c r="W495" s="30"/>
      <c r="X495" s="220"/>
      <c r="Y495" s="139"/>
      <c r="Z495" s="9"/>
      <c r="AA495" s="9"/>
    </row>
    <row r="496" spans="1:27">
      <c r="A496"/>
      <c r="C496" s="216"/>
      <c r="D496" s="29"/>
      <c r="E496" s="32"/>
      <c r="F496" s="32"/>
      <c r="G496" s="32"/>
      <c r="H496" s="9"/>
      <c r="I496" s="276"/>
      <c r="J496" s="276"/>
      <c r="K496" s="279"/>
      <c r="L496" s="279"/>
      <c r="M496" s="268"/>
      <c r="N496" s="226"/>
      <c r="O496" s="269"/>
      <c r="P496" s="235"/>
      <c r="Q496" s="280"/>
      <c r="R496" s="280"/>
      <c r="S496" s="218"/>
      <c r="T496" s="219"/>
      <c r="U496" s="30"/>
      <c r="V496" s="31"/>
      <c r="W496" s="30"/>
      <c r="X496" s="220"/>
      <c r="Y496" s="139"/>
      <c r="Z496" s="9"/>
      <c r="AA496" s="9"/>
    </row>
    <row r="497" spans="1:27">
      <c r="A497"/>
      <c r="C497" s="216"/>
      <c r="D497" s="29"/>
      <c r="E497" s="32"/>
      <c r="F497" s="32"/>
      <c r="G497" s="32"/>
      <c r="H497" s="9"/>
      <c r="I497" s="276"/>
      <c r="J497" s="276"/>
      <c r="K497" s="279"/>
      <c r="L497" s="279"/>
      <c r="M497" s="268"/>
      <c r="N497" s="226"/>
      <c r="O497" s="269"/>
      <c r="P497" s="235"/>
      <c r="Q497" s="280"/>
      <c r="R497" s="280"/>
      <c r="S497" s="218"/>
      <c r="T497" s="219"/>
      <c r="U497" s="30"/>
      <c r="V497" s="31"/>
      <c r="W497" s="30"/>
      <c r="X497" s="220"/>
      <c r="Y497" s="139"/>
      <c r="Z497" s="9"/>
      <c r="AA497" s="9"/>
    </row>
    <row r="498" spans="1:27">
      <c r="A498"/>
      <c r="C498" s="216"/>
      <c r="D498" s="29"/>
      <c r="E498" s="32"/>
      <c r="F498" s="32"/>
      <c r="G498" s="32"/>
      <c r="H498" s="9"/>
      <c r="I498" s="276"/>
      <c r="J498" s="276"/>
      <c r="K498" s="279"/>
      <c r="L498" s="279"/>
      <c r="M498" s="268"/>
      <c r="N498" s="226"/>
      <c r="O498" s="269"/>
      <c r="P498" s="235"/>
      <c r="Q498" s="280"/>
      <c r="R498" s="280"/>
      <c r="S498" s="218"/>
      <c r="T498" s="219"/>
      <c r="U498" s="30"/>
      <c r="V498" s="31"/>
      <c r="W498" s="30"/>
      <c r="X498" s="220"/>
      <c r="Y498" s="139"/>
      <c r="Z498" s="9"/>
      <c r="AA498" s="9"/>
    </row>
    <row r="499" spans="1:27">
      <c r="A499"/>
      <c r="C499" s="216"/>
      <c r="D499" s="29"/>
      <c r="E499" s="242"/>
      <c r="F499" s="58"/>
      <c r="G499" s="58"/>
      <c r="H499" s="29"/>
      <c r="I499" s="276"/>
      <c r="J499" s="276"/>
      <c r="K499" s="277"/>
      <c r="L499" s="277"/>
      <c r="M499" s="268"/>
      <c r="N499" s="176"/>
      <c r="O499" s="269"/>
      <c r="P499" s="236"/>
      <c r="Q499" s="278"/>
      <c r="R499" s="278"/>
      <c r="S499" s="218"/>
      <c r="T499" s="219"/>
      <c r="U499" s="30"/>
      <c r="V499" s="31"/>
      <c r="W499" s="30"/>
      <c r="X499" s="220"/>
      <c r="Y499" s="139"/>
      <c r="Z499" s="9"/>
      <c r="AA499" s="9"/>
    </row>
    <row r="500" spans="1:27">
      <c r="A500"/>
      <c r="C500" s="216"/>
      <c r="D500" s="29"/>
      <c r="E500" s="32"/>
      <c r="F500" s="32"/>
      <c r="G500" s="32"/>
      <c r="H500" s="9"/>
      <c r="I500" s="276"/>
      <c r="J500" s="276"/>
      <c r="K500" s="279"/>
      <c r="L500" s="279"/>
      <c r="M500" s="268"/>
      <c r="N500" s="226"/>
      <c r="O500" s="269"/>
      <c r="P500" s="235"/>
      <c r="Q500" s="280"/>
      <c r="R500" s="280"/>
      <c r="S500" s="218"/>
      <c r="T500" s="219"/>
      <c r="U500" s="30"/>
      <c r="V500" s="31"/>
      <c r="W500" s="30"/>
      <c r="X500" s="220"/>
      <c r="Y500" s="139"/>
      <c r="Z500" s="9"/>
      <c r="AA500" s="9"/>
    </row>
    <row r="501" spans="1:27">
      <c r="A501"/>
      <c r="C501" s="216"/>
      <c r="D501" s="29"/>
      <c r="E501" s="32"/>
      <c r="F501" s="32"/>
      <c r="G501" s="32"/>
      <c r="H501" s="9"/>
      <c r="I501" s="276"/>
      <c r="J501" s="276"/>
      <c r="K501" s="279"/>
      <c r="L501" s="279"/>
      <c r="M501" s="268"/>
      <c r="N501" s="226"/>
      <c r="O501" s="269"/>
      <c r="P501" s="235"/>
      <c r="Q501" s="280"/>
      <c r="R501" s="280"/>
      <c r="S501" s="218"/>
      <c r="T501" s="219"/>
      <c r="U501" s="30"/>
      <c r="V501" s="31"/>
      <c r="W501" s="30"/>
      <c r="X501" s="220"/>
      <c r="Y501" s="139"/>
      <c r="Z501" s="9"/>
      <c r="AA501" s="9"/>
    </row>
    <row r="502" spans="1:27">
      <c r="A502"/>
      <c r="C502" s="216"/>
      <c r="D502" s="29"/>
      <c r="E502" s="32"/>
      <c r="F502" s="32"/>
      <c r="G502" s="32"/>
      <c r="H502" s="9"/>
      <c r="I502" s="276"/>
      <c r="J502" s="276"/>
      <c r="K502" s="279"/>
      <c r="L502" s="279"/>
      <c r="M502" s="268"/>
      <c r="N502" s="226"/>
      <c r="O502" s="269"/>
      <c r="P502" s="235"/>
      <c r="Q502" s="280"/>
      <c r="R502" s="280"/>
      <c r="S502" s="218"/>
      <c r="T502" s="219"/>
      <c r="U502" s="30"/>
      <c r="V502" s="31"/>
      <c r="W502" s="30"/>
      <c r="X502" s="220"/>
      <c r="Y502" s="139"/>
      <c r="Z502" s="9"/>
      <c r="AA502" s="9"/>
    </row>
    <row r="503" spans="1:27">
      <c r="A503"/>
      <c r="C503" s="216"/>
      <c r="D503" s="29"/>
      <c r="E503" s="242"/>
      <c r="F503" s="227"/>
      <c r="G503" s="227"/>
      <c r="H503" s="232"/>
      <c r="I503" s="276"/>
      <c r="J503" s="276"/>
      <c r="K503" s="277"/>
      <c r="L503" s="277"/>
      <c r="M503" s="268"/>
      <c r="N503" s="176"/>
      <c r="O503" s="269"/>
      <c r="P503" s="236"/>
      <c r="Q503" s="278"/>
      <c r="R503" s="278"/>
      <c r="S503" s="218"/>
      <c r="T503" s="219"/>
      <c r="U503" s="30"/>
      <c r="V503" s="31"/>
      <c r="W503" s="30"/>
      <c r="X503" s="220"/>
      <c r="Y503" s="139"/>
      <c r="Z503" s="9"/>
      <c r="AA503" s="9"/>
    </row>
    <row r="504" spans="1:27">
      <c r="A504"/>
      <c r="C504" s="216"/>
      <c r="D504" s="29"/>
      <c r="E504" s="32"/>
      <c r="F504" s="32"/>
      <c r="G504" s="32"/>
      <c r="H504" s="9"/>
      <c r="I504" s="276"/>
      <c r="J504" s="276"/>
      <c r="K504" s="279"/>
      <c r="L504" s="279"/>
      <c r="M504" s="268"/>
      <c r="N504" s="226"/>
      <c r="O504" s="269"/>
      <c r="P504" s="235"/>
      <c r="Q504" s="280"/>
      <c r="R504" s="280"/>
      <c r="S504" s="218"/>
      <c r="T504" s="219"/>
      <c r="U504" s="30"/>
      <c r="V504" s="31"/>
      <c r="W504" s="30"/>
      <c r="X504" s="220"/>
      <c r="Y504" s="139"/>
      <c r="Z504" s="9"/>
      <c r="AA504" s="9"/>
    </row>
    <row r="505" spans="1:27">
      <c r="A505"/>
      <c r="C505" s="216"/>
      <c r="D505" s="29"/>
      <c r="E505" s="242"/>
      <c r="F505" s="227"/>
      <c r="G505" s="227"/>
      <c r="H505" s="232"/>
      <c r="I505" s="276"/>
      <c r="J505" s="276"/>
      <c r="K505" s="277"/>
      <c r="L505" s="277"/>
      <c r="M505" s="268"/>
      <c r="N505" s="176"/>
      <c r="O505" s="269"/>
      <c r="P505" s="236"/>
      <c r="Q505" s="278"/>
      <c r="R505" s="278"/>
      <c r="S505" s="218"/>
      <c r="T505" s="219"/>
      <c r="U505" s="30"/>
      <c r="V505" s="31"/>
      <c r="W505" s="30"/>
      <c r="X505" s="220"/>
      <c r="Y505" s="139"/>
      <c r="Z505" s="9"/>
      <c r="AA505" s="9"/>
    </row>
    <row r="506" spans="1:27">
      <c r="A506"/>
      <c r="C506" s="216"/>
      <c r="D506" s="29"/>
      <c r="E506" s="32"/>
      <c r="F506" s="32"/>
      <c r="G506" s="32"/>
      <c r="H506" s="9"/>
      <c r="I506" s="276"/>
      <c r="J506" s="276"/>
      <c r="K506" s="279"/>
      <c r="L506" s="279"/>
      <c r="M506" s="268"/>
      <c r="N506" s="226"/>
      <c r="O506" s="269"/>
      <c r="P506" s="235"/>
      <c r="Q506" s="280"/>
      <c r="R506" s="280"/>
      <c r="S506" s="218"/>
      <c r="T506" s="219"/>
      <c r="U506" s="30"/>
      <c r="V506" s="31"/>
      <c r="W506" s="30"/>
      <c r="X506" s="220"/>
      <c r="Y506" s="139"/>
      <c r="Z506" s="9"/>
      <c r="AA506" s="9"/>
    </row>
    <row r="507" spans="1:27">
      <c r="A507"/>
      <c r="C507" s="216"/>
      <c r="D507" s="29"/>
      <c r="E507" s="242"/>
      <c r="F507" s="227"/>
      <c r="G507" s="227"/>
      <c r="H507" s="232"/>
      <c r="I507" s="276"/>
      <c r="J507" s="276"/>
      <c r="K507" s="277"/>
      <c r="L507" s="277"/>
      <c r="M507" s="268"/>
      <c r="N507" s="176"/>
      <c r="O507" s="269"/>
      <c r="P507" s="236"/>
      <c r="Q507" s="278"/>
      <c r="R507" s="278"/>
      <c r="S507" s="218"/>
      <c r="T507" s="219"/>
      <c r="U507" s="30"/>
      <c r="V507" s="31"/>
      <c r="W507" s="30"/>
      <c r="X507" s="220"/>
      <c r="Y507" s="139"/>
      <c r="Z507" s="9"/>
      <c r="AA507" s="9"/>
    </row>
    <row r="508" spans="1:27">
      <c r="A508"/>
      <c r="C508" s="216"/>
      <c r="D508" s="29"/>
      <c r="E508" s="32"/>
      <c r="F508" s="32"/>
      <c r="G508" s="32"/>
      <c r="H508" s="9"/>
      <c r="I508" s="276"/>
      <c r="J508" s="276"/>
      <c r="K508" s="279"/>
      <c r="L508" s="279"/>
      <c r="M508" s="268"/>
      <c r="N508" s="226"/>
      <c r="O508" s="269"/>
      <c r="P508" s="235"/>
      <c r="Q508" s="280"/>
      <c r="R508" s="280"/>
      <c r="S508" s="218"/>
      <c r="T508" s="219"/>
      <c r="U508" s="30"/>
      <c r="V508" s="31"/>
      <c r="W508" s="30"/>
      <c r="X508" s="220"/>
      <c r="Y508" s="139"/>
      <c r="Z508" s="9"/>
      <c r="AA508" s="9"/>
    </row>
    <row r="509" spans="1:27">
      <c r="A509"/>
      <c r="C509" s="216"/>
      <c r="D509" s="29"/>
      <c r="E509" s="32"/>
      <c r="F509" s="32"/>
      <c r="G509" s="32"/>
      <c r="H509" s="9"/>
      <c r="I509" s="276"/>
      <c r="J509" s="276"/>
      <c r="K509" s="279"/>
      <c r="L509" s="279"/>
      <c r="M509" s="268"/>
      <c r="N509" s="226"/>
      <c r="O509" s="269"/>
      <c r="P509" s="235"/>
      <c r="Q509" s="280"/>
      <c r="R509" s="280"/>
      <c r="S509" s="218"/>
      <c r="T509" s="219"/>
      <c r="U509" s="30"/>
      <c r="V509" s="31"/>
      <c r="W509" s="30"/>
      <c r="X509" s="220"/>
      <c r="Y509" s="139"/>
      <c r="Z509" s="9"/>
      <c r="AA509" s="9"/>
    </row>
    <row r="510" spans="1:27">
      <c r="A510"/>
      <c r="C510" s="216"/>
      <c r="D510" s="29"/>
      <c r="E510" s="32"/>
      <c r="F510" s="32"/>
      <c r="G510" s="32"/>
      <c r="H510" s="9"/>
      <c r="I510" s="276"/>
      <c r="J510" s="276"/>
      <c r="K510" s="279"/>
      <c r="L510" s="279"/>
      <c r="M510" s="268"/>
      <c r="N510" s="226"/>
      <c r="O510" s="269"/>
      <c r="P510" s="235"/>
      <c r="Q510" s="280"/>
      <c r="R510" s="280"/>
      <c r="S510" s="218"/>
      <c r="T510" s="219"/>
      <c r="U510" s="30"/>
      <c r="V510" s="31"/>
      <c r="W510" s="30"/>
      <c r="X510" s="220"/>
      <c r="Y510" s="139"/>
      <c r="Z510" s="9"/>
      <c r="AA510" s="9"/>
    </row>
    <row r="511" spans="1:27">
      <c r="A511"/>
      <c r="C511" s="216"/>
      <c r="D511" s="29"/>
      <c r="E511" s="242"/>
      <c r="F511" s="58"/>
      <c r="G511" s="58"/>
      <c r="H511" s="29"/>
      <c r="I511" s="276"/>
      <c r="J511" s="276"/>
      <c r="K511" s="277"/>
      <c r="L511" s="277"/>
      <c r="M511" s="268"/>
      <c r="N511" s="176"/>
      <c r="O511" s="269"/>
      <c r="P511" s="236"/>
      <c r="Q511" s="278"/>
      <c r="R511" s="278"/>
      <c r="S511" s="218"/>
      <c r="T511" s="219"/>
      <c r="U511" s="30"/>
      <c r="V511" s="31"/>
      <c r="W511" s="30"/>
      <c r="X511" s="220"/>
      <c r="Y511" s="139"/>
      <c r="Z511" s="9"/>
      <c r="AA511" s="9"/>
    </row>
    <row r="512" spans="1:27">
      <c r="A512"/>
      <c r="C512" s="216"/>
      <c r="D512" s="29"/>
      <c r="E512" s="32"/>
      <c r="F512" s="32"/>
      <c r="G512" s="32"/>
      <c r="H512" s="9"/>
      <c r="I512" s="276"/>
      <c r="J512" s="276"/>
      <c r="K512" s="279"/>
      <c r="L512" s="279"/>
      <c r="M512" s="268"/>
      <c r="N512" s="226"/>
      <c r="O512" s="269"/>
      <c r="P512" s="235"/>
      <c r="Q512" s="280"/>
      <c r="R512" s="280"/>
      <c r="S512" s="218"/>
      <c r="T512" s="219"/>
      <c r="U512" s="30"/>
      <c r="V512" s="31"/>
      <c r="W512" s="30"/>
      <c r="X512" s="220"/>
      <c r="Y512" s="139"/>
      <c r="Z512" s="9"/>
      <c r="AA512" s="9"/>
    </row>
    <row r="513" spans="1:27">
      <c r="A513"/>
      <c r="C513" s="216"/>
      <c r="D513" s="29"/>
      <c r="E513" s="32"/>
      <c r="F513" s="32"/>
      <c r="G513" s="32"/>
      <c r="H513" s="9"/>
      <c r="I513" s="276"/>
      <c r="J513" s="276"/>
      <c r="K513" s="279"/>
      <c r="L513" s="279"/>
      <c r="M513" s="268"/>
      <c r="N513" s="226"/>
      <c r="O513" s="269"/>
      <c r="P513" s="235"/>
      <c r="Q513" s="280"/>
      <c r="R513" s="280"/>
      <c r="S513" s="218"/>
      <c r="T513" s="219"/>
      <c r="U513" s="30"/>
      <c r="V513" s="31"/>
      <c r="W513" s="30"/>
      <c r="X513" s="220"/>
      <c r="Y513" s="139"/>
      <c r="Z513" s="9"/>
      <c r="AA513" s="9"/>
    </row>
    <row r="514" spans="1:27">
      <c r="A514"/>
      <c r="C514" s="216"/>
      <c r="D514" s="29"/>
      <c r="E514" s="32"/>
      <c r="F514" s="32"/>
      <c r="G514" s="32"/>
      <c r="H514" s="9"/>
      <c r="I514" s="276"/>
      <c r="J514" s="276"/>
      <c r="K514" s="279"/>
      <c r="L514" s="279"/>
      <c r="M514" s="268"/>
      <c r="N514" s="222"/>
      <c r="O514" s="269"/>
      <c r="P514" s="223"/>
      <c r="Q514" s="280"/>
      <c r="R514" s="280"/>
      <c r="S514" s="218"/>
      <c r="T514" s="219"/>
      <c r="U514" s="30"/>
      <c r="V514" s="31"/>
      <c r="W514" s="30"/>
      <c r="X514" s="220"/>
      <c r="Y514" s="139"/>
      <c r="Z514" s="9"/>
      <c r="AA514" s="9"/>
    </row>
    <row r="515" spans="1:27">
      <c r="A515"/>
      <c r="C515" s="216"/>
      <c r="D515" s="29"/>
      <c r="E515" s="32"/>
      <c r="F515" s="32"/>
      <c r="G515" s="32"/>
      <c r="H515" s="9"/>
      <c r="I515" s="276"/>
      <c r="J515" s="276"/>
      <c r="K515" s="279"/>
      <c r="L515" s="279"/>
      <c r="M515" s="268"/>
      <c r="N515" s="226"/>
      <c r="O515" s="269"/>
      <c r="P515" s="235"/>
      <c r="Q515" s="280"/>
      <c r="R515" s="280"/>
      <c r="S515" s="218"/>
      <c r="T515" s="219"/>
      <c r="U515" s="30"/>
      <c r="V515" s="31"/>
      <c r="W515" s="30"/>
      <c r="X515" s="220"/>
      <c r="Y515" s="139"/>
      <c r="Z515" s="9"/>
      <c r="AA515" s="9"/>
    </row>
    <row r="516" spans="1:27">
      <c r="A516"/>
      <c r="C516" s="216"/>
      <c r="D516" s="29"/>
      <c r="E516" s="32"/>
      <c r="F516" s="32"/>
      <c r="G516" s="32"/>
      <c r="H516" s="9"/>
      <c r="I516" s="276"/>
      <c r="J516" s="276"/>
      <c r="K516" s="279"/>
      <c r="L516" s="279"/>
      <c r="M516" s="268"/>
      <c r="N516" s="226"/>
      <c r="O516" s="269"/>
      <c r="P516" s="235"/>
      <c r="Q516" s="280"/>
      <c r="R516" s="280"/>
      <c r="S516" s="218"/>
      <c r="T516" s="219"/>
      <c r="U516" s="30"/>
      <c r="V516" s="31"/>
      <c r="W516" s="30"/>
      <c r="X516" s="220"/>
      <c r="Y516" s="139"/>
      <c r="Z516" s="9"/>
      <c r="AA516" s="9"/>
    </row>
    <row r="517" spans="1:27">
      <c r="A517"/>
      <c r="C517" s="216"/>
      <c r="D517" s="29"/>
      <c r="E517" s="32"/>
      <c r="F517" s="32"/>
      <c r="G517" s="32"/>
      <c r="H517" s="9"/>
      <c r="I517" s="276"/>
      <c r="J517" s="276"/>
      <c r="K517" s="279"/>
      <c r="L517" s="279"/>
      <c r="M517" s="268"/>
      <c r="N517" s="226"/>
      <c r="O517" s="269"/>
      <c r="P517" s="235"/>
      <c r="Q517" s="280"/>
      <c r="R517" s="280"/>
      <c r="S517" s="218"/>
      <c r="T517" s="219"/>
      <c r="U517" s="30"/>
      <c r="V517" s="31"/>
      <c r="W517" s="30"/>
      <c r="X517" s="220"/>
      <c r="Y517" s="139"/>
      <c r="Z517" s="9"/>
      <c r="AA517" s="9"/>
    </row>
    <row r="518" spans="1:27">
      <c r="A518"/>
      <c r="C518" s="216"/>
      <c r="D518" s="29"/>
      <c r="E518" s="32"/>
      <c r="F518" s="32"/>
      <c r="G518" s="32"/>
      <c r="H518" s="9"/>
      <c r="I518" s="276"/>
      <c r="J518" s="276"/>
      <c r="K518" s="279"/>
      <c r="L518" s="279"/>
      <c r="M518" s="268"/>
      <c r="N518" s="226"/>
      <c r="O518" s="269"/>
      <c r="P518" s="235"/>
      <c r="Q518" s="280"/>
      <c r="R518" s="280"/>
      <c r="S518" s="218"/>
      <c r="T518" s="219"/>
      <c r="U518" s="30"/>
      <c r="V518" s="31"/>
      <c r="W518" s="30"/>
      <c r="X518" s="220"/>
      <c r="Y518" s="139"/>
      <c r="Z518" s="9"/>
      <c r="AA518" s="9"/>
    </row>
    <row r="519" spans="1:27">
      <c r="A519"/>
      <c r="C519" s="216"/>
      <c r="D519" s="29"/>
      <c r="E519" s="32"/>
      <c r="F519" s="32"/>
      <c r="G519" s="32"/>
      <c r="H519" s="9"/>
      <c r="I519" s="276"/>
      <c r="J519" s="276"/>
      <c r="K519" s="279"/>
      <c r="L519" s="279"/>
      <c r="M519" s="268"/>
      <c r="N519" s="226"/>
      <c r="O519" s="269"/>
      <c r="P519" s="235"/>
      <c r="Q519" s="280"/>
      <c r="R519" s="280"/>
      <c r="S519" s="218"/>
      <c r="T519" s="219"/>
      <c r="U519" s="30"/>
      <c r="V519" s="31"/>
      <c r="W519" s="30"/>
      <c r="X519" s="220"/>
      <c r="Y519" s="139"/>
      <c r="Z519" s="9"/>
      <c r="AA519" s="9"/>
    </row>
    <row r="520" spans="1:27">
      <c r="A520"/>
      <c r="C520" s="216"/>
      <c r="D520" s="29"/>
      <c r="E520" s="242"/>
      <c r="F520" s="227"/>
      <c r="G520" s="227"/>
      <c r="H520" s="232"/>
      <c r="I520" s="276"/>
      <c r="J520" s="276"/>
      <c r="K520" s="277"/>
      <c r="L520" s="277"/>
      <c r="M520" s="268"/>
      <c r="N520" s="176"/>
      <c r="O520" s="269"/>
      <c r="P520" s="236"/>
      <c r="Q520" s="278"/>
      <c r="R520" s="278"/>
      <c r="S520" s="218"/>
      <c r="T520" s="219"/>
      <c r="U520" s="30"/>
      <c r="V520" s="31"/>
      <c r="W520" s="30"/>
      <c r="X520" s="220"/>
      <c r="Y520" s="139"/>
      <c r="Z520" s="9"/>
      <c r="AA520" s="9"/>
    </row>
    <row r="521" spans="1:27">
      <c r="A521"/>
      <c r="C521" s="216"/>
      <c r="D521" s="29"/>
      <c r="E521" s="242"/>
      <c r="F521" s="227"/>
      <c r="G521" s="227"/>
      <c r="H521" s="232"/>
      <c r="I521" s="276"/>
      <c r="J521" s="276"/>
      <c r="K521" s="277"/>
      <c r="L521" s="277"/>
      <c r="M521" s="268"/>
      <c r="N521" s="176"/>
      <c r="O521" s="269"/>
      <c r="P521" s="236"/>
      <c r="Q521" s="278"/>
      <c r="R521" s="278"/>
      <c r="S521" s="218"/>
      <c r="T521" s="219"/>
      <c r="U521" s="30"/>
      <c r="V521" s="31"/>
      <c r="W521" s="30"/>
      <c r="X521" s="220"/>
      <c r="Y521" s="139"/>
      <c r="Z521" s="9"/>
      <c r="AA521" s="9"/>
    </row>
    <row r="522" spans="1:27">
      <c r="A522"/>
      <c r="C522" s="216"/>
      <c r="D522" s="29"/>
      <c r="E522" s="32"/>
      <c r="F522" s="32"/>
      <c r="G522" s="32"/>
      <c r="H522" s="9"/>
      <c r="I522" s="276"/>
      <c r="J522" s="276"/>
      <c r="K522" s="279"/>
      <c r="L522" s="279"/>
      <c r="M522" s="268"/>
      <c r="N522" s="226"/>
      <c r="O522" s="269"/>
      <c r="P522" s="235"/>
      <c r="Q522" s="280"/>
      <c r="R522" s="280"/>
      <c r="S522" s="218"/>
      <c r="T522" s="219"/>
      <c r="U522" s="30"/>
      <c r="V522" s="31"/>
      <c r="W522" s="30"/>
      <c r="X522" s="220"/>
      <c r="Y522" s="139"/>
      <c r="Z522" s="9"/>
      <c r="AA522" s="9"/>
    </row>
    <row r="523" spans="1:27">
      <c r="A523"/>
      <c r="C523" s="216"/>
      <c r="D523" s="29"/>
      <c r="E523" s="32"/>
      <c r="F523" s="32"/>
      <c r="G523" s="32"/>
      <c r="H523" s="9"/>
      <c r="I523" s="276"/>
      <c r="J523" s="276"/>
      <c r="K523" s="279"/>
      <c r="L523" s="279"/>
      <c r="M523" s="268"/>
      <c r="N523" s="226"/>
      <c r="O523" s="269"/>
      <c r="P523" s="235"/>
      <c r="Q523" s="280"/>
      <c r="R523" s="280"/>
      <c r="S523" s="218"/>
      <c r="T523" s="219"/>
      <c r="U523" s="30"/>
      <c r="V523" s="31"/>
      <c r="W523" s="30"/>
      <c r="X523" s="220"/>
      <c r="Y523" s="139"/>
      <c r="Z523" s="9"/>
      <c r="AA523" s="9"/>
    </row>
    <row r="524" spans="1:27">
      <c r="A524"/>
      <c r="C524" s="216"/>
      <c r="D524" s="29"/>
      <c r="E524" s="32"/>
      <c r="F524" s="32"/>
      <c r="G524" s="32"/>
      <c r="H524" s="9"/>
      <c r="I524" s="276"/>
      <c r="J524" s="276"/>
      <c r="K524" s="279"/>
      <c r="L524" s="279"/>
      <c r="M524" s="268"/>
      <c r="N524" s="226"/>
      <c r="O524" s="269"/>
      <c r="P524" s="235"/>
      <c r="Q524" s="280"/>
      <c r="R524" s="280"/>
      <c r="S524" s="218"/>
      <c r="T524" s="219"/>
      <c r="U524" s="30"/>
      <c r="V524" s="31"/>
      <c r="W524" s="30"/>
      <c r="X524" s="220"/>
      <c r="Y524" s="139"/>
      <c r="Z524" s="9"/>
      <c r="AA524" s="9"/>
    </row>
    <row r="525" spans="1:27">
      <c r="A525"/>
      <c r="C525" s="216"/>
      <c r="D525" s="29"/>
      <c r="E525" s="32"/>
      <c r="F525" s="32"/>
      <c r="G525" s="32"/>
      <c r="H525" s="9"/>
      <c r="I525" s="9"/>
      <c r="J525" s="276"/>
      <c r="K525" s="279"/>
      <c r="L525" s="279"/>
      <c r="M525" s="268"/>
      <c r="N525" s="226"/>
      <c r="O525" s="269"/>
      <c r="P525" s="235"/>
      <c r="Q525" s="281"/>
      <c r="R525" s="281"/>
      <c r="S525" s="218"/>
      <c r="T525" s="219"/>
      <c r="U525" s="30"/>
      <c r="V525" s="31"/>
      <c r="W525" s="30"/>
      <c r="X525" s="220"/>
      <c r="Y525" s="139"/>
      <c r="Z525" s="9"/>
      <c r="AA525" s="9"/>
    </row>
    <row r="526" spans="1:27">
      <c r="A526"/>
      <c r="C526" s="216"/>
      <c r="D526" s="29"/>
      <c r="E526" s="32"/>
      <c r="F526" s="32"/>
      <c r="G526" s="32"/>
      <c r="H526" s="9"/>
      <c r="I526" s="276"/>
      <c r="J526" s="276"/>
      <c r="K526" s="279"/>
      <c r="L526" s="279"/>
      <c r="M526" s="268"/>
      <c r="N526" s="226"/>
      <c r="O526" s="269"/>
      <c r="P526" s="235"/>
      <c r="Q526" s="280"/>
      <c r="R526" s="280"/>
      <c r="S526" s="218"/>
      <c r="T526" s="219"/>
      <c r="U526" s="30"/>
      <c r="V526" s="31"/>
      <c r="W526" s="30"/>
      <c r="X526" s="220"/>
      <c r="Y526" s="139"/>
      <c r="Z526" s="9"/>
      <c r="AA526" s="9"/>
    </row>
    <row r="527" spans="1:27">
      <c r="A527"/>
      <c r="C527" s="216"/>
      <c r="D527" s="29"/>
      <c r="E527" s="32"/>
      <c r="F527" s="32"/>
      <c r="G527" s="32"/>
      <c r="H527" s="9"/>
      <c r="I527" s="276"/>
      <c r="J527" s="276"/>
      <c r="K527" s="279"/>
      <c r="L527" s="279"/>
      <c r="M527" s="268"/>
      <c r="N527" s="226"/>
      <c r="O527" s="269"/>
      <c r="P527" s="235"/>
      <c r="Q527" s="280"/>
      <c r="R527" s="280"/>
      <c r="S527" s="218"/>
      <c r="T527" s="219"/>
      <c r="U527" s="30"/>
      <c r="V527" s="31"/>
      <c r="W527" s="30"/>
      <c r="X527" s="220"/>
      <c r="Y527" s="139"/>
      <c r="Z527" s="9"/>
      <c r="AA527" s="9"/>
    </row>
    <row r="528" spans="1:27">
      <c r="A528"/>
      <c r="C528" s="216"/>
      <c r="D528" s="29"/>
      <c r="E528" s="242"/>
      <c r="F528" s="227"/>
      <c r="G528" s="227"/>
      <c r="H528" s="232"/>
      <c r="I528" s="276"/>
      <c r="J528" s="276"/>
      <c r="K528" s="277"/>
      <c r="L528" s="277"/>
      <c r="M528" s="268"/>
      <c r="N528" s="176"/>
      <c r="O528" s="269"/>
      <c r="P528" s="236"/>
      <c r="Q528" s="278"/>
      <c r="R528" s="278"/>
      <c r="S528" s="218"/>
      <c r="T528" s="219"/>
      <c r="U528" s="30"/>
      <c r="V528" s="31"/>
      <c r="W528" s="30"/>
      <c r="X528" s="220"/>
      <c r="Y528" s="139"/>
      <c r="Z528" s="9"/>
      <c r="AA528" s="9"/>
    </row>
    <row r="529" spans="1:27">
      <c r="A529"/>
      <c r="C529" s="216"/>
      <c r="D529" s="29"/>
      <c r="E529" s="32"/>
      <c r="F529" s="32"/>
      <c r="G529" s="32"/>
      <c r="H529" s="9"/>
      <c r="I529" s="276"/>
      <c r="J529" s="276"/>
      <c r="K529" s="279"/>
      <c r="L529" s="279"/>
      <c r="M529" s="268"/>
      <c r="N529" s="226"/>
      <c r="O529" s="269"/>
      <c r="P529" s="235"/>
      <c r="Q529" s="280"/>
      <c r="R529" s="280"/>
      <c r="S529" s="218"/>
      <c r="T529" s="219"/>
      <c r="U529" s="30"/>
      <c r="V529" s="31"/>
      <c r="W529" s="30"/>
      <c r="X529" s="220"/>
      <c r="Y529" s="139"/>
      <c r="Z529" s="9"/>
      <c r="AA529" s="9"/>
    </row>
    <row r="530" spans="1:27">
      <c r="A530"/>
      <c r="C530" s="216"/>
      <c r="D530" s="29"/>
      <c r="E530" s="32"/>
      <c r="F530" s="32"/>
      <c r="G530" s="32"/>
      <c r="H530" s="9"/>
      <c r="I530" s="276"/>
      <c r="J530" s="276"/>
      <c r="K530" s="279"/>
      <c r="L530" s="279"/>
      <c r="M530" s="268"/>
      <c r="N530" s="226"/>
      <c r="O530" s="269"/>
      <c r="P530" s="235"/>
      <c r="Q530" s="280"/>
      <c r="R530" s="280"/>
      <c r="S530" s="218"/>
      <c r="T530" s="219"/>
      <c r="U530" s="30"/>
      <c r="V530" s="31"/>
      <c r="W530" s="30"/>
      <c r="X530" s="220"/>
      <c r="Y530" s="139"/>
      <c r="Z530" s="9"/>
      <c r="AA530" s="9"/>
    </row>
    <row r="531" spans="1:27">
      <c r="A531"/>
      <c r="C531" s="216"/>
      <c r="D531" s="29"/>
      <c r="E531" s="32"/>
      <c r="F531" s="32"/>
      <c r="G531" s="32"/>
      <c r="H531" s="9"/>
      <c r="I531" s="276"/>
      <c r="J531" s="276"/>
      <c r="K531" s="279"/>
      <c r="L531" s="279"/>
      <c r="M531" s="268"/>
      <c r="N531" s="226"/>
      <c r="O531" s="269"/>
      <c r="P531" s="235"/>
      <c r="Q531" s="280"/>
      <c r="R531" s="280"/>
      <c r="S531" s="218"/>
      <c r="T531" s="219"/>
      <c r="U531" s="30"/>
      <c r="V531" s="31"/>
      <c r="W531" s="30"/>
      <c r="X531" s="220"/>
      <c r="Y531" s="139"/>
      <c r="Z531" s="9"/>
      <c r="AA531" s="9"/>
    </row>
    <row r="532" spans="1:27">
      <c r="A532"/>
      <c r="C532" s="216"/>
      <c r="D532" s="29"/>
      <c r="E532" s="32"/>
      <c r="F532" s="32"/>
      <c r="G532" s="32"/>
      <c r="H532" s="9"/>
      <c r="I532" s="276"/>
      <c r="J532" s="276"/>
      <c r="K532" s="279"/>
      <c r="L532" s="279"/>
      <c r="M532" s="268"/>
      <c r="N532" s="226"/>
      <c r="O532" s="269"/>
      <c r="P532" s="235"/>
      <c r="Q532" s="280"/>
      <c r="R532" s="280"/>
      <c r="S532" s="218"/>
      <c r="T532" s="219"/>
      <c r="U532" s="30"/>
      <c r="V532" s="31"/>
      <c r="W532" s="30"/>
      <c r="X532" s="220"/>
      <c r="Y532" s="139"/>
      <c r="Z532" s="9"/>
      <c r="AA532" s="9"/>
    </row>
    <row r="533" spans="1:27">
      <c r="A533"/>
      <c r="C533" s="216"/>
      <c r="D533" s="29"/>
      <c r="E533" s="32"/>
      <c r="F533" s="32"/>
      <c r="G533" s="32"/>
      <c r="H533" s="9"/>
      <c r="I533" s="276"/>
      <c r="J533" s="276"/>
      <c r="K533" s="279"/>
      <c r="L533" s="279"/>
      <c r="M533" s="268"/>
      <c r="N533" s="226"/>
      <c r="O533" s="269"/>
      <c r="P533" s="235"/>
      <c r="Q533" s="280"/>
      <c r="R533" s="280"/>
      <c r="S533" s="218"/>
      <c r="T533" s="219"/>
      <c r="U533" s="30"/>
      <c r="V533" s="31"/>
      <c r="W533" s="30"/>
      <c r="X533" s="220"/>
      <c r="Y533" s="139"/>
      <c r="Z533" s="9"/>
      <c r="AA533" s="9"/>
    </row>
    <row r="534" spans="1:27">
      <c r="A534"/>
      <c r="C534" s="216"/>
      <c r="D534" s="29"/>
      <c r="E534" s="32"/>
      <c r="F534" s="32"/>
      <c r="G534" s="32"/>
      <c r="H534" s="9"/>
      <c r="I534" s="276"/>
      <c r="J534" s="276"/>
      <c r="K534" s="279"/>
      <c r="L534" s="279"/>
      <c r="M534" s="268"/>
      <c r="N534" s="226"/>
      <c r="O534" s="269"/>
      <c r="P534" s="235"/>
      <c r="Q534" s="280"/>
      <c r="R534" s="280"/>
      <c r="S534" s="218"/>
      <c r="T534" s="219"/>
      <c r="U534" s="30"/>
      <c r="V534" s="31"/>
      <c r="W534" s="30"/>
      <c r="X534" s="220"/>
      <c r="Y534" s="139"/>
      <c r="Z534" s="9"/>
      <c r="AA534" s="9"/>
    </row>
    <row r="535" spans="1:27">
      <c r="A535"/>
      <c r="C535" s="216"/>
      <c r="D535" s="29"/>
      <c r="E535" s="32"/>
      <c r="F535" s="32"/>
      <c r="G535" s="32"/>
      <c r="H535" s="9"/>
      <c r="I535" s="276"/>
      <c r="J535" s="276"/>
      <c r="K535" s="279"/>
      <c r="L535" s="279"/>
      <c r="M535" s="268"/>
      <c r="N535" s="226"/>
      <c r="O535" s="269"/>
      <c r="P535" s="235"/>
      <c r="Q535" s="280"/>
      <c r="R535" s="280"/>
      <c r="S535" s="218"/>
      <c r="T535" s="219"/>
      <c r="U535" s="30"/>
      <c r="V535" s="31"/>
      <c r="W535" s="30"/>
      <c r="X535" s="220"/>
      <c r="Y535" s="139"/>
      <c r="Z535" s="9"/>
      <c r="AA535" s="9"/>
    </row>
    <row r="536" spans="1:27">
      <c r="A536"/>
      <c r="C536" s="216"/>
      <c r="D536" s="29"/>
      <c r="E536" s="242"/>
      <c r="F536" s="227"/>
      <c r="G536" s="227"/>
      <c r="H536" s="232"/>
      <c r="I536" s="276"/>
      <c r="J536" s="276"/>
      <c r="K536" s="277"/>
      <c r="L536" s="277"/>
      <c r="M536" s="268"/>
      <c r="N536" s="176"/>
      <c r="O536" s="269"/>
      <c r="P536" s="236"/>
      <c r="Q536" s="278"/>
      <c r="R536" s="278"/>
      <c r="S536" s="218"/>
      <c r="T536" s="219"/>
      <c r="U536" s="30"/>
      <c r="V536" s="31"/>
      <c r="W536" s="30"/>
      <c r="X536" s="220"/>
      <c r="Y536" s="139"/>
      <c r="Z536" s="9"/>
      <c r="AA536" s="9"/>
    </row>
    <row r="537" spans="1:27">
      <c r="A537"/>
      <c r="C537" s="216"/>
      <c r="D537" s="29"/>
      <c r="E537" s="32"/>
      <c r="F537" s="32"/>
      <c r="G537" s="32"/>
      <c r="H537" s="9"/>
      <c r="I537" s="9"/>
      <c r="J537" s="276"/>
      <c r="K537" s="279"/>
      <c r="L537" s="279"/>
      <c r="M537" s="268"/>
      <c r="N537" s="226"/>
      <c r="O537" s="269"/>
      <c r="P537" s="235"/>
      <c r="Q537" s="281"/>
      <c r="R537" s="281"/>
      <c r="S537" s="218"/>
      <c r="T537" s="219"/>
      <c r="U537" s="30"/>
      <c r="V537" s="31"/>
      <c r="W537" s="30"/>
      <c r="X537" s="220"/>
      <c r="Y537" s="139"/>
      <c r="Z537" s="9"/>
      <c r="AA537" s="9"/>
    </row>
    <row r="538" spans="1:27">
      <c r="A538"/>
      <c r="C538" s="216"/>
      <c r="D538" s="29"/>
      <c r="E538" s="32"/>
      <c r="F538" s="32"/>
      <c r="G538" s="32"/>
      <c r="H538" s="9"/>
      <c r="I538" s="276"/>
      <c r="J538" s="276"/>
      <c r="K538" s="279"/>
      <c r="L538" s="279"/>
      <c r="M538" s="268"/>
      <c r="N538" s="226"/>
      <c r="O538" s="269"/>
      <c r="P538" s="235"/>
      <c r="Q538" s="280"/>
      <c r="R538" s="280"/>
      <c r="S538" s="218"/>
      <c r="T538" s="219"/>
      <c r="U538" s="30"/>
      <c r="V538" s="31"/>
      <c r="W538" s="30"/>
      <c r="X538" s="220"/>
      <c r="Y538" s="139"/>
      <c r="Z538" s="9"/>
      <c r="AA538" s="9"/>
    </row>
    <row r="539" spans="1:27">
      <c r="A539"/>
      <c r="C539" s="216"/>
      <c r="D539" s="29"/>
      <c r="E539" s="32"/>
      <c r="F539" s="32"/>
      <c r="G539" s="32"/>
      <c r="H539" s="9"/>
      <c r="I539" s="276"/>
      <c r="J539" s="276"/>
      <c r="K539" s="279"/>
      <c r="L539" s="279"/>
      <c r="M539" s="268"/>
      <c r="N539" s="226"/>
      <c r="O539" s="269"/>
      <c r="P539" s="235"/>
      <c r="Q539" s="280"/>
      <c r="R539" s="280"/>
      <c r="S539" s="218"/>
      <c r="T539" s="219"/>
      <c r="U539" s="30"/>
      <c r="V539" s="31"/>
      <c r="W539" s="30"/>
      <c r="X539" s="220"/>
      <c r="Y539" s="139"/>
      <c r="Z539" s="9"/>
      <c r="AA539" s="9"/>
    </row>
    <row r="540" spans="1:27">
      <c r="A540"/>
      <c r="C540" s="216"/>
      <c r="D540" s="29"/>
      <c r="E540" s="242"/>
      <c r="F540" s="227"/>
      <c r="G540" s="227"/>
      <c r="H540" s="233"/>
      <c r="I540" s="276"/>
      <c r="J540" s="276"/>
      <c r="K540" s="277"/>
      <c r="L540" s="277"/>
      <c r="M540" s="268"/>
      <c r="N540" s="176"/>
      <c r="O540" s="269"/>
      <c r="P540" s="236"/>
      <c r="Q540" s="278"/>
      <c r="R540" s="278"/>
      <c r="S540" s="218"/>
      <c r="T540" s="219"/>
      <c r="U540" s="30"/>
      <c r="V540" s="31"/>
      <c r="W540" s="30"/>
      <c r="X540" s="220"/>
      <c r="Y540" s="139"/>
      <c r="Z540" s="9"/>
      <c r="AA540" s="9"/>
    </row>
    <row r="541" spans="1:27">
      <c r="A541"/>
      <c r="C541" s="216"/>
      <c r="D541" s="29"/>
      <c r="E541" s="242"/>
      <c r="F541" s="227"/>
      <c r="G541" s="227"/>
      <c r="H541" s="232"/>
      <c r="I541" s="276"/>
      <c r="J541" s="276"/>
      <c r="K541" s="277"/>
      <c r="L541" s="277"/>
      <c r="M541" s="268"/>
      <c r="N541" s="176"/>
      <c r="O541" s="269"/>
      <c r="P541" s="236"/>
      <c r="Q541" s="278"/>
      <c r="R541" s="278"/>
      <c r="S541" s="218"/>
      <c r="T541" s="219"/>
      <c r="U541" s="30"/>
      <c r="V541" s="31"/>
      <c r="W541" s="30"/>
      <c r="X541" s="220"/>
      <c r="Y541" s="139"/>
      <c r="Z541" s="9"/>
      <c r="AA541" s="9"/>
    </row>
    <row r="542" spans="1:27">
      <c r="A542"/>
      <c r="C542" s="216"/>
      <c r="D542" s="29"/>
      <c r="E542" s="32"/>
      <c r="F542" s="32"/>
      <c r="G542" s="32"/>
      <c r="H542" s="9"/>
      <c r="I542" s="276"/>
      <c r="J542" s="276"/>
      <c r="K542" s="279"/>
      <c r="L542" s="279"/>
      <c r="M542" s="268"/>
      <c r="N542" s="226"/>
      <c r="O542" s="269"/>
      <c r="P542" s="235"/>
      <c r="Q542" s="280"/>
      <c r="R542" s="280"/>
      <c r="S542" s="218"/>
      <c r="T542" s="219"/>
      <c r="U542" s="30"/>
      <c r="V542" s="31"/>
      <c r="W542" s="30"/>
      <c r="X542" s="220"/>
      <c r="Y542" s="139"/>
      <c r="Z542" s="9"/>
      <c r="AA542" s="9"/>
    </row>
    <row r="543" spans="1:27">
      <c r="A543"/>
      <c r="C543" s="216"/>
      <c r="D543" s="29"/>
      <c r="E543" s="32"/>
      <c r="F543" s="32"/>
      <c r="G543" s="32"/>
      <c r="H543" s="9"/>
      <c r="I543" s="276"/>
      <c r="J543" s="276"/>
      <c r="K543" s="279"/>
      <c r="L543" s="279"/>
      <c r="M543" s="268"/>
      <c r="N543" s="226"/>
      <c r="O543" s="269"/>
      <c r="P543" s="235"/>
      <c r="Q543" s="280"/>
      <c r="R543" s="280"/>
      <c r="S543" s="218"/>
      <c r="T543" s="219"/>
      <c r="U543" s="30"/>
      <c r="V543" s="31"/>
      <c r="W543" s="30"/>
      <c r="X543" s="220"/>
      <c r="Y543" s="139"/>
      <c r="Z543" s="9"/>
      <c r="AA543" s="9"/>
    </row>
    <row r="544" spans="1:27">
      <c r="A544"/>
      <c r="C544" s="216"/>
      <c r="D544" s="29"/>
      <c r="E544" s="32"/>
      <c r="F544" s="32"/>
      <c r="G544" s="32"/>
      <c r="H544" s="9"/>
      <c r="I544" s="276"/>
      <c r="J544" s="276"/>
      <c r="K544" s="279"/>
      <c r="L544" s="279"/>
      <c r="M544" s="268"/>
      <c r="N544" s="226"/>
      <c r="O544" s="269"/>
      <c r="P544" s="235"/>
      <c r="Q544" s="280"/>
      <c r="R544" s="280"/>
      <c r="S544" s="218"/>
      <c r="T544" s="219"/>
      <c r="U544" s="30"/>
      <c r="V544" s="31"/>
      <c r="W544" s="30"/>
      <c r="X544" s="220"/>
      <c r="Y544" s="139"/>
      <c r="Z544" s="9"/>
      <c r="AA544" s="9"/>
    </row>
    <row r="545" spans="1:27">
      <c r="A545"/>
      <c r="C545" s="216"/>
      <c r="D545" s="29"/>
      <c r="E545" s="32"/>
      <c r="F545" s="32"/>
      <c r="G545" s="32"/>
      <c r="H545" s="9"/>
      <c r="I545" s="276"/>
      <c r="J545" s="276"/>
      <c r="K545" s="279"/>
      <c r="L545" s="279"/>
      <c r="M545" s="268"/>
      <c r="N545" s="226"/>
      <c r="O545" s="269"/>
      <c r="P545" s="235"/>
      <c r="Q545" s="280"/>
      <c r="R545" s="280"/>
      <c r="S545" s="218"/>
      <c r="T545" s="219"/>
      <c r="U545" s="30"/>
      <c r="V545" s="31"/>
      <c r="W545" s="30"/>
      <c r="X545" s="220"/>
      <c r="Y545" s="139"/>
      <c r="Z545" s="9"/>
      <c r="AA545" s="9"/>
    </row>
    <row r="546" spans="1:27">
      <c r="A546"/>
      <c r="C546" s="216"/>
      <c r="D546" s="29"/>
      <c r="E546" s="32"/>
      <c r="F546" s="32"/>
      <c r="G546" s="32"/>
      <c r="H546" s="9"/>
      <c r="I546" s="276"/>
      <c r="J546" s="276"/>
      <c r="K546" s="279"/>
      <c r="L546" s="279"/>
      <c r="M546" s="268"/>
      <c r="N546" s="226"/>
      <c r="O546" s="269"/>
      <c r="P546" s="235"/>
      <c r="Q546" s="280"/>
      <c r="R546" s="280"/>
      <c r="S546" s="218"/>
      <c r="T546" s="219"/>
      <c r="U546" s="30"/>
      <c r="V546" s="31"/>
      <c r="W546" s="30"/>
      <c r="X546" s="220"/>
      <c r="Y546" s="139"/>
      <c r="Z546" s="9"/>
      <c r="AA546" s="9"/>
    </row>
    <row r="547" spans="1:27">
      <c r="A547"/>
      <c r="C547" s="216"/>
      <c r="D547" s="29"/>
      <c r="E547" s="242"/>
      <c r="F547" s="227"/>
      <c r="G547" s="227"/>
      <c r="H547" s="232"/>
      <c r="I547" s="276"/>
      <c r="J547" s="276"/>
      <c r="K547" s="277"/>
      <c r="L547" s="277"/>
      <c r="M547" s="268"/>
      <c r="N547" s="176"/>
      <c r="O547" s="269"/>
      <c r="P547" s="236"/>
      <c r="Q547" s="278"/>
      <c r="R547" s="278"/>
      <c r="S547" s="218"/>
      <c r="T547" s="219"/>
      <c r="U547" s="30"/>
      <c r="V547" s="31"/>
      <c r="W547" s="30"/>
      <c r="X547" s="220"/>
      <c r="Y547" s="139"/>
      <c r="Z547" s="9"/>
      <c r="AA547" s="9"/>
    </row>
    <row r="548" spans="1:27">
      <c r="A548"/>
      <c r="C548" s="216"/>
      <c r="D548" s="29"/>
      <c r="E548" s="32"/>
      <c r="F548" s="32"/>
      <c r="G548" s="32"/>
      <c r="H548" s="9"/>
      <c r="I548" s="276"/>
      <c r="J548" s="276"/>
      <c r="K548" s="279"/>
      <c r="L548" s="279"/>
      <c r="M548" s="268"/>
      <c r="N548" s="226"/>
      <c r="O548" s="269"/>
      <c r="P548" s="235"/>
      <c r="Q548" s="280"/>
      <c r="R548" s="280"/>
      <c r="S548" s="218"/>
      <c r="T548" s="219"/>
      <c r="U548" s="30"/>
      <c r="V548" s="31"/>
      <c r="W548" s="30"/>
      <c r="X548" s="220"/>
      <c r="Y548" s="139"/>
      <c r="Z548" s="9"/>
      <c r="AA548" s="9"/>
    </row>
    <row r="549" spans="1:27">
      <c r="A549"/>
      <c r="C549" s="216"/>
      <c r="D549" s="29"/>
      <c r="E549" s="32"/>
      <c r="F549" s="32"/>
      <c r="G549" s="32"/>
      <c r="H549" s="9"/>
      <c r="I549" s="276"/>
      <c r="J549" s="276"/>
      <c r="K549" s="279"/>
      <c r="L549" s="279"/>
      <c r="M549" s="268"/>
      <c r="N549" s="226"/>
      <c r="O549" s="269"/>
      <c r="P549" s="235"/>
      <c r="Q549" s="280"/>
      <c r="R549" s="280"/>
      <c r="S549" s="218"/>
      <c r="T549" s="219"/>
      <c r="U549" s="30"/>
      <c r="V549" s="31"/>
      <c r="W549" s="30"/>
      <c r="X549" s="220"/>
      <c r="Y549" s="139"/>
      <c r="Z549" s="9"/>
      <c r="AA549" s="9"/>
    </row>
    <row r="550" spans="1:27">
      <c r="A550"/>
      <c r="C550" s="216"/>
      <c r="D550" s="29"/>
      <c r="E550" s="32"/>
      <c r="F550" s="32"/>
      <c r="G550" s="32"/>
      <c r="H550" s="9"/>
      <c r="I550" s="276"/>
      <c r="J550" s="276"/>
      <c r="K550" s="279"/>
      <c r="L550" s="279"/>
      <c r="M550" s="268"/>
      <c r="N550" s="226"/>
      <c r="O550" s="269"/>
      <c r="P550" s="235"/>
      <c r="Q550" s="280"/>
      <c r="R550" s="280"/>
      <c r="S550" s="218"/>
      <c r="T550" s="219"/>
      <c r="U550" s="30"/>
      <c r="V550" s="31"/>
      <c r="W550" s="30"/>
      <c r="X550" s="220"/>
      <c r="Y550" s="139"/>
      <c r="Z550" s="9"/>
      <c r="AA550" s="9"/>
    </row>
    <row r="551" spans="1:27">
      <c r="A551"/>
      <c r="C551" s="216"/>
      <c r="D551" s="29"/>
      <c r="E551" s="32"/>
      <c r="F551" s="32"/>
      <c r="G551" s="32"/>
      <c r="H551" s="9"/>
      <c r="I551" s="276"/>
      <c r="J551" s="276"/>
      <c r="K551" s="279"/>
      <c r="L551" s="279"/>
      <c r="M551" s="268"/>
      <c r="N551" s="226"/>
      <c r="O551" s="269"/>
      <c r="P551" s="235"/>
      <c r="Q551" s="280"/>
      <c r="R551" s="280"/>
      <c r="S551" s="218"/>
      <c r="T551" s="219"/>
      <c r="U551" s="30"/>
      <c r="V551" s="31"/>
      <c r="W551" s="30"/>
      <c r="X551" s="220"/>
      <c r="Y551" s="139"/>
      <c r="Z551" s="9"/>
      <c r="AA551" s="9"/>
    </row>
    <row r="552" spans="1:27">
      <c r="A552"/>
      <c r="C552" s="216"/>
      <c r="D552" s="29"/>
      <c r="E552" s="242"/>
      <c r="F552" s="227"/>
      <c r="G552" s="227"/>
      <c r="H552" s="232"/>
      <c r="I552" s="276"/>
      <c r="J552" s="276"/>
      <c r="K552" s="277"/>
      <c r="L552" s="277"/>
      <c r="M552" s="268"/>
      <c r="N552" s="176"/>
      <c r="O552" s="269"/>
      <c r="P552" s="236"/>
      <c r="Q552" s="278"/>
      <c r="R552" s="278"/>
      <c r="S552" s="218"/>
      <c r="T552" s="219"/>
      <c r="U552" s="30"/>
      <c r="V552" s="31"/>
      <c r="W552" s="30"/>
      <c r="X552" s="220"/>
      <c r="Y552" s="139"/>
      <c r="Z552" s="9"/>
      <c r="AA552" s="9"/>
    </row>
    <row r="553" spans="1:27">
      <c r="A553"/>
      <c r="C553" s="216"/>
      <c r="D553" s="29"/>
      <c r="E553" s="32"/>
      <c r="F553" s="32"/>
      <c r="G553" s="32"/>
      <c r="H553" s="9"/>
      <c r="I553" s="276"/>
      <c r="J553" s="276"/>
      <c r="K553" s="279"/>
      <c r="L553" s="279"/>
      <c r="M553" s="268"/>
      <c r="N553" s="226"/>
      <c r="O553" s="269"/>
      <c r="P553" s="235"/>
      <c r="Q553" s="280"/>
      <c r="R553" s="280"/>
      <c r="S553" s="218"/>
      <c r="T553" s="219"/>
      <c r="U553" s="30"/>
      <c r="V553" s="31"/>
      <c r="W553" s="30"/>
      <c r="X553" s="220"/>
      <c r="Y553" s="139"/>
      <c r="Z553" s="9"/>
      <c r="AA553" s="9"/>
    </row>
    <row r="554" spans="1:27">
      <c r="A554"/>
      <c r="C554" s="216"/>
      <c r="D554" s="29"/>
      <c r="E554" s="242"/>
      <c r="F554" s="227"/>
      <c r="G554" s="227"/>
      <c r="H554" s="232"/>
      <c r="I554" s="276"/>
      <c r="J554" s="276"/>
      <c r="K554" s="277"/>
      <c r="L554" s="277"/>
      <c r="M554" s="268"/>
      <c r="N554" s="176"/>
      <c r="O554" s="269"/>
      <c r="P554" s="236"/>
      <c r="Q554" s="278"/>
      <c r="R554" s="278"/>
      <c r="S554" s="218"/>
      <c r="T554" s="219"/>
      <c r="U554" s="30"/>
      <c r="V554" s="31"/>
      <c r="W554" s="30"/>
      <c r="X554" s="220"/>
      <c r="Y554" s="139"/>
      <c r="Z554" s="9"/>
      <c r="AA554" s="9"/>
    </row>
    <row r="555" spans="1:27">
      <c r="A555"/>
      <c r="C555" s="216"/>
      <c r="D555" s="29"/>
      <c r="E555" s="32"/>
      <c r="F555" s="32"/>
      <c r="G555" s="32"/>
      <c r="H555" s="9"/>
      <c r="I555" s="276"/>
      <c r="J555" s="276"/>
      <c r="K555" s="279"/>
      <c r="L555" s="279"/>
      <c r="M555" s="268"/>
      <c r="N555" s="226"/>
      <c r="O555" s="269"/>
      <c r="P555" s="235"/>
      <c r="Q555" s="280"/>
      <c r="R555" s="280"/>
      <c r="S555" s="218"/>
      <c r="T555" s="219"/>
      <c r="U555" s="30"/>
      <c r="V555" s="31"/>
      <c r="W555" s="30"/>
      <c r="X555" s="220"/>
      <c r="Y555" s="139"/>
      <c r="Z555" s="9"/>
      <c r="AA555" s="9"/>
    </row>
    <row r="556" spans="1:27">
      <c r="A556"/>
      <c r="C556" s="216"/>
      <c r="D556" s="29"/>
      <c r="E556" s="32"/>
      <c r="F556" s="32"/>
      <c r="G556" s="32"/>
      <c r="H556" s="9"/>
      <c r="I556" s="9"/>
      <c r="J556" s="276"/>
      <c r="K556" s="279"/>
      <c r="L556" s="279"/>
      <c r="M556" s="268"/>
      <c r="N556" s="226"/>
      <c r="O556" s="269"/>
      <c r="P556" s="235"/>
      <c r="Q556" s="281"/>
      <c r="R556" s="281"/>
      <c r="S556" s="218"/>
      <c r="T556" s="219"/>
      <c r="U556" s="30"/>
      <c r="V556" s="31"/>
      <c r="W556" s="30"/>
      <c r="X556" s="220"/>
      <c r="Y556" s="139"/>
      <c r="Z556" s="9"/>
      <c r="AA556" s="9"/>
    </row>
    <row r="557" spans="1:27">
      <c r="A557"/>
      <c r="C557" s="216"/>
      <c r="D557" s="29"/>
      <c r="E557" s="32"/>
      <c r="F557" s="32"/>
      <c r="G557" s="32"/>
      <c r="H557" s="9"/>
      <c r="I557" s="276"/>
      <c r="J557" s="276"/>
      <c r="K557" s="279"/>
      <c r="L557" s="279"/>
      <c r="M557" s="268"/>
      <c r="N557" s="226"/>
      <c r="O557" s="269"/>
      <c r="P557" s="235"/>
      <c r="Q557" s="280"/>
      <c r="R557" s="280"/>
      <c r="S557" s="218"/>
      <c r="T557" s="219"/>
      <c r="U557" s="30"/>
      <c r="V557" s="31"/>
      <c r="W557" s="30"/>
      <c r="X557" s="220"/>
      <c r="Y557" s="139"/>
      <c r="Z557" s="9"/>
      <c r="AA557" s="9"/>
    </row>
    <row r="558" spans="1:27">
      <c r="A558"/>
      <c r="C558" s="216"/>
      <c r="D558" s="29"/>
      <c r="E558" s="32"/>
      <c r="F558" s="32"/>
      <c r="G558" s="32"/>
      <c r="H558" s="9"/>
      <c r="I558" s="276"/>
      <c r="J558" s="276"/>
      <c r="K558" s="279"/>
      <c r="L558" s="279"/>
      <c r="M558" s="268"/>
      <c r="N558" s="226"/>
      <c r="O558" s="269"/>
      <c r="P558" s="235"/>
      <c r="Q558" s="280"/>
      <c r="R558" s="280"/>
      <c r="S558" s="218"/>
      <c r="T558" s="219"/>
      <c r="U558" s="30"/>
      <c r="V558" s="31"/>
      <c r="W558" s="30"/>
      <c r="X558" s="220"/>
      <c r="Y558" s="139"/>
      <c r="Z558" s="9"/>
      <c r="AA558" s="9"/>
    </row>
    <row r="559" spans="1:27">
      <c r="A559"/>
      <c r="C559" s="216"/>
      <c r="D559" s="29"/>
      <c r="E559" s="32"/>
      <c r="F559" s="32"/>
      <c r="G559" s="32"/>
      <c r="H559" s="9"/>
      <c r="I559" s="276"/>
      <c r="J559" s="276"/>
      <c r="K559" s="279"/>
      <c r="L559" s="279"/>
      <c r="M559" s="268"/>
      <c r="N559" s="226"/>
      <c r="O559" s="269"/>
      <c r="P559" s="235"/>
      <c r="Q559" s="280"/>
      <c r="R559" s="280"/>
      <c r="S559" s="218"/>
      <c r="T559" s="219"/>
      <c r="U559" s="30"/>
      <c r="V559" s="31"/>
      <c r="W559" s="30"/>
      <c r="X559" s="220"/>
      <c r="Y559" s="139"/>
      <c r="Z559" s="9"/>
      <c r="AA559" s="9"/>
    </row>
    <row r="560" spans="1:27">
      <c r="A560"/>
      <c r="C560" s="216"/>
      <c r="D560" s="29"/>
      <c r="E560" s="32"/>
      <c r="F560" s="32"/>
      <c r="G560" s="32"/>
      <c r="H560" s="9"/>
      <c r="I560" s="276"/>
      <c r="J560" s="276"/>
      <c r="K560" s="279"/>
      <c r="L560" s="279"/>
      <c r="M560" s="268"/>
      <c r="N560" s="226"/>
      <c r="O560" s="269"/>
      <c r="P560" s="235"/>
      <c r="Q560" s="280"/>
      <c r="R560" s="280"/>
      <c r="S560" s="218"/>
      <c r="T560" s="219"/>
      <c r="U560" s="30"/>
      <c r="V560" s="31"/>
      <c r="W560" s="30"/>
      <c r="X560" s="220"/>
      <c r="Y560" s="139"/>
      <c r="Z560" s="9"/>
      <c r="AA560" s="9"/>
    </row>
    <row r="561" spans="1:27">
      <c r="A561"/>
      <c r="C561" s="216"/>
      <c r="D561" s="29"/>
      <c r="E561" s="32"/>
      <c r="F561" s="32"/>
      <c r="G561" s="32"/>
      <c r="H561" s="9"/>
      <c r="I561" s="276"/>
      <c r="J561" s="276"/>
      <c r="K561" s="279"/>
      <c r="L561" s="279"/>
      <c r="M561" s="268"/>
      <c r="N561" s="226"/>
      <c r="O561" s="269"/>
      <c r="P561" s="235"/>
      <c r="Q561" s="280"/>
      <c r="R561" s="280"/>
      <c r="S561" s="218"/>
      <c r="T561" s="219"/>
      <c r="U561" s="30"/>
      <c r="V561" s="31"/>
      <c r="W561" s="30"/>
      <c r="X561" s="220"/>
      <c r="Y561" s="139"/>
      <c r="Z561" s="9"/>
      <c r="AA561" s="9"/>
    </row>
    <row r="562" spans="1:27">
      <c r="A562"/>
      <c r="C562" s="216"/>
      <c r="D562" s="29"/>
      <c r="E562" s="242"/>
      <c r="F562" s="227"/>
      <c r="G562" s="227"/>
      <c r="H562" s="232"/>
      <c r="I562" s="276"/>
      <c r="J562" s="276"/>
      <c r="K562" s="277"/>
      <c r="L562" s="277"/>
      <c r="M562" s="268"/>
      <c r="N562" s="176"/>
      <c r="O562" s="269"/>
      <c r="P562" s="236"/>
      <c r="Q562" s="278"/>
      <c r="R562" s="278"/>
      <c r="S562" s="218"/>
      <c r="T562" s="219"/>
      <c r="U562" s="30"/>
      <c r="V562" s="31"/>
      <c r="W562" s="30"/>
      <c r="X562" s="220"/>
      <c r="Y562" s="139"/>
      <c r="Z562" s="9"/>
      <c r="AA562" s="9"/>
    </row>
    <row r="563" spans="1:27">
      <c r="A563"/>
      <c r="C563" s="216"/>
      <c r="D563" s="29"/>
      <c r="E563" s="32"/>
      <c r="F563" s="32"/>
      <c r="G563" s="32"/>
      <c r="H563" s="9"/>
      <c r="I563" s="276"/>
      <c r="J563" s="276"/>
      <c r="K563" s="279"/>
      <c r="L563" s="279"/>
      <c r="M563" s="268"/>
      <c r="N563" s="226"/>
      <c r="O563" s="269"/>
      <c r="P563" s="235"/>
      <c r="Q563" s="280"/>
      <c r="R563" s="280"/>
      <c r="S563" s="218"/>
      <c r="T563" s="219"/>
      <c r="U563" s="30"/>
      <c r="V563" s="31"/>
      <c r="W563" s="30"/>
      <c r="X563" s="220"/>
      <c r="Y563" s="139"/>
      <c r="Z563" s="9"/>
      <c r="AA563" s="9"/>
    </row>
    <row r="564" spans="1:27">
      <c r="A564"/>
      <c r="C564" s="216"/>
      <c r="D564" s="29"/>
      <c r="E564" s="32"/>
      <c r="F564" s="32"/>
      <c r="G564" s="32"/>
      <c r="H564" s="9"/>
      <c r="I564" s="276"/>
      <c r="J564" s="276"/>
      <c r="K564" s="279"/>
      <c r="L564" s="279"/>
      <c r="M564" s="268"/>
      <c r="N564" s="226"/>
      <c r="O564" s="269"/>
      <c r="P564" s="235"/>
      <c r="Q564" s="280"/>
      <c r="R564" s="280"/>
      <c r="S564" s="218"/>
      <c r="T564" s="219"/>
      <c r="U564" s="30"/>
      <c r="V564" s="31"/>
      <c r="W564" s="30"/>
      <c r="X564" s="220"/>
      <c r="Y564" s="139"/>
      <c r="Z564" s="9"/>
      <c r="AA564" s="9"/>
    </row>
    <row r="565" spans="1:27">
      <c r="A565"/>
      <c r="C565" s="216"/>
      <c r="D565" s="29"/>
      <c r="E565" s="32"/>
      <c r="F565" s="32"/>
      <c r="G565" s="32"/>
      <c r="H565" s="9"/>
      <c r="I565" s="276"/>
      <c r="J565" s="276"/>
      <c r="K565" s="279"/>
      <c r="L565" s="279"/>
      <c r="M565" s="268"/>
      <c r="N565" s="226"/>
      <c r="O565" s="269"/>
      <c r="P565" s="235"/>
      <c r="Q565" s="280"/>
      <c r="R565" s="280"/>
      <c r="S565" s="218"/>
      <c r="T565" s="219"/>
      <c r="U565" s="30"/>
      <c r="V565" s="31"/>
      <c r="W565" s="30"/>
      <c r="X565" s="220"/>
      <c r="Y565" s="139"/>
      <c r="Z565" s="9"/>
      <c r="AA565" s="9"/>
    </row>
    <row r="566" spans="1:27">
      <c r="A566"/>
      <c r="C566" s="216"/>
      <c r="D566" s="29"/>
      <c r="E566" s="242"/>
      <c r="F566" s="227"/>
      <c r="G566" s="227"/>
      <c r="H566" s="233"/>
      <c r="I566" s="276"/>
      <c r="J566" s="276"/>
      <c r="K566" s="277"/>
      <c r="L566" s="277"/>
      <c r="M566" s="268"/>
      <c r="N566" s="176"/>
      <c r="O566" s="269"/>
      <c r="P566" s="236"/>
      <c r="Q566" s="278"/>
      <c r="R566" s="278"/>
      <c r="S566" s="218"/>
      <c r="T566" s="219"/>
      <c r="U566" s="30"/>
      <c r="V566" s="31"/>
      <c r="W566" s="30"/>
      <c r="X566" s="220"/>
      <c r="Y566" s="139"/>
      <c r="Z566" s="9"/>
      <c r="AA566" s="9"/>
    </row>
    <row r="567" spans="1:27">
      <c r="A567"/>
      <c r="C567" s="216"/>
      <c r="D567" s="29"/>
      <c r="E567" s="32"/>
      <c r="F567" s="32"/>
      <c r="G567" s="32"/>
      <c r="H567" s="9"/>
      <c r="I567" s="276"/>
      <c r="J567" s="276"/>
      <c r="K567" s="279"/>
      <c r="L567" s="279"/>
      <c r="M567" s="268"/>
      <c r="N567" s="222"/>
      <c r="O567" s="269"/>
      <c r="P567" s="223"/>
      <c r="Q567" s="280"/>
      <c r="R567" s="280"/>
      <c r="S567" s="218"/>
      <c r="T567" s="219"/>
      <c r="U567" s="30"/>
      <c r="V567" s="31"/>
      <c r="W567" s="30"/>
      <c r="X567" s="220"/>
      <c r="Y567" s="139"/>
      <c r="Z567" s="9"/>
      <c r="AA567" s="9"/>
    </row>
    <row r="568" spans="1:27">
      <c r="A568"/>
      <c r="C568" s="216"/>
      <c r="D568" s="29"/>
      <c r="E568" s="32"/>
      <c r="F568" s="32"/>
      <c r="G568" s="32"/>
      <c r="H568" s="9"/>
      <c r="I568" s="276"/>
      <c r="J568" s="276"/>
      <c r="K568" s="279"/>
      <c r="L568" s="279"/>
      <c r="M568" s="268"/>
      <c r="N568" s="226"/>
      <c r="O568" s="269"/>
      <c r="P568" s="235"/>
      <c r="Q568" s="280"/>
      <c r="R568" s="280"/>
      <c r="S568" s="218"/>
      <c r="T568" s="219"/>
      <c r="U568" s="30"/>
      <c r="V568" s="31"/>
      <c r="W568" s="30"/>
      <c r="X568" s="220"/>
      <c r="Y568" s="139"/>
      <c r="Z568" s="9"/>
      <c r="AA568" s="9"/>
    </row>
    <row r="569" spans="1:27">
      <c r="A569"/>
      <c r="C569" s="216"/>
      <c r="D569" s="29"/>
      <c r="E569" s="32"/>
      <c r="H569" s="9"/>
      <c r="I569" s="276"/>
      <c r="J569" s="276"/>
      <c r="K569" s="279"/>
      <c r="L569" s="279"/>
      <c r="M569" s="268"/>
      <c r="N569" s="226"/>
      <c r="O569" s="269"/>
      <c r="P569" s="235"/>
      <c r="Q569" s="280"/>
      <c r="R569" s="280"/>
      <c r="S569" s="218"/>
      <c r="T569" s="219"/>
      <c r="U569" s="30"/>
      <c r="V569" s="31"/>
      <c r="W569" s="30"/>
      <c r="X569" s="220"/>
      <c r="Y569" s="139"/>
      <c r="Z569" s="9"/>
      <c r="AA569" s="9"/>
    </row>
    <row r="570" spans="1:27">
      <c r="A570"/>
      <c r="C570" s="216"/>
      <c r="D570" s="29"/>
      <c r="E570" s="32"/>
      <c r="F570" s="32"/>
      <c r="G570" s="32"/>
      <c r="H570" s="9"/>
      <c r="I570" s="276"/>
      <c r="J570" s="276"/>
      <c r="K570" s="279"/>
      <c r="L570" s="279"/>
      <c r="M570" s="268"/>
      <c r="N570" s="226"/>
      <c r="O570" s="269"/>
      <c r="P570" s="235"/>
      <c r="Q570" s="280"/>
      <c r="R570" s="280"/>
      <c r="S570" s="218"/>
      <c r="T570" s="219"/>
      <c r="U570" s="30"/>
      <c r="V570" s="31"/>
      <c r="W570" s="30"/>
      <c r="X570" s="220"/>
      <c r="Y570" s="139"/>
      <c r="Z570" s="9"/>
      <c r="AA570" s="9"/>
    </row>
    <row r="571" spans="1:27">
      <c r="A571"/>
      <c r="C571" s="216"/>
      <c r="D571" s="29"/>
      <c r="E571" s="242"/>
      <c r="F571" s="227"/>
      <c r="G571" s="227"/>
      <c r="H571" s="232"/>
      <c r="I571" s="276"/>
      <c r="J571" s="276"/>
      <c r="K571" s="277"/>
      <c r="L571" s="277"/>
      <c r="M571" s="268"/>
      <c r="N571" s="176"/>
      <c r="O571" s="269"/>
      <c r="P571" s="236"/>
      <c r="Q571" s="278"/>
      <c r="R571" s="278"/>
      <c r="S571" s="218"/>
      <c r="T571" s="219"/>
      <c r="U571" s="30"/>
      <c r="V571" s="31"/>
      <c r="W571" s="30"/>
      <c r="X571" s="220"/>
      <c r="Y571" s="139"/>
      <c r="Z571" s="9"/>
      <c r="AA571" s="9"/>
    </row>
    <row r="572" spans="1:27">
      <c r="A572"/>
      <c r="C572" s="216"/>
      <c r="D572" s="29"/>
      <c r="E572" s="32"/>
      <c r="F572" s="32"/>
      <c r="G572" s="32"/>
      <c r="H572" s="9"/>
      <c r="I572" s="276"/>
      <c r="J572" s="276"/>
      <c r="K572" s="279"/>
      <c r="L572" s="279"/>
      <c r="M572" s="268"/>
      <c r="N572" s="226"/>
      <c r="O572" s="269"/>
      <c r="P572" s="235"/>
      <c r="Q572" s="280"/>
      <c r="R572" s="280"/>
      <c r="S572" s="218"/>
      <c r="T572" s="219"/>
      <c r="U572" s="30"/>
      <c r="V572" s="31"/>
      <c r="W572" s="30"/>
      <c r="X572" s="220"/>
      <c r="Y572" s="139"/>
      <c r="Z572" s="9"/>
      <c r="AA572" s="9"/>
    </row>
    <row r="573" spans="1:27">
      <c r="A573"/>
      <c r="C573" s="216"/>
      <c r="D573" s="29"/>
      <c r="E573" s="32"/>
      <c r="F573" s="32"/>
      <c r="G573" s="32"/>
      <c r="H573" s="9"/>
      <c r="I573" s="276"/>
      <c r="J573" s="276"/>
      <c r="K573" s="279"/>
      <c r="L573" s="279"/>
      <c r="M573" s="268"/>
      <c r="N573" s="226"/>
      <c r="O573" s="269"/>
      <c r="P573" s="235"/>
      <c r="Q573" s="280"/>
      <c r="R573" s="280"/>
      <c r="S573" s="218"/>
      <c r="T573" s="219"/>
      <c r="U573" s="30"/>
      <c r="V573" s="31"/>
      <c r="W573" s="30"/>
      <c r="X573" s="220"/>
      <c r="Y573" s="139"/>
      <c r="Z573" s="9"/>
      <c r="AA573" s="9"/>
    </row>
    <row r="574" spans="1:27">
      <c r="A574"/>
      <c r="C574" s="216"/>
      <c r="D574" s="29"/>
      <c r="E574" s="32"/>
      <c r="F574" s="32"/>
      <c r="G574" s="32"/>
      <c r="H574" s="9"/>
      <c r="I574" s="9"/>
      <c r="K574" s="284"/>
      <c r="L574" s="284"/>
      <c r="M574" s="268"/>
      <c r="N574" s="226"/>
      <c r="O574" s="269"/>
      <c r="P574" s="235"/>
      <c r="Q574" s="237"/>
      <c r="R574" s="237"/>
      <c r="S574" s="218"/>
      <c r="T574" s="219"/>
      <c r="U574" s="30"/>
      <c r="V574" s="31"/>
      <c r="W574" s="30"/>
      <c r="X574" s="220"/>
      <c r="Y574" s="139"/>
      <c r="Z574" s="9"/>
      <c r="AA574" s="9"/>
    </row>
    <row r="575" spans="1:27">
      <c r="A575"/>
      <c r="C575" s="216"/>
      <c r="D575" s="29"/>
      <c r="E575" s="32"/>
      <c r="F575" s="32"/>
      <c r="G575" s="32"/>
      <c r="H575" s="9"/>
      <c r="I575" s="9"/>
      <c r="K575" s="284"/>
      <c r="L575" s="284"/>
      <c r="M575" s="268"/>
      <c r="N575" s="226"/>
      <c r="O575" s="269"/>
      <c r="P575" s="235"/>
      <c r="Q575" s="237"/>
      <c r="R575" s="237"/>
      <c r="S575" s="218"/>
      <c r="T575" s="219"/>
      <c r="U575" s="30"/>
      <c r="V575" s="31"/>
      <c r="W575" s="30"/>
      <c r="X575" s="220"/>
      <c r="Y575" s="139"/>
      <c r="Z575" s="9"/>
      <c r="AA575" s="9"/>
    </row>
    <row r="576" spans="1:27">
      <c r="A576"/>
      <c r="C576" s="216"/>
      <c r="D576" s="29"/>
      <c r="E576" s="32"/>
      <c r="F576" s="32"/>
      <c r="G576" s="32"/>
      <c r="H576" s="9"/>
      <c r="I576" s="9"/>
      <c r="K576" s="284"/>
      <c r="L576" s="284"/>
      <c r="M576" s="268"/>
      <c r="N576" s="226"/>
      <c r="O576" s="269"/>
      <c r="P576" s="235"/>
      <c r="Q576" s="237"/>
      <c r="R576" s="237"/>
      <c r="S576" s="218"/>
      <c r="T576" s="219"/>
      <c r="U576" s="30"/>
      <c r="V576" s="31"/>
      <c r="W576" s="30"/>
      <c r="X576" s="220"/>
      <c r="Y576" s="139"/>
      <c r="Z576" s="9"/>
      <c r="AA576" s="9"/>
    </row>
    <row r="577" spans="1:27">
      <c r="A577"/>
      <c r="C577" s="216"/>
      <c r="D577" s="29"/>
      <c r="E577" s="242"/>
      <c r="F577" s="227"/>
      <c r="G577" s="227"/>
      <c r="H577" s="232"/>
      <c r="I577" s="9"/>
      <c r="K577" s="217"/>
      <c r="L577" s="217"/>
      <c r="M577" s="268"/>
      <c r="N577" s="176"/>
      <c r="O577" s="269"/>
      <c r="P577" s="236"/>
      <c r="Q577" s="238"/>
      <c r="R577" s="237"/>
      <c r="S577" s="218"/>
      <c r="T577" s="219"/>
      <c r="U577" s="30"/>
      <c r="V577" s="31"/>
      <c r="W577" s="30"/>
      <c r="X577" s="220"/>
      <c r="Y577" s="139"/>
      <c r="Z577" s="9"/>
      <c r="AA577" s="9"/>
    </row>
    <row r="578" spans="1:27">
      <c r="A578"/>
      <c r="C578" s="216"/>
      <c r="D578" s="29"/>
      <c r="E578" s="242"/>
      <c r="F578" s="227"/>
      <c r="G578" s="227"/>
      <c r="H578" s="232"/>
      <c r="I578" s="9"/>
      <c r="K578" s="217"/>
      <c r="L578" s="217"/>
      <c r="M578" s="268"/>
      <c r="N578" s="176"/>
      <c r="O578" s="269"/>
      <c r="P578" s="236"/>
      <c r="Q578" s="238"/>
      <c r="R578" s="237"/>
      <c r="S578" s="218"/>
      <c r="T578" s="219"/>
      <c r="U578" s="30"/>
      <c r="V578" s="31"/>
      <c r="W578" s="30"/>
      <c r="X578" s="220"/>
      <c r="Y578" s="139"/>
      <c r="Z578" s="9"/>
      <c r="AA578" s="9"/>
    </row>
    <row r="579" spans="1:27">
      <c r="A579"/>
      <c r="C579" s="216"/>
      <c r="D579" s="29"/>
      <c r="E579" s="32"/>
      <c r="F579" s="32"/>
      <c r="G579" s="32"/>
      <c r="H579" s="9"/>
      <c r="I579" s="9"/>
      <c r="K579" s="284"/>
      <c r="L579" s="284"/>
      <c r="M579" s="268"/>
      <c r="N579" s="226"/>
      <c r="O579" s="269"/>
      <c r="P579" s="235"/>
      <c r="Q579" s="237"/>
      <c r="R579" s="237"/>
      <c r="S579" s="218"/>
      <c r="T579" s="219"/>
      <c r="U579" s="30"/>
      <c r="V579" s="31"/>
      <c r="W579" s="30"/>
      <c r="X579" s="220"/>
      <c r="Y579" s="139"/>
      <c r="Z579" s="9"/>
      <c r="AA579" s="9"/>
    </row>
    <row r="580" spans="1:27">
      <c r="A580"/>
      <c r="C580" s="216"/>
      <c r="D580" s="29"/>
      <c r="E580" s="32"/>
      <c r="F580" s="32"/>
      <c r="G580" s="32"/>
      <c r="H580" s="9"/>
      <c r="I580" s="9"/>
      <c r="K580" s="284"/>
      <c r="L580" s="284"/>
      <c r="M580" s="268"/>
      <c r="N580" s="226"/>
      <c r="O580" s="269"/>
      <c r="P580" s="235"/>
      <c r="Q580" s="237"/>
      <c r="R580" s="237"/>
      <c r="S580" s="218"/>
      <c r="T580" s="219"/>
      <c r="U580" s="30"/>
      <c r="V580" s="31"/>
      <c r="W580" s="30"/>
      <c r="X580" s="220"/>
      <c r="Y580" s="139"/>
      <c r="Z580" s="9"/>
      <c r="AA580" s="9"/>
    </row>
    <row r="581" spans="1:27">
      <c r="A581"/>
      <c r="C581" s="216"/>
      <c r="D581" s="29"/>
      <c r="E581" s="32"/>
      <c r="F581" s="32"/>
      <c r="G581" s="32"/>
      <c r="H581" s="9"/>
      <c r="I581" s="9"/>
      <c r="K581" s="284"/>
      <c r="L581" s="284"/>
      <c r="M581" s="268"/>
      <c r="N581" s="226"/>
      <c r="O581" s="269"/>
      <c r="P581" s="235"/>
      <c r="Q581" s="237"/>
      <c r="R581" s="237"/>
      <c r="S581" s="218"/>
      <c r="T581" s="219"/>
      <c r="U581" s="30"/>
      <c r="V581" s="31"/>
      <c r="W581" s="30"/>
      <c r="X581" s="220"/>
      <c r="Y581" s="139"/>
      <c r="Z581" s="9"/>
      <c r="AA581" s="9"/>
    </row>
    <row r="582" spans="1:27">
      <c r="A582"/>
      <c r="C582" s="216"/>
      <c r="D582" s="29"/>
      <c r="E582" s="242"/>
      <c r="F582" s="227"/>
      <c r="G582" s="227"/>
      <c r="H582" s="232"/>
      <c r="I582" s="9"/>
      <c r="K582" s="217"/>
      <c r="L582" s="217"/>
      <c r="M582" s="268"/>
      <c r="N582" s="176"/>
      <c r="O582" s="269"/>
      <c r="P582" s="236"/>
      <c r="Q582" s="238"/>
      <c r="R582" s="237"/>
      <c r="S582" s="218"/>
      <c r="T582" s="219"/>
      <c r="U582" s="30"/>
      <c r="V582" s="31"/>
      <c r="W582" s="30"/>
      <c r="X582" s="220"/>
      <c r="Y582" s="139"/>
      <c r="Z582" s="9"/>
      <c r="AA582" s="9"/>
    </row>
    <row r="583" spans="1:27">
      <c r="A583"/>
      <c r="C583" s="216"/>
      <c r="D583" s="29"/>
      <c r="E583" s="32"/>
      <c r="F583" s="32"/>
      <c r="G583" s="32"/>
      <c r="H583" s="9"/>
      <c r="I583" s="9"/>
      <c r="K583" s="284"/>
      <c r="L583" s="284"/>
      <c r="M583" s="268"/>
      <c r="N583" s="226"/>
      <c r="O583" s="269"/>
      <c r="P583" s="235"/>
      <c r="Q583" s="237"/>
      <c r="R583" s="237"/>
      <c r="S583" s="218"/>
      <c r="T583" s="219"/>
      <c r="U583" s="30"/>
      <c r="V583" s="31"/>
      <c r="W583" s="30"/>
      <c r="X583" s="220"/>
      <c r="Y583" s="139"/>
      <c r="Z583" s="9"/>
      <c r="AA583" s="9"/>
    </row>
    <row r="584" spans="1:27">
      <c r="A584"/>
      <c r="C584" s="216"/>
      <c r="D584" s="29"/>
      <c r="E584" s="32"/>
      <c r="F584" s="32"/>
      <c r="G584" s="32"/>
      <c r="H584" s="9"/>
      <c r="I584" s="9"/>
      <c r="K584" s="284"/>
      <c r="L584" s="284"/>
      <c r="M584" s="268"/>
      <c r="N584" s="222"/>
      <c r="O584" s="269"/>
      <c r="P584" s="223"/>
      <c r="Q584" s="237"/>
      <c r="R584" s="237"/>
      <c r="S584" s="218"/>
      <c r="T584" s="219"/>
      <c r="U584" s="30"/>
      <c r="V584" s="31"/>
      <c r="W584" s="30"/>
      <c r="X584" s="220"/>
      <c r="Y584" s="139"/>
      <c r="Z584" s="9"/>
      <c r="AA584" s="9"/>
    </row>
    <row r="585" spans="1:27">
      <c r="A585"/>
      <c r="C585" s="216"/>
      <c r="D585" s="29"/>
      <c r="E585" s="32"/>
      <c r="F585" s="32"/>
      <c r="G585" s="32"/>
      <c r="H585" s="9"/>
      <c r="I585" s="9"/>
      <c r="K585" s="284"/>
      <c r="L585" s="284"/>
      <c r="M585" s="268"/>
      <c r="N585" s="226"/>
      <c r="O585" s="269"/>
      <c r="P585" s="235"/>
      <c r="Q585" s="237"/>
      <c r="R585" s="237"/>
      <c r="S585" s="218"/>
      <c r="T585" s="219"/>
      <c r="U585" s="30"/>
      <c r="V585" s="31"/>
      <c r="W585" s="30"/>
      <c r="X585" s="220"/>
      <c r="Y585" s="139"/>
      <c r="Z585" s="9"/>
      <c r="AA585" s="9"/>
    </row>
    <row r="586" spans="1:27">
      <c r="A586"/>
      <c r="C586" s="216"/>
      <c r="D586" s="29"/>
      <c r="E586" s="32"/>
      <c r="F586" s="32"/>
      <c r="G586" s="32"/>
      <c r="H586" s="9"/>
      <c r="I586" s="9"/>
      <c r="K586" s="284"/>
      <c r="L586" s="284"/>
      <c r="M586" s="268"/>
      <c r="N586" s="226"/>
      <c r="O586" s="269"/>
      <c r="P586" s="235"/>
      <c r="Q586" s="237"/>
      <c r="R586" s="237"/>
      <c r="S586" s="218"/>
      <c r="T586" s="219"/>
      <c r="U586" s="30"/>
      <c r="V586" s="31"/>
      <c r="W586" s="30"/>
      <c r="X586" s="220"/>
      <c r="Y586" s="139"/>
      <c r="Z586" s="9"/>
      <c r="AA586" s="9"/>
    </row>
    <row r="587" spans="1:27">
      <c r="A587"/>
      <c r="C587" s="216"/>
      <c r="D587" s="29"/>
      <c r="E587" s="32"/>
      <c r="F587" s="32"/>
      <c r="G587" s="32"/>
      <c r="H587" s="9"/>
      <c r="I587" s="9"/>
      <c r="K587" s="284"/>
      <c r="L587" s="284"/>
      <c r="M587" s="268"/>
      <c r="N587" s="226"/>
      <c r="O587" s="269"/>
      <c r="P587" s="235"/>
      <c r="Q587" s="237"/>
      <c r="R587" s="237"/>
      <c r="S587" s="218"/>
      <c r="T587" s="219"/>
      <c r="U587" s="30"/>
      <c r="V587" s="31"/>
      <c r="W587" s="30"/>
      <c r="X587" s="220"/>
      <c r="Y587" s="139"/>
      <c r="Z587" s="9"/>
      <c r="AA587" s="9"/>
    </row>
    <row r="588" spans="1:27">
      <c r="A588"/>
      <c r="C588" s="216"/>
      <c r="D588" s="29"/>
      <c r="E588" s="242"/>
      <c r="F588" s="227"/>
      <c r="G588" s="227"/>
      <c r="H588" s="232"/>
      <c r="I588" s="9"/>
      <c r="K588" s="217"/>
      <c r="L588" s="217"/>
      <c r="M588" s="268"/>
      <c r="N588" s="176"/>
      <c r="O588" s="269"/>
      <c r="P588" s="236"/>
      <c r="Q588" s="238"/>
      <c r="R588" s="237"/>
      <c r="S588" s="218"/>
      <c r="T588" s="219"/>
      <c r="U588" s="30"/>
      <c r="V588" s="31"/>
      <c r="W588" s="30"/>
      <c r="X588" s="220"/>
      <c r="Y588" s="139"/>
      <c r="Z588" s="9"/>
      <c r="AA588" s="9"/>
    </row>
    <row r="589" spans="1:27">
      <c r="A589"/>
      <c r="C589" s="216"/>
      <c r="D589" s="29"/>
      <c r="E589" s="32"/>
      <c r="F589" s="32"/>
      <c r="G589" s="32"/>
      <c r="H589" s="9"/>
      <c r="I589" s="9"/>
      <c r="K589" s="284"/>
      <c r="L589" s="284"/>
      <c r="M589" s="268"/>
      <c r="N589" s="226"/>
      <c r="O589" s="269"/>
      <c r="P589" s="235"/>
      <c r="Q589" s="237"/>
      <c r="R589" s="237"/>
      <c r="S589" s="218"/>
      <c r="T589" s="219"/>
      <c r="U589" s="30"/>
      <c r="V589" s="31"/>
      <c r="W589" s="30"/>
      <c r="X589" s="220"/>
      <c r="Y589" s="139"/>
      <c r="Z589" s="9"/>
      <c r="AA589" s="9"/>
    </row>
    <row r="590" spans="1:27">
      <c r="A590"/>
      <c r="C590" s="216"/>
      <c r="D590" s="29"/>
      <c r="E590" s="32"/>
      <c r="F590" s="32"/>
      <c r="G590" s="32"/>
      <c r="H590" s="9"/>
      <c r="I590" s="9"/>
      <c r="K590" s="284"/>
      <c r="L590" s="284"/>
      <c r="M590" s="268"/>
      <c r="N590" s="226"/>
      <c r="O590" s="269"/>
      <c r="P590" s="235"/>
      <c r="Q590" s="237"/>
      <c r="R590" s="237"/>
      <c r="S590" s="218"/>
      <c r="T590" s="219"/>
      <c r="U590" s="30"/>
      <c r="V590" s="31"/>
      <c r="W590" s="30"/>
      <c r="X590" s="220"/>
      <c r="Y590" s="139"/>
      <c r="Z590" s="9"/>
      <c r="AA590" s="9"/>
    </row>
    <row r="591" spans="1:27">
      <c r="A591"/>
      <c r="C591" s="216"/>
      <c r="D591" s="29"/>
      <c r="E591" s="32"/>
      <c r="F591" s="32"/>
      <c r="G591" s="32"/>
      <c r="H591" s="9"/>
      <c r="I591" s="9"/>
      <c r="K591" s="284"/>
      <c r="L591" s="284"/>
      <c r="M591" s="268"/>
      <c r="N591" s="226"/>
      <c r="O591" s="269"/>
      <c r="P591" s="235"/>
      <c r="Q591" s="237"/>
      <c r="R591" s="237"/>
      <c r="S591" s="218"/>
      <c r="T591" s="219"/>
      <c r="U591" s="30"/>
      <c r="V591" s="31"/>
      <c r="W591" s="30"/>
      <c r="X591" s="220"/>
      <c r="Y591" s="139"/>
      <c r="Z591" s="9"/>
      <c r="AA591" s="9"/>
    </row>
    <row r="592" spans="1:27">
      <c r="A592"/>
      <c r="C592" s="216"/>
      <c r="D592" s="29"/>
      <c r="E592" s="32"/>
      <c r="F592" s="32"/>
      <c r="G592" s="32"/>
      <c r="H592" s="9"/>
      <c r="I592" s="9"/>
      <c r="K592" s="284"/>
      <c r="L592" s="284"/>
      <c r="M592" s="268"/>
      <c r="N592" s="226"/>
      <c r="O592" s="269"/>
      <c r="P592" s="235"/>
      <c r="Q592" s="237"/>
      <c r="R592" s="237"/>
      <c r="S592" s="218"/>
      <c r="T592" s="219"/>
      <c r="U592" s="30"/>
      <c r="V592" s="31"/>
      <c r="W592" s="30"/>
      <c r="X592" s="220"/>
      <c r="Y592" s="139"/>
      <c r="Z592" s="9"/>
      <c r="AA592" s="9"/>
    </row>
    <row r="593" spans="1:27">
      <c r="A593"/>
      <c r="C593" s="216"/>
      <c r="D593" s="29"/>
      <c r="E593" s="32"/>
      <c r="F593" s="32"/>
      <c r="G593" s="32"/>
      <c r="H593" s="9"/>
      <c r="I593" s="9"/>
      <c r="K593" s="284"/>
      <c r="L593" s="284"/>
      <c r="M593" s="268"/>
      <c r="N593" s="226"/>
      <c r="O593" s="269"/>
      <c r="P593" s="235"/>
      <c r="Q593" s="237"/>
      <c r="R593" s="237"/>
      <c r="S593" s="218"/>
      <c r="T593" s="219"/>
      <c r="U593" s="30"/>
      <c r="V593" s="31"/>
      <c r="W593" s="30"/>
      <c r="X593" s="220"/>
      <c r="Y593" s="139"/>
      <c r="Z593" s="9"/>
      <c r="AA593" s="9"/>
    </row>
    <row r="594" spans="1:27">
      <c r="A594"/>
      <c r="C594" s="216"/>
      <c r="D594" s="29"/>
      <c r="E594" s="32"/>
      <c r="F594" s="32"/>
      <c r="G594" s="32"/>
      <c r="H594" s="9"/>
      <c r="I594" s="9"/>
      <c r="K594" s="284"/>
      <c r="L594" s="284"/>
      <c r="M594" s="268"/>
      <c r="N594" s="226"/>
      <c r="O594" s="269"/>
      <c r="P594" s="235"/>
      <c r="Q594" s="237"/>
      <c r="R594" s="237"/>
      <c r="S594" s="218"/>
      <c r="T594" s="219"/>
      <c r="U594" s="30"/>
      <c r="V594" s="31"/>
      <c r="W594" s="30"/>
      <c r="X594" s="220"/>
      <c r="Y594" s="139"/>
      <c r="Z594" s="9"/>
      <c r="AA594" s="9"/>
    </row>
    <row r="595" spans="1:27">
      <c r="A595"/>
      <c r="C595" s="216"/>
      <c r="D595" s="29"/>
      <c r="E595" s="32"/>
      <c r="F595" s="32"/>
      <c r="G595" s="32"/>
      <c r="H595" s="9"/>
      <c r="I595" s="9"/>
      <c r="K595" s="284"/>
      <c r="L595" s="284"/>
      <c r="M595" s="268"/>
      <c r="N595" s="226"/>
      <c r="O595" s="269"/>
      <c r="P595" s="235"/>
      <c r="Q595" s="237"/>
      <c r="R595" s="237"/>
      <c r="S595" s="218"/>
      <c r="T595" s="219"/>
      <c r="U595" s="30"/>
      <c r="V595" s="31"/>
      <c r="W595" s="30"/>
      <c r="X595" s="220"/>
      <c r="Y595" s="139"/>
      <c r="Z595" s="9"/>
      <c r="AA595" s="9"/>
    </row>
    <row r="596" spans="1:27">
      <c r="A596"/>
      <c r="C596" s="216"/>
      <c r="D596" s="29"/>
      <c r="E596" s="32"/>
      <c r="F596" s="32"/>
      <c r="G596" s="32"/>
      <c r="H596" s="9"/>
      <c r="I596" s="9"/>
      <c r="K596" s="284"/>
      <c r="L596" s="284"/>
      <c r="M596" s="268"/>
      <c r="N596" s="226"/>
      <c r="O596" s="269"/>
      <c r="P596" s="235"/>
      <c r="Q596" s="237"/>
      <c r="R596" s="237"/>
      <c r="S596" s="218"/>
      <c r="T596" s="219"/>
      <c r="U596" s="30"/>
      <c r="V596" s="31"/>
      <c r="W596" s="30"/>
      <c r="X596" s="220"/>
      <c r="Y596" s="139"/>
      <c r="Z596" s="9"/>
      <c r="AA596" s="9"/>
    </row>
    <row r="597" spans="1:27">
      <c r="A597"/>
      <c r="C597" s="216"/>
      <c r="D597" s="29"/>
      <c r="E597" s="32"/>
      <c r="F597" s="32"/>
      <c r="G597" s="32"/>
      <c r="H597" s="9"/>
      <c r="I597" s="9"/>
      <c r="K597" s="284"/>
      <c r="L597" s="284"/>
      <c r="M597" s="268"/>
      <c r="N597" s="226"/>
      <c r="O597" s="269"/>
      <c r="P597" s="235"/>
      <c r="Q597" s="237"/>
      <c r="R597" s="237"/>
      <c r="S597" s="218"/>
      <c r="T597" s="219"/>
      <c r="U597" s="30"/>
      <c r="V597" s="31"/>
      <c r="W597" s="30"/>
      <c r="X597" s="220"/>
      <c r="Y597" s="139"/>
      <c r="Z597" s="9"/>
      <c r="AA597" s="9"/>
    </row>
    <row r="598" spans="1:27">
      <c r="A598"/>
      <c r="C598" s="216"/>
      <c r="D598" s="29"/>
      <c r="E598" s="32"/>
      <c r="F598" s="32"/>
      <c r="G598" s="32"/>
      <c r="H598" s="9"/>
      <c r="I598" s="9"/>
      <c r="K598" s="284"/>
      <c r="L598" s="284"/>
      <c r="M598" s="268"/>
      <c r="N598" s="226"/>
      <c r="O598" s="269"/>
      <c r="P598" s="235"/>
      <c r="Q598" s="237"/>
      <c r="R598" s="237"/>
      <c r="S598" s="218"/>
      <c r="T598" s="219"/>
      <c r="U598" s="30"/>
      <c r="V598" s="31"/>
      <c r="W598" s="30"/>
      <c r="X598" s="220"/>
      <c r="Y598" s="139"/>
      <c r="Z598" s="9"/>
      <c r="AA598" s="9"/>
    </row>
    <row r="599" spans="1:27">
      <c r="A599"/>
      <c r="C599" s="216"/>
      <c r="D599" s="29"/>
      <c r="E599" s="32"/>
      <c r="F599" s="32"/>
      <c r="G599" s="32"/>
      <c r="H599" s="9"/>
      <c r="I599" s="9"/>
      <c r="K599" s="284"/>
      <c r="L599" s="284"/>
      <c r="M599" s="268"/>
      <c r="N599" s="226"/>
      <c r="O599" s="269"/>
      <c r="P599" s="235"/>
      <c r="Q599" s="237"/>
      <c r="R599" s="237"/>
      <c r="S599" s="218"/>
      <c r="T599" s="219"/>
      <c r="U599" s="30"/>
      <c r="V599" s="31"/>
      <c r="W599" s="30"/>
      <c r="X599" s="220"/>
      <c r="Y599" s="139"/>
      <c r="Z599" s="9"/>
      <c r="AA599" s="9"/>
    </row>
    <row r="600" spans="1:27">
      <c r="A600"/>
      <c r="C600" s="216"/>
      <c r="D600" s="29"/>
      <c r="E600" s="242"/>
      <c r="F600" s="227"/>
      <c r="G600" s="227"/>
      <c r="H600" s="232"/>
      <c r="I600" s="9"/>
      <c r="K600" s="217"/>
      <c r="L600" s="217"/>
      <c r="M600" s="268"/>
      <c r="N600" s="176"/>
      <c r="O600" s="269"/>
      <c r="P600" s="236"/>
      <c r="Q600" s="238"/>
      <c r="R600" s="237"/>
      <c r="S600" s="218"/>
      <c r="T600" s="219"/>
      <c r="U600" s="30"/>
      <c r="V600" s="31"/>
      <c r="W600" s="30"/>
      <c r="X600" s="220"/>
      <c r="Y600" s="139"/>
      <c r="Z600" s="9"/>
      <c r="AA600" s="9"/>
    </row>
    <row r="601" spans="1:27">
      <c r="A601"/>
      <c r="C601" s="216"/>
      <c r="D601" s="29"/>
      <c r="E601" s="242"/>
      <c r="F601" s="227"/>
      <c r="G601" s="227"/>
      <c r="H601" s="233"/>
      <c r="I601" s="9"/>
      <c r="K601" s="285"/>
      <c r="L601" s="285"/>
      <c r="M601" s="268"/>
      <c r="N601" s="176"/>
      <c r="O601" s="269"/>
      <c r="P601" s="236"/>
      <c r="Q601" s="238"/>
      <c r="R601" s="237"/>
      <c r="S601" s="218"/>
      <c r="T601" s="219"/>
      <c r="U601" s="30"/>
      <c r="V601" s="31"/>
      <c r="W601" s="30"/>
      <c r="X601" s="220"/>
      <c r="Y601" s="139"/>
      <c r="Z601" s="9"/>
      <c r="AA601" s="9"/>
    </row>
    <row r="602" spans="1:27">
      <c r="A602"/>
      <c r="C602" s="216"/>
      <c r="D602" s="29"/>
      <c r="E602" s="32"/>
      <c r="F602" s="32"/>
      <c r="G602" s="32"/>
      <c r="H602" s="9"/>
      <c r="I602" s="9"/>
      <c r="K602" s="284"/>
      <c r="L602" s="284"/>
      <c r="M602" s="268"/>
      <c r="N602" s="226"/>
      <c r="O602" s="269"/>
      <c r="P602" s="235"/>
      <c r="Q602" s="237"/>
      <c r="R602" s="237"/>
      <c r="S602" s="218"/>
      <c r="T602" s="219"/>
      <c r="U602" s="30"/>
      <c r="V602" s="31"/>
      <c r="W602" s="30"/>
      <c r="X602" s="220"/>
      <c r="Y602" s="139"/>
      <c r="Z602" s="9"/>
      <c r="AA602" s="9"/>
    </row>
    <row r="603" spans="1:27">
      <c r="A603"/>
      <c r="C603" s="216"/>
      <c r="D603" s="29"/>
      <c r="E603" s="242"/>
      <c r="F603" s="227"/>
      <c r="G603" s="227"/>
      <c r="H603" s="232"/>
      <c r="I603" s="9"/>
      <c r="K603" s="217"/>
      <c r="L603" s="217"/>
      <c r="M603" s="268"/>
      <c r="N603" s="176"/>
      <c r="O603" s="269"/>
      <c r="P603" s="236"/>
      <c r="Q603" s="238"/>
      <c r="R603" s="237"/>
      <c r="S603" s="218"/>
      <c r="T603" s="219"/>
      <c r="U603" s="30"/>
      <c r="V603" s="31"/>
      <c r="W603" s="30"/>
      <c r="X603" s="220"/>
      <c r="Y603" s="139"/>
      <c r="Z603" s="9"/>
      <c r="AA603" s="9"/>
    </row>
    <row r="604" spans="1:27">
      <c r="A604"/>
      <c r="C604" s="216"/>
      <c r="D604" s="29"/>
      <c r="E604" s="32"/>
      <c r="F604" s="32"/>
      <c r="G604" s="32"/>
      <c r="H604" s="9"/>
      <c r="I604" s="9"/>
      <c r="K604" s="284"/>
      <c r="L604" s="284"/>
      <c r="M604" s="268"/>
      <c r="N604" s="226"/>
      <c r="O604" s="269"/>
      <c r="P604" s="235"/>
      <c r="Q604" s="237"/>
      <c r="R604" s="237"/>
      <c r="S604" s="218"/>
      <c r="T604" s="219"/>
      <c r="U604" s="30"/>
      <c r="V604" s="31"/>
      <c r="W604" s="30"/>
      <c r="X604" s="220"/>
      <c r="Y604" s="139"/>
      <c r="Z604" s="9"/>
      <c r="AA604" s="9"/>
    </row>
    <row r="605" spans="1:27">
      <c r="A605"/>
      <c r="C605" s="216"/>
      <c r="D605" s="29"/>
      <c r="E605" s="32"/>
      <c r="F605" s="32"/>
      <c r="G605" s="32"/>
      <c r="H605" s="9"/>
      <c r="I605" s="9"/>
      <c r="K605" s="284"/>
      <c r="L605" s="284"/>
      <c r="M605" s="268"/>
      <c r="N605" s="226"/>
      <c r="O605" s="269"/>
      <c r="P605" s="235"/>
      <c r="Q605" s="237"/>
      <c r="R605" s="237"/>
      <c r="S605" s="218"/>
      <c r="T605" s="219"/>
      <c r="U605" s="30"/>
      <c r="V605" s="31"/>
      <c r="W605" s="30"/>
      <c r="X605" s="220"/>
      <c r="Y605" s="139"/>
      <c r="Z605" s="9"/>
      <c r="AA605" s="9"/>
    </row>
    <row r="606" spans="1:27">
      <c r="A606"/>
      <c r="C606" s="216"/>
      <c r="D606" s="29"/>
      <c r="E606" s="32"/>
      <c r="F606" s="32"/>
      <c r="G606" s="32"/>
      <c r="H606" s="9"/>
      <c r="I606" s="9"/>
      <c r="K606" s="284"/>
      <c r="L606" s="284"/>
      <c r="M606" s="268"/>
      <c r="N606" s="226"/>
      <c r="O606" s="269"/>
      <c r="P606" s="235"/>
      <c r="Q606" s="237"/>
      <c r="R606" s="237"/>
      <c r="S606" s="218"/>
      <c r="T606" s="219"/>
      <c r="U606" s="30"/>
      <c r="V606" s="31"/>
      <c r="W606" s="30"/>
      <c r="X606" s="220"/>
      <c r="Y606" s="139"/>
      <c r="Z606" s="9"/>
      <c r="AA606" s="9"/>
    </row>
    <row r="607" spans="1:27">
      <c r="A607"/>
      <c r="C607" s="216"/>
      <c r="D607" s="29"/>
      <c r="E607" s="32"/>
      <c r="F607" s="32"/>
      <c r="G607" s="32"/>
      <c r="H607" s="9"/>
      <c r="I607" s="9"/>
      <c r="K607" s="284"/>
      <c r="L607" s="284"/>
      <c r="M607" s="268"/>
      <c r="N607" s="226"/>
      <c r="O607" s="269"/>
      <c r="P607" s="235"/>
      <c r="Q607" s="237"/>
      <c r="R607" s="237"/>
      <c r="S607" s="218"/>
      <c r="T607" s="219"/>
      <c r="U607" s="30"/>
      <c r="V607" s="31"/>
      <c r="W607" s="30"/>
      <c r="X607" s="220"/>
      <c r="Y607" s="139"/>
      <c r="Z607" s="9"/>
      <c r="AA607" s="9"/>
    </row>
    <row r="608" spans="1:27">
      <c r="A608"/>
      <c r="C608" s="216"/>
      <c r="D608" s="29"/>
      <c r="E608" s="32"/>
      <c r="F608" s="32"/>
      <c r="G608" s="32"/>
      <c r="H608" s="9"/>
      <c r="I608" s="9"/>
      <c r="K608" s="284"/>
      <c r="L608" s="284"/>
      <c r="M608" s="268"/>
      <c r="N608" s="226"/>
      <c r="O608" s="269"/>
      <c r="P608" s="235"/>
      <c r="Q608" s="237"/>
      <c r="R608" s="237"/>
      <c r="S608" s="218"/>
      <c r="T608" s="219"/>
      <c r="U608" s="30"/>
      <c r="V608" s="31"/>
      <c r="W608" s="30"/>
      <c r="X608" s="220"/>
      <c r="Y608" s="139"/>
      <c r="Z608" s="9"/>
      <c r="AA608" s="9"/>
    </row>
    <row r="609" spans="1:27">
      <c r="A609"/>
      <c r="C609" s="216"/>
      <c r="D609" s="29"/>
      <c r="E609" s="242"/>
      <c r="F609" s="227"/>
      <c r="G609" s="227"/>
      <c r="H609" s="232"/>
      <c r="I609" s="9"/>
      <c r="K609" s="285"/>
      <c r="L609" s="285"/>
      <c r="M609" s="268"/>
      <c r="N609" s="176"/>
      <c r="O609" s="269"/>
      <c r="P609" s="236"/>
      <c r="Q609" s="238"/>
      <c r="R609" s="237"/>
      <c r="S609" s="218"/>
      <c r="T609" s="219"/>
      <c r="U609" s="30"/>
      <c r="V609" s="31"/>
      <c r="W609" s="30"/>
      <c r="X609" s="220"/>
      <c r="Y609" s="139"/>
      <c r="Z609" s="9"/>
      <c r="AA609" s="9"/>
    </row>
    <row r="610" spans="1:27">
      <c r="A610"/>
      <c r="C610" s="216"/>
      <c r="D610" s="29"/>
      <c r="E610" s="32"/>
      <c r="F610" s="32"/>
      <c r="G610" s="32"/>
      <c r="H610" s="9"/>
      <c r="I610" s="9"/>
      <c r="K610" s="284"/>
      <c r="L610" s="284"/>
      <c r="M610" s="268"/>
      <c r="N610" s="226"/>
      <c r="O610" s="269"/>
      <c r="P610" s="235"/>
      <c r="Q610" s="237"/>
      <c r="R610" s="237"/>
      <c r="S610" s="218"/>
      <c r="T610" s="219"/>
      <c r="U610" s="30"/>
      <c r="V610" s="31"/>
      <c r="W610" s="30"/>
      <c r="X610" s="220"/>
      <c r="Y610" s="139"/>
      <c r="Z610" s="9"/>
      <c r="AA610" s="9"/>
    </row>
    <row r="611" spans="1:27">
      <c r="A611"/>
      <c r="C611" s="216"/>
      <c r="D611" s="29"/>
      <c r="E611" s="242"/>
      <c r="F611" s="227"/>
      <c r="G611" s="227"/>
      <c r="H611" s="232"/>
      <c r="I611" s="9"/>
      <c r="K611" s="217"/>
      <c r="L611" s="217"/>
      <c r="M611" s="268"/>
      <c r="N611" s="176"/>
      <c r="O611" s="269"/>
      <c r="P611" s="236"/>
      <c r="Q611" s="238"/>
      <c r="R611" s="237"/>
      <c r="S611" s="218"/>
      <c r="T611" s="219"/>
      <c r="U611" s="30"/>
      <c r="V611" s="31"/>
      <c r="W611" s="30"/>
      <c r="X611" s="220"/>
      <c r="Y611" s="139"/>
      <c r="Z611" s="9"/>
      <c r="AA611" s="9"/>
    </row>
    <row r="612" spans="1:27">
      <c r="A612"/>
      <c r="C612" s="216"/>
      <c r="D612" s="29"/>
      <c r="E612" s="32"/>
      <c r="F612" s="32"/>
      <c r="G612" s="32"/>
      <c r="H612" s="9"/>
      <c r="I612" s="9"/>
      <c r="K612" s="284"/>
      <c r="L612" s="284"/>
      <c r="M612" s="268"/>
      <c r="N612" s="226"/>
      <c r="O612" s="269"/>
      <c r="P612" s="235"/>
      <c r="Q612" s="237"/>
      <c r="R612" s="237"/>
      <c r="S612" s="218"/>
      <c r="T612" s="219"/>
      <c r="U612" s="30"/>
      <c r="V612" s="31"/>
      <c r="W612" s="30"/>
      <c r="X612" s="220"/>
      <c r="Y612" s="139"/>
      <c r="Z612" s="9"/>
      <c r="AA612" s="9"/>
    </row>
    <row r="613" spans="1:27">
      <c r="A613"/>
      <c r="C613" s="216"/>
      <c r="D613" s="29"/>
      <c r="E613" s="32"/>
      <c r="F613" s="32"/>
      <c r="G613" s="32"/>
      <c r="H613" s="9"/>
      <c r="I613" s="9"/>
      <c r="K613" s="284"/>
      <c r="L613" s="284"/>
      <c r="M613" s="268"/>
      <c r="N613" s="226"/>
      <c r="O613" s="269"/>
      <c r="P613" s="235"/>
      <c r="Q613" s="237"/>
      <c r="R613" s="237"/>
      <c r="S613" s="218"/>
      <c r="T613" s="219"/>
      <c r="U613" s="30"/>
      <c r="V613" s="31"/>
      <c r="W613" s="30"/>
      <c r="X613" s="220"/>
      <c r="Y613" s="139"/>
      <c r="Z613" s="9"/>
      <c r="AA613" s="9"/>
    </row>
    <row r="614" spans="1:27">
      <c r="A614"/>
      <c r="C614" s="216"/>
      <c r="D614" s="29"/>
      <c r="E614" s="32"/>
      <c r="F614" s="32"/>
      <c r="G614" s="32"/>
      <c r="H614" s="9"/>
      <c r="I614" s="9"/>
      <c r="K614" s="284"/>
      <c r="L614" s="284"/>
      <c r="M614" s="268"/>
      <c r="N614" s="226"/>
      <c r="O614" s="269"/>
      <c r="P614" s="235"/>
      <c r="Q614" s="237"/>
      <c r="R614" s="237"/>
      <c r="S614" s="218"/>
      <c r="T614" s="219"/>
      <c r="U614" s="30"/>
      <c r="V614" s="31"/>
      <c r="W614" s="30"/>
      <c r="X614" s="220"/>
      <c r="Y614" s="139"/>
      <c r="Z614" s="9"/>
      <c r="AA614" s="9"/>
    </row>
    <row r="615" spans="1:27">
      <c r="A615"/>
      <c r="C615" s="216"/>
      <c r="D615" s="29"/>
      <c r="E615" s="242"/>
      <c r="F615" s="227"/>
      <c r="G615" s="227"/>
      <c r="H615" s="232"/>
      <c r="I615" s="9"/>
      <c r="K615" s="217"/>
      <c r="L615" s="217"/>
      <c r="M615" s="268"/>
      <c r="N615" s="176"/>
      <c r="O615" s="269"/>
      <c r="P615" s="236"/>
      <c r="Q615" s="238"/>
      <c r="R615" s="237"/>
      <c r="S615" s="218"/>
      <c r="T615" s="219"/>
      <c r="U615" s="30"/>
      <c r="V615" s="31"/>
      <c r="W615" s="30"/>
      <c r="X615" s="220"/>
      <c r="Y615" s="139"/>
      <c r="Z615" s="9"/>
      <c r="AA615" s="9"/>
    </row>
    <row r="616" spans="1:27">
      <c r="A616"/>
      <c r="C616" s="216"/>
      <c r="D616" s="29"/>
      <c r="E616" s="242"/>
      <c r="F616" s="227"/>
      <c r="G616" s="227"/>
      <c r="H616" s="232"/>
      <c r="I616" s="9"/>
      <c r="K616" s="217"/>
      <c r="L616" s="217"/>
      <c r="M616" s="268"/>
      <c r="N616" s="176"/>
      <c r="O616" s="269"/>
      <c r="P616" s="236"/>
      <c r="Q616" s="238"/>
      <c r="R616" s="237"/>
      <c r="S616" s="218"/>
      <c r="T616" s="219"/>
      <c r="U616" s="30"/>
      <c r="V616" s="31"/>
      <c r="W616" s="30"/>
      <c r="X616" s="220"/>
      <c r="Y616" s="139"/>
      <c r="Z616" s="9"/>
      <c r="AA616" s="9"/>
    </row>
    <row r="617" spans="1:27">
      <c r="A617"/>
      <c r="C617" s="216"/>
      <c r="D617" s="29"/>
      <c r="E617" s="32"/>
      <c r="F617" s="32"/>
      <c r="G617" s="32"/>
      <c r="H617" s="9"/>
      <c r="I617" s="9"/>
      <c r="K617" s="284"/>
      <c r="L617" s="284"/>
      <c r="M617" s="268"/>
      <c r="N617" s="226"/>
      <c r="O617" s="269"/>
      <c r="P617" s="235"/>
      <c r="Q617" s="237"/>
      <c r="R617" s="237"/>
      <c r="S617" s="218"/>
      <c r="T617" s="219"/>
      <c r="U617" s="30"/>
      <c r="V617" s="31"/>
      <c r="W617" s="30"/>
      <c r="X617" s="220"/>
      <c r="Y617" s="139"/>
      <c r="Z617" s="9"/>
      <c r="AA617" s="9"/>
    </row>
    <row r="618" spans="1:27">
      <c r="A618"/>
      <c r="C618" s="216"/>
      <c r="D618" s="29"/>
      <c r="E618" s="242"/>
      <c r="F618" s="227"/>
      <c r="G618" s="227"/>
      <c r="H618" s="232"/>
      <c r="I618" s="9"/>
      <c r="K618" s="217"/>
      <c r="L618" s="217"/>
      <c r="M618" s="268"/>
      <c r="N618" s="176"/>
      <c r="O618" s="269"/>
      <c r="P618" s="236"/>
      <c r="Q618" s="238"/>
      <c r="R618" s="237"/>
      <c r="S618" s="218"/>
      <c r="T618" s="219"/>
      <c r="U618" s="30"/>
      <c r="V618" s="31"/>
      <c r="W618" s="30"/>
      <c r="X618" s="220"/>
      <c r="Y618" s="139"/>
      <c r="Z618" s="9"/>
      <c r="AA618" s="9"/>
    </row>
    <row r="619" spans="1:27">
      <c r="A619"/>
      <c r="C619" s="216"/>
      <c r="D619" s="29"/>
      <c r="E619" s="242"/>
      <c r="F619" s="227"/>
      <c r="G619" s="227"/>
      <c r="H619" s="232"/>
      <c r="I619" s="9"/>
      <c r="K619" s="217"/>
      <c r="L619" s="217"/>
      <c r="M619" s="268"/>
      <c r="N619" s="176"/>
      <c r="O619" s="269"/>
      <c r="P619" s="236"/>
      <c r="Q619" s="238"/>
      <c r="R619" s="237"/>
      <c r="S619" s="218"/>
      <c r="T619" s="219"/>
      <c r="U619" s="30"/>
      <c r="V619" s="31"/>
      <c r="W619" s="30"/>
      <c r="X619" s="220"/>
      <c r="Y619" s="139"/>
      <c r="Z619" s="9"/>
      <c r="AA619" s="9"/>
    </row>
    <row r="620" spans="1:27">
      <c r="A620"/>
      <c r="C620" s="216"/>
      <c r="D620" s="29"/>
      <c r="E620" s="242"/>
      <c r="F620" s="227"/>
      <c r="G620" s="227"/>
      <c r="H620" s="232"/>
      <c r="I620" s="9"/>
      <c r="K620" s="217"/>
      <c r="L620" s="217"/>
      <c r="M620" s="268"/>
      <c r="N620" s="176"/>
      <c r="O620" s="269"/>
      <c r="P620" s="236"/>
      <c r="Q620" s="238"/>
      <c r="R620" s="237"/>
      <c r="S620" s="218"/>
      <c r="T620" s="219"/>
      <c r="U620" s="30"/>
      <c r="V620" s="31"/>
      <c r="W620" s="30"/>
      <c r="X620" s="220"/>
      <c r="Y620" s="139"/>
      <c r="Z620" s="9"/>
      <c r="AA620" s="9"/>
    </row>
    <row r="621" spans="1:27">
      <c r="A621"/>
      <c r="C621" s="216"/>
      <c r="D621" s="29"/>
      <c r="E621" s="32"/>
      <c r="F621" s="32"/>
      <c r="G621" s="32"/>
      <c r="H621" s="9"/>
      <c r="I621" s="9"/>
      <c r="K621" s="284"/>
      <c r="L621" s="284"/>
      <c r="M621" s="268"/>
      <c r="N621" s="226"/>
      <c r="O621" s="269"/>
      <c r="P621" s="235"/>
      <c r="Q621" s="237"/>
      <c r="R621" s="237"/>
      <c r="S621" s="218"/>
      <c r="T621" s="219"/>
      <c r="U621" s="30"/>
      <c r="V621" s="31"/>
      <c r="W621" s="30"/>
      <c r="X621" s="220"/>
      <c r="Y621" s="139"/>
      <c r="Z621" s="9"/>
      <c r="AA621" s="9"/>
    </row>
    <row r="622" spans="1:27">
      <c r="A622"/>
      <c r="C622" s="216"/>
      <c r="D622" s="29"/>
      <c r="E622" s="32"/>
      <c r="F622" s="32"/>
      <c r="G622" s="32"/>
      <c r="H622" s="9"/>
      <c r="I622" s="9"/>
      <c r="K622" s="284"/>
      <c r="L622" s="284"/>
      <c r="M622" s="268"/>
      <c r="N622" s="226"/>
      <c r="O622" s="269"/>
      <c r="P622" s="235"/>
      <c r="Q622" s="237"/>
      <c r="R622" s="237"/>
      <c r="S622" s="218"/>
      <c r="T622" s="219"/>
      <c r="U622" s="30"/>
      <c r="V622" s="31"/>
      <c r="W622" s="30"/>
      <c r="X622" s="220"/>
      <c r="Y622" s="139"/>
      <c r="Z622" s="9"/>
      <c r="AA622" s="9"/>
    </row>
    <row r="623" spans="1:27">
      <c r="A623"/>
      <c r="C623" s="216"/>
      <c r="D623" s="29"/>
      <c r="E623" s="32"/>
      <c r="H623" s="9"/>
      <c r="I623" s="9"/>
      <c r="K623" s="284"/>
      <c r="L623" s="284"/>
      <c r="M623" s="268"/>
      <c r="N623" s="226"/>
      <c r="O623" s="269"/>
      <c r="P623" s="235"/>
      <c r="Q623" s="237"/>
      <c r="R623" s="237"/>
      <c r="S623" s="218"/>
      <c r="T623" s="219"/>
      <c r="U623" s="30"/>
      <c r="V623" s="31"/>
      <c r="W623" s="30"/>
      <c r="X623" s="220"/>
      <c r="Y623" s="139"/>
      <c r="Z623" s="9"/>
      <c r="AA623" s="9"/>
    </row>
    <row r="624" spans="1:27">
      <c r="A624"/>
      <c r="C624" s="216"/>
      <c r="D624" s="29"/>
      <c r="E624" s="32"/>
      <c r="F624" s="32"/>
      <c r="G624" s="32"/>
      <c r="H624" s="9"/>
      <c r="I624" s="9"/>
      <c r="K624" s="284"/>
      <c r="L624" s="284"/>
      <c r="M624" s="268"/>
      <c r="N624" s="226"/>
      <c r="O624" s="269"/>
      <c r="P624" s="235"/>
      <c r="Q624" s="237"/>
      <c r="R624" s="237"/>
      <c r="S624" s="218"/>
      <c r="T624" s="219"/>
      <c r="U624" s="30"/>
      <c r="V624" s="31"/>
      <c r="W624" s="30"/>
      <c r="X624" s="220"/>
      <c r="Y624" s="139"/>
      <c r="Z624" s="9"/>
      <c r="AA624" s="9"/>
    </row>
    <row r="625" spans="1:27">
      <c r="A625"/>
      <c r="C625" s="216"/>
      <c r="D625" s="29"/>
      <c r="E625" s="32"/>
      <c r="F625" s="32"/>
      <c r="G625" s="32"/>
      <c r="H625" s="9"/>
      <c r="I625" s="9"/>
      <c r="K625" s="284"/>
      <c r="L625" s="284"/>
      <c r="M625" s="268"/>
      <c r="N625" s="226"/>
      <c r="O625" s="269"/>
      <c r="P625" s="235"/>
      <c r="Q625" s="237"/>
      <c r="R625" s="237"/>
      <c r="S625" s="218"/>
      <c r="T625" s="219"/>
      <c r="U625" s="30"/>
      <c r="V625" s="31"/>
      <c r="W625" s="30"/>
      <c r="X625" s="220"/>
      <c r="Y625" s="139"/>
      <c r="Z625" s="9"/>
      <c r="AA625" s="9"/>
    </row>
    <row r="626" spans="1:27">
      <c r="A626"/>
      <c r="C626" s="216"/>
      <c r="D626" s="29"/>
      <c r="E626" s="32"/>
      <c r="F626" s="32"/>
      <c r="G626" s="32"/>
      <c r="H626" s="9"/>
      <c r="I626" s="9"/>
      <c r="K626" s="284"/>
      <c r="L626" s="284"/>
      <c r="M626" s="268"/>
      <c r="N626" s="226"/>
      <c r="O626" s="269"/>
      <c r="P626" s="235"/>
      <c r="Q626" s="237"/>
      <c r="R626" s="237"/>
      <c r="S626" s="218"/>
      <c r="T626" s="219"/>
      <c r="U626" s="30"/>
      <c r="V626" s="31"/>
      <c r="W626" s="30"/>
      <c r="X626" s="220"/>
      <c r="Y626" s="139"/>
      <c r="Z626" s="9"/>
      <c r="AA626" s="9"/>
    </row>
    <row r="627" spans="1:27">
      <c r="A627"/>
      <c r="C627" s="216"/>
      <c r="D627" s="29"/>
      <c r="E627" s="242"/>
      <c r="F627" s="227"/>
      <c r="G627" s="227"/>
      <c r="H627" s="232"/>
      <c r="I627" s="9"/>
      <c r="K627" s="217"/>
      <c r="L627" s="217"/>
      <c r="M627" s="268"/>
      <c r="N627" s="176"/>
      <c r="O627" s="269"/>
      <c r="P627" s="236"/>
      <c r="Q627" s="238"/>
      <c r="R627" s="237"/>
      <c r="S627" s="218"/>
      <c r="T627" s="219"/>
      <c r="U627" s="30"/>
      <c r="V627" s="31"/>
      <c r="W627" s="30"/>
      <c r="X627" s="220"/>
      <c r="Y627" s="139"/>
      <c r="Z627" s="9"/>
      <c r="AA627" s="9"/>
    </row>
    <row r="628" spans="1:27">
      <c r="A628"/>
      <c r="C628" s="216"/>
      <c r="D628" s="29"/>
      <c r="E628" s="242"/>
      <c r="F628" s="227"/>
      <c r="G628" s="227"/>
      <c r="H628" s="232"/>
      <c r="I628" s="9"/>
      <c r="K628" s="217"/>
      <c r="L628" s="217"/>
      <c r="M628" s="268"/>
      <c r="N628" s="176"/>
      <c r="O628" s="269"/>
      <c r="P628" s="236"/>
      <c r="Q628" s="238"/>
      <c r="R628" s="237"/>
      <c r="S628" s="218"/>
      <c r="T628" s="219"/>
      <c r="U628" s="30"/>
      <c r="V628" s="31"/>
      <c r="W628" s="30"/>
      <c r="X628" s="220"/>
      <c r="Y628" s="139"/>
      <c r="Z628" s="9"/>
      <c r="AA628" s="9"/>
    </row>
    <row r="629" spans="1:27">
      <c r="A629"/>
      <c r="C629" s="216"/>
      <c r="D629" s="29"/>
      <c r="E629" s="242"/>
      <c r="F629" s="58"/>
      <c r="G629" s="58"/>
      <c r="H629" s="29"/>
      <c r="I629" s="9"/>
      <c r="K629" s="217"/>
      <c r="L629" s="217"/>
      <c r="M629" s="268"/>
      <c r="N629" s="176"/>
      <c r="O629" s="269"/>
      <c r="P629" s="236"/>
      <c r="Q629" s="238"/>
      <c r="R629" s="237"/>
      <c r="S629" s="218"/>
      <c r="T629" s="219"/>
      <c r="U629" s="30"/>
      <c r="V629" s="31"/>
      <c r="W629" s="30"/>
      <c r="X629" s="220"/>
      <c r="Y629" s="139"/>
      <c r="Z629" s="9"/>
      <c r="AA629" s="9"/>
    </row>
    <row r="630" spans="1:27">
      <c r="A630"/>
      <c r="C630" s="216"/>
      <c r="D630" s="29"/>
      <c r="E630" s="242"/>
      <c r="F630" s="227"/>
      <c r="G630" s="227"/>
      <c r="H630" s="232"/>
      <c r="I630" s="9"/>
      <c r="K630" s="217"/>
      <c r="L630" s="217"/>
      <c r="M630" s="268"/>
      <c r="N630" s="176"/>
      <c r="O630" s="269"/>
      <c r="P630" s="236"/>
      <c r="Q630" s="238"/>
      <c r="R630" s="237"/>
      <c r="S630" s="218"/>
      <c r="T630" s="219"/>
      <c r="U630" s="30"/>
      <c r="V630" s="31"/>
      <c r="W630" s="30"/>
      <c r="X630" s="220"/>
      <c r="Y630" s="139"/>
      <c r="Z630" s="9"/>
      <c r="AA630" s="9"/>
    </row>
    <row r="631" spans="1:27">
      <c r="A631"/>
      <c r="C631" s="216"/>
      <c r="D631" s="29"/>
      <c r="E631" s="32"/>
      <c r="F631" s="32"/>
      <c r="G631" s="32"/>
      <c r="H631" s="9"/>
      <c r="I631" s="9"/>
      <c r="K631" s="284"/>
      <c r="L631" s="284"/>
      <c r="M631" s="268"/>
      <c r="N631" s="226"/>
      <c r="O631" s="269"/>
      <c r="P631" s="235"/>
      <c r="Q631" s="237"/>
      <c r="R631" s="237"/>
      <c r="S631" s="218"/>
      <c r="T631" s="219"/>
      <c r="U631" s="30"/>
      <c r="V631" s="31"/>
      <c r="W631" s="30"/>
      <c r="X631" s="220"/>
      <c r="Y631" s="139"/>
      <c r="Z631" s="9"/>
      <c r="AA631" s="9"/>
    </row>
    <row r="632" spans="1:27">
      <c r="A632"/>
      <c r="C632" s="216"/>
      <c r="D632" s="29"/>
      <c r="E632" s="242"/>
      <c r="F632" s="288"/>
      <c r="G632" s="288"/>
      <c r="H632" s="232"/>
      <c r="I632" s="9"/>
      <c r="K632" s="217"/>
      <c r="L632" s="217"/>
      <c r="M632" s="268"/>
      <c r="N632" s="176"/>
      <c r="O632" s="269"/>
      <c r="P632" s="236"/>
      <c r="Q632" s="238"/>
      <c r="R632" s="237"/>
      <c r="S632" s="218"/>
      <c r="T632" s="219"/>
      <c r="U632" s="30"/>
      <c r="V632" s="31"/>
      <c r="W632" s="30"/>
      <c r="X632" s="220"/>
      <c r="Y632" s="139"/>
      <c r="Z632" s="9"/>
      <c r="AA632" s="9"/>
    </row>
    <row r="633" spans="1:27">
      <c r="A633"/>
      <c r="C633" s="216"/>
      <c r="D633" s="29"/>
      <c r="E633" s="32"/>
      <c r="H633" s="9"/>
      <c r="I633" s="9"/>
      <c r="K633" s="284"/>
      <c r="L633" s="284"/>
      <c r="M633" s="268"/>
      <c r="N633" s="226"/>
      <c r="O633" s="269"/>
      <c r="P633" s="235"/>
      <c r="Q633" s="237"/>
      <c r="R633" s="237"/>
      <c r="S633" s="218"/>
      <c r="T633" s="219"/>
      <c r="U633" s="30"/>
      <c r="V633" s="31"/>
      <c r="W633" s="30"/>
      <c r="X633" s="220"/>
      <c r="Y633" s="139"/>
      <c r="Z633" s="9"/>
      <c r="AA633" s="9"/>
    </row>
    <row r="634" spans="1:27">
      <c r="A634"/>
      <c r="C634" s="216"/>
      <c r="D634" s="29"/>
      <c r="E634" s="32"/>
      <c r="F634" s="32"/>
      <c r="G634" s="32"/>
      <c r="H634" s="9"/>
      <c r="I634" s="9"/>
      <c r="K634" s="284"/>
      <c r="L634" s="284"/>
      <c r="M634" s="268"/>
      <c r="N634" s="226"/>
      <c r="O634" s="269"/>
      <c r="P634" s="235"/>
      <c r="Q634" s="237"/>
      <c r="R634" s="237"/>
      <c r="S634" s="218"/>
      <c r="T634" s="219"/>
      <c r="U634" s="30"/>
      <c r="V634" s="31"/>
      <c r="W634" s="30"/>
      <c r="X634" s="220"/>
      <c r="Y634" s="139"/>
      <c r="Z634" s="9"/>
      <c r="AA634" s="9"/>
    </row>
    <row r="635" spans="1:27">
      <c r="A635"/>
      <c r="C635" s="216"/>
      <c r="D635" s="29"/>
      <c r="E635" s="32"/>
      <c r="H635" s="9"/>
      <c r="I635" s="9"/>
      <c r="K635" s="284"/>
      <c r="L635" s="284"/>
      <c r="M635" s="268"/>
      <c r="N635" s="226"/>
      <c r="O635" s="269"/>
      <c r="P635" s="235"/>
      <c r="Q635" s="237"/>
      <c r="R635" s="237"/>
      <c r="S635" s="218"/>
      <c r="T635" s="219"/>
      <c r="U635" s="30"/>
      <c r="V635" s="31"/>
      <c r="W635" s="30"/>
      <c r="X635" s="220"/>
      <c r="Y635" s="139"/>
      <c r="Z635" s="9"/>
      <c r="AA635" s="9"/>
    </row>
    <row r="636" spans="1:27">
      <c r="A636"/>
      <c r="C636" s="216"/>
      <c r="D636" s="29"/>
      <c r="E636" s="242"/>
      <c r="F636" s="227"/>
      <c r="G636" s="227"/>
      <c r="H636" s="232"/>
      <c r="I636" s="9"/>
      <c r="K636" s="285"/>
      <c r="L636" s="285"/>
      <c r="M636" s="268"/>
      <c r="N636" s="176"/>
      <c r="O636" s="269"/>
      <c r="P636" s="236"/>
      <c r="Q636" s="238"/>
      <c r="R636" s="237"/>
      <c r="S636" s="218"/>
      <c r="T636" s="219"/>
      <c r="U636" s="30"/>
      <c r="V636" s="31"/>
      <c r="W636" s="30"/>
      <c r="X636" s="220"/>
      <c r="Y636" s="139"/>
      <c r="Z636" s="9"/>
      <c r="AA636" s="9"/>
    </row>
    <row r="637" spans="1:27">
      <c r="A637"/>
      <c r="C637" s="216"/>
      <c r="D637" s="29"/>
      <c r="E637" s="242"/>
      <c r="F637" s="227"/>
      <c r="G637" s="227"/>
      <c r="H637" s="232"/>
      <c r="I637" s="9"/>
      <c r="K637" s="217"/>
      <c r="L637" s="217"/>
      <c r="M637" s="268"/>
      <c r="N637" s="176"/>
      <c r="O637" s="269"/>
      <c r="P637" s="236"/>
      <c r="Q637" s="238"/>
      <c r="R637" s="237"/>
      <c r="S637" s="218"/>
      <c r="T637" s="219"/>
      <c r="U637" s="30"/>
      <c r="V637" s="31"/>
      <c r="W637" s="30"/>
      <c r="X637" s="220"/>
      <c r="Y637" s="139"/>
      <c r="Z637" s="9"/>
      <c r="AA637" s="9"/>
    </row>
    <row r="638" spans="1:27">
      <c r="A638"/>
      <c r="C638" s="216"/>
      <c r="D638" s="29"/>
      <c r="E638" s="32"/>
      <c r="F638" s="32"/>
      <c r="G638" s="32"/>
      <c r="H638" s="9"/>
      <c r="I638" s="9"/>
      <c r="K638" s="284"/>
      <c r="L638" s="284"/>
      <c r="M638" s="268"/>
      <c r="N638" s="226"/>
      <c r="O638" s="269"/>
      <c r="P638" s="235"/>
      <c r="Q638" s="237"/>
      <c r="R638" s="237"/>
      <c r="S638" s="218"/>
      <c r="T638" s="219"/>
      <c r="U638" s="30"/>
      <c r="V638" s="31"/>
      <c r="W638" s="30"/>
      <c r="X638" s="220"/>
      <c r="Y638" s="139"/>
      <c r="Z638" s="9"/>
      <c r="AA638" s="9"/>
    </row>
    <row r="639" spans="1:27">
      <c r="A639"/>
      <c r="C639" s="216"/>
      <c r="D639" s="29"/>
      <c r="E639" s="242"/>
      <c r="F639" s="227"/>
      <c r="G639" s="227"/>
      <c r="H639" s="232"/>
      <c r="I639" s="9"/>
      <c r="K639" s="217"/>
      <c r="L639" s="217"/>
      <c r="M639" s="268"/>
      <c r="N639" s="176"/>
      <c r="O639" s="269"/>
      <c r="P639" s="236"/>
      <c r="Q639" s="238"/>
      <c r="R639" s="237"/>
      <c r="S639" s="218"/>
      <c r="T639" s="219"/>
      <c r="U639" s="30"/>
      <c r="V639" s="31"/>
      <c r="W639" s="30"/>
      <c r="X639" s="220"/>
      <c r="Y639" s="139"/>
      <c r="Z639" s="9"/>
      <c r="AA639" s="9"/>
    </row>
    <row r="640" spans="1:27">
      <c r="A640"/>
      <c r="C640" s="216"/>
      <c r="D640" s="29"/>
      <c r="E640" s="32"/>
      <c r="H640" s="9"/>
      <c r="I640" s="9"/>
      <c r="K640" s="284"/>
      <c r="L640" s="284"/>
      <c r="M640" s="268"/>
      <c r="N640" s="226"/>
      <c r="O640" s="269"/>
      <c r="P640" s="235"/>
      <c r="Q640" s="237"/>
      <c r="R640" s="237"/>
      <c r="S640" s="218"/>
      <c r="T640" s="219"/>
      <c r="U640" s="30"/>
      <c r="V640" s="31"/>
      <c r="W640" s="30"/>
      <c r="X640" s="220"/>
      <c r="Y640" s="139"/>
      <c r="Z640" s="9"/>
      <c r="AA640" s="9"/>
    </row>
    <row r="641" spans="1:27">
      <c r="A641"/>
      <c r="C641" s="216"/>
      <c r="D641" s="29"/>
      <c r="E641" s="32"/>
      <c r="F641" s="32"/>
      <c r="G641" s="32"/>
      <c r="H641" s="9"/>
      <c r="I641" s="9"/>
      <c r="K641" s="284"/>
      <c r="L641" s="284"/>
      <c r="M641" s="268"/>
      <c r="N641" s="226"/>
      <c r="O641" s="269"/>
      <c r="P641" s="235"/>
      <c r="Q641" s="237"/>
      <c r="R641" s="237"/>
      <c r="S641" s="218"/>
      <c r="T641" s="219"/>
      <c r="U641" s="30"/>
      <c r="V641" s="31"/>
      <c r="W641" s="30"/>
      <c r="X641" s="220"/>
      <c r="Y641" s="139"/>
      <c r="Z641" s="9"/>
      <c r="AA641" s="9"/>
    </row>
    <row r="642" spans="1:27">
      <c r="A642"/>
      <c r="C642" s="216"/>
      <c r="D642" s="29"/>
      <c r="E642" s="242"/>
      <c r="F642" s="227"/>
      <c r="G642" s="227"/>
      <c r="H642" s="233"/>
      <c r="I642" s="9"/>
      <c r="K642" s="285"/>
      <c r="L642" s="285"/>
      <c r="M642" s="268"/>
      <c r="N642" s="176"/>
      <c r="O642" s="269"/>
      <c r="P642" s="236"/>
      <c r="Q642" s="238"/>
      <c r="R642" s="237"/>
      <c r="S642" s="218"/>
      <c r="T642" s="219"/>
      <c r="U642" s="30"/>
      <c r="V642" s="31"/>
      <c r="W642" s="30"/>
      <c r="X642" s="220"/>
      <c r="Y642" s="139"/>
      <c r="Z642" s="9"/>
      <c r="AA642" s="9"/>
    </row>
    <row r="643" spans="1:27">
      <c r="A643"/>
      <c r="C643" s="216"/>
      <c r="D643" s="29"/>
      <c r="E643" s="32"/>
      <c r="F643" s="32"/>
      <c r="G643" s="32"/>
      <c r="H643" s="9"/>
      <c r="I643" s="9"/>
      <c r="K643" s="284"/>
      <c r="L643" s="284"/>
      <c r="M643" s="268"/>
      <c r="N643" s="222"/>
      <c r="O643" s="269"/>
      <c r="P643" s="223"/>
      <c r="Q643" s="237"/>
      <c r="R643" s="237"/>
      <c r="S643" s="218"/>
      <c r="T643" s="219"/>
      <c r="U643" s="30"/>
      <c r="V643" s="31"/>
      <c r="W643" s="30"/>
      <c r="X643" s="220"/>
      <c r="Y643" s="139"/>
      <c r="Z643" s="9"/>
      <c r="AA643" s="9"/>
    </row>
    <row r="644" spans="1:27">
      <c r="A644"/>
      <c r="C644" s="216"/>
      <c r="D644" s="29"/>
      <c r="E644" s="32"/>
      <c r="F644" s="32"/>
      <c r="G644" s="32"/>
      <c r="H644" s="9"/>
      <c r="I644" s="9"/>
      <c r="K644" s="284"/>
      <c r="L644" s="284"/>
      <c r="M644" s="268"/>
      <c r="N644" s="226"/>
      <c r="O644" s="269"/>
      <c r="P644" s="235"/>
      <c r="Q644" s="237"/>
      <c r="R644" s="237"/>
      <c r="S644" s="218"/>
      <c r="T644" s="219"/>
      <c r="U644" s="30"/>
      <c r="V644" s="31"/>
      <c r="W644" s="30"/>
      <c r="X644" s="220"/>
      <c r="Y644" s="139"/>
      <c r="Z644" s="9"/>
      <c r="AA644" s="9"/>
    </row>
    <row r="645" spans="1:27">
      <c r="A645"/>
      <c r="C645" s="216"/>
      <c r="D645" s="29"/>
      <c r="E645" s="32"/>
      <c r="F645" s="32"/>
      <c r="G645" s="32"/>
      <c r="H645" s="9"/>
      <c r="I645" s="9"/>
      <c r="K645" s="284"/>
      <c r="L645" s="284"/>
      <c r="M645" s="268"/>
      <c r="N645" s="226"/>
      <c r="O645" s="269"/>
      <c r="P645" s="235"/>
      <c r="Q645" s="237"/>
      <c r="R645" s="237"/>
      <c r="S645" s="218"/>
      <c r="T645" s="219"/>
      <c r="U645" s="30"/>
      <c r="V645" s="31"/>
      <c r="W645" s="30"/>
      <c r="X645" s="220"/>
      <c r="Y645" s="139"/>
      <c r="Z645" s="9"/>
      <c r="AA645" s="9"/>
    </row>
    <row r="646" spans="1:27">
      <c r="A646"/>
      <c r="C646" s="216"/>
      <c r="D646" s="29"/>
      <c r="E646" s="242"/>
      <c r="F646" s="227"/>
      <c r="G646" s="227"/>
      <c r="H646" s="232"/>
      <c r="I646" s="9"/>
      <c r="K646" s="217"/>
      <c r="L646" s="217"/>
      <c r="M646" s="268"/>
      <c r="N646" s="176"/>
      <c r="O646" s="269"/>
      <c r="P646" s="236"/>
      <c r="Q646" s="238"/>
      <c r="R646" s="237"/>
      <c r="S646" s="218"/>
      <c r="T646" s="219"/>
      <c r="U646" s="30"/>
      <c r="V646" s="31"/>
      <c r="W646" s="30"/>
      <c r="X646" s="220"/>
      <c r="Y646" s="139"/>
      <c r="Z646" s="9"/>
      <c r="AA646" s="9"/>
    </row>
    <row r="647" spans="1:27">
      <c r="A647"/>
      <c r="C647" s="216"/>
      <c r="D647" s="29"/>
      <c r="E647" s="32"/>
      <c r="F647" s="32"/>
      <c r="G647" s="32"/>
      <c r="H647" s="9"/>
      <c r="I647" s="9"/>
      <c r="K647" s="284"/>
      <c r="L647" s="284"/>
      <c r="M647" s="268"/>
      <c r="N647" s="226"/>
      <c r="O647" s="269"/>
      <c r="P647" s="235"/>
      <c r="Q647" s="237"/>
      <c r="R647" s="237"/>
      <c r="S647" s="218"/>
      <c r="T647" s="219"/>
      <c r="U647" s="30"/>
      <c r="V647" s="31"/>
      <c r="W647" s="30"/>
      <c r="X647" s="220"/>
      <c r="Y647" s="139"/>
      <c r="Z647" s="9"/>
      <c r="AA647" s="9"/>
    </row>
    <row r="648" spans="1:27">
      <c r="A648"/>
      <c r="C648" s="216"/>
      <c r="D648" s="29"/>
      <c r="E648" s="32"/>
      <c r="F648" s="32"/>
      <c r="G648" s="32"/>
      <c r="H648" s="9"/>
      <c r="I648" s="9"/>
      <c r="K648" s="284"/>
      <c r="L648" s="284"/>
      <c r="M648" s="268"/>
      <c r="N648" s="226"/>
      <c r="O648" s="269"/>
      <c r="P648" s="235"/>
      <c r="Q648" s="237"/>
      <c r="R648" s="237"/>
      <c r="S648" s="218"/>
      <c r="T648" s="219"/>
      <c r="U648" s="30"/>
      <c r="V648" s="31"/>
      <c r="W648" s="30"/>
      <c r="X648" s="220"/>
      <c r="Y648" s="139"/>
      <c r="Z648" s="9"/>
      <c r="AA648" s="9"/>
    </row>
    <row r="649" spans="1:27">
      <c r="A649"/>
      <c r="C649" s="216"/>
      <c r="D649" s="29"/>
      <c r="E649" s="242"/>
      <c r="F649" s="227"/>
      <c r="G649" s="227"/>
      <c r="H649" s="232"/>
      <c r="I649" s="9"/>
      <c r="K649" s="285"/>
      <c r="L649" s="285"/>
      <c r="M649" s="268"/>
      <c r="N649" s="176"/>
      <c r="O649" s="269"/>
      <c r="P649" s="236"/>
      <c r="Q649" s="238"/>
      <c r="R649" s="237"/>
      <c r="S649" s="218"/>
      <c r="T649" s="219"/>
      <c r="U649" s="30"/>
      <c r="V649" s="31"/>
      <c r="W649" s="30"/>
      <c r="X649" s="220"/>
      <c r="Y649" s="139"/>
      <c r="Z649" s="9"/>
      <c r="AA649" s="9"/>
    </row>
    <row r="650" spans="1:27">
      <c r="A650"/>
      <c r="C650" s="216"/>
      <c r="D650" s="29"/>
      <c r="E650" s="242"/>
      <c r="F650" s="227"/>
      <c r="G650" s="227"/>
      <c r="H650" s="232"/>
      <c r="I650" s="9"/>
      <c r="K650" s="217"/>
      <c r="L650" s="217"/>
      <c r="M650" s="268"/>
      <c r="N650" s="176"/>
      <c r="O650" s="269"/>
      <c r="P650" s="236"/>
      <c r="Q650" s="238"/>
      <c r="R650" s="237"/>
      <c r="S650" s="218"/>
      <c r="T650" s="219"/>
      <c r="U650" s="30"/>
      <c r="V650" s="31"/>
      <c r="W650" s="30"/>
      <c r="X650" s="220"/>
      <c r="Y650" s="139"/>
      <c r="Z650" s="9"/>
      <c r="AA650" s="9"/>
    </row>
    <row r="651" spans="1:27">
      <c r="A651"/>
      <c r="C651" s="216"/>
      <c r="D651" s="29"/>
      <c r="E651" s="242"/>
      <c r="F651" s="227"/>
      <c r="G651" s="227"/>
      <c r="H651" s="232"/>
      <c r="I651" s="9"/>
      <c r="K651" s="217"/>
      <c r="L651" s="217"/>
      <c r="M651" s="268"/>
      <c r="N651" s="176"/>
      <c r="O651" s="269"/>
      <c r="P651" s="236"/>
      <c r="Q651" s="238"/>
      <c r="R651" s="237"/>
      <c r="S651" s="218"/>
      <c r="T651" s="219"/>
      <c r="U651" s="30"/>
      <c r="V651" s="31"/>
      <c r="W651" s="30"/>
      <c r="X651" s="220"/>
      <c r="Y651" s="139"/>
      <c r="Z651" s="9"/>
      <c r="AA651" s="9"/>
    </row>
    <row r="652" spans="1:27">
      <c r="A652"/>
      <c r="C652" s="216"/>
      <c r="D652" s="29"/>
      <c r="E652" s="32"/>
      <c r="F652" s="32"/>
      <c r="G652" s="32"/>
      <c r="H652" s="9"/>
      <c r="I652" s="9"/>
      <c r="K652" s="284"/>
      <c r="L652" s="284"/>
      <c r="M652" s="268"/>
      <c r="N652" s="226"/>
      <c r="O652" s="269"/>
      <c r="P652" s="235"/>
      <c r="Q652" s="237"/>
      <c r="R652" s="237"/>
      <c r="S652" s="218"/>
      <c r="T652" s="219"/>
      <c r="U652" s="30"/>
      <c r="V652" s="31"/>
      <c r="W652" s="30"/>
      <c r="X652" s="220"/>
      <c r="Y652" s="139"/>
      <c r="Z652" s="9"/>
      <c r="AA652" s="9"/>
    </row>
    <row r="653" spans="1:27">
      <c r="A653"/>
      <c r="C653" s="216"/>
      <c r="D653" s="29"/>
      <c r="E653" s="242"/>
      <c r="F653" s="227"/>
      <c r="G653" s="227"/>
      <c r="H653" s="232"/>
      <c r="I653" s="9"/>
      <c r="K653" s="217"/>
      <c r="L653" s="217"/>
      <c r="M653" s="268"/>
      <c r="N653" s="176"/>
      <c r="O653" s="269"/>
      <c r="P653" s="236"/>
      <c r="Q653" s="238"/>
      <c r="R653" s="237"/>
      <c r="S653" s="218"/>
      <c r="T653" s="219"/>
      <c r="U653" s="30"/>
      <c r="V653" s="31"/>
      <c r="W653" s="30"/>
      <c r="X653" s="220"/>
      <c r="Y653" s="139"/>
      <c r="Z653" s="9"/>
      <c r="AA653" s="9"/>
    </row>
    <row r="654" spans="1:27">
      <c r="A654"/>
      <c r="C654" s="216"/>
      <c r="D654" s="29"/>
      <c r="E654" s="32"/>
      <c r="F654" s="32"/>
      <c r="G654" s="32"/>
      <c r="H654" s="9"/>
      <c r="I654" s="9"/>
      <c r="K654" s="284"/>
      <c r="L654" s="284"/>
      <c r="M654" s="268"/>
      <c r="N654" s="226"/>
      <c r="O654" s="269"/>
      <c r="P654" s="235"/>
      <c r="Q654" s="237"/>
      <c r="R654" s="237"/>
      <c r="S654" s="218"/>
      <c r="T654" s="219"/>
      <c r="U654" s="30"/>
      <c r="V654" s="31"/>
      <c r="W654" s="30"/>
      <c r="X654" s="220"/>
      <c r="Y654" s="139"/>
      <c r="Z654" s="9"/>
      <c r="AA654" s="9"/>
    </row>
    <row r="655" spans="1:27">
      <c r="A655"/>
      <c r="C655" s="216"/>
      <c r="D655" s="29"/>
      <c r="E655" s="32"/>
      <c r="H655" s="9"/>
      <c r="I655" s="9"/>
      <c r="K655" s="284"/>
      <c r="L655" s="284"/>
      <c r="M655" s="268"/>
      <c r="N655" s="226"/>
      <c r="O655" s="269"/>
      <c r="P655" s="235"/>
      <c r="Q655" s="237"/>
      <c r="R655" s="237"/>
      <c r="S655" s="218"/>
      <c r="T655" s="219"/>
      <c r="U655" s="30"/>
      <c r="V655" s="31"/>
      <c r="W655" s="30"/>
      <c r="X655" s="220"/>
      <c r="Y655" s="139"/>
      <c r="Z655" s="9"/>
      <c r="AA655" s="9"/>
    </row>
    <row r="656" spans="1:27">
      <c r="A656"/>
      <c r="C656" s="216"/>
      <c r="D656" s="29"/>
      <c r="E656" s="242"/>
      <c r="F656" s="227"/>
      <c r="G656" s="227"/>
      <c r="H656" s="232"/>
      <c r="I656" s="9"/>
      <c r="K656" s="217"/>
      <c r="L656" s="217"/>
      <c r="M656" s="268"/>
      <c r="N656" s="176"/>
      <c r="O656" s="269"/>
      <c r="P656" s="236"/>
      <c r="Q656" s="238"/>
      <c r="R656" s="237"/>
      <c r="S656" s="218"/>
      <c r="T656" s="219"/>
      <c r="U656" s="30"/>
      <c r="V656" s="31"/>
      <c r="W656" s="30"/>
      <c r="X656" s="220"/>
      <c r="Y656" s="139"/>
      <c r="Z656" s="9"/>
      <c r="AA656" s="9"/>
    </row>
    <row r="657" spans="1:27">
      <c r="A657"/>
      <c r="C657" s="216"/>
      <c r="D657" s="29"/>
      <c r="E657" s="32"/>
      <c r="F657" s="32"/>
      <c r="G657" s="32"/>
      <c r="H657" s="9"/>
      <c r="I657" s="9"/>
      <c r="K657" s="284"/>
      <c r="L657" s="284"/>
      <c r="M657" s="268"/>
      <c r="N657" s="226"/>
      <c r="O657" s="269"/>
      <c r="P657" s="235"/>
      <c r="Q657" s="237"/>
      <c r="R657" s="237"/>
      <c r="S657" s="218"/>
      <c r="T657" s="219"/>
      <c r="U657" s="30"/>
      <c r="V657" s="31"/>
      <c r="W657" s="30"/>
      <c r="X657" s="220"/>
      <c r="Y657" s="139"/>
      <c r="Z657" s="9"/>
      <c r="AA657" s="9"/>
    </row>
    <row r="658" spans="1:27">
      <c r="A658"/>
      <c r="C658" s="216"/>
      <c r="D658" s="29"/>
      <c r="E658" s="242"/>
      <c r="F658" s="58"/>
      <c r="G658" s="58"/>
      <c r="H658" s="29"/>
      <c r="I658" s="9"/>
      <c r="K658" s="217"/>
      <c r="L658" s="217"/>
      <c r="M658" s="268"/>
      <c r="N658" s="176"/>
      <c r="O658" s="269"/>
      <c r="P658" s="236"/>
      <c r="Q658" s="238"/>
      <c r="R658" s="237"/>
      <c r="S658" s="218"/>
      <c r="T658" s="219"/>
      <c r="U658" s="30"/>
      <c r="V658" s="31"/>
      <c r="W658" s="30"/>
      <c r="X658" s="220"/>
      <c r="Y658" s="139"/>
      <c r="Z658" s="9"/>
      <c r="AA658" s="9"/>
    </row>
    <row r="659" spans="1:27">
      <c r="A659"/>
      <c r="C659" s="216"/>
      <c r="D659" s="29"/>
      <c r="E659" s="32"/>
      <c r="F659" s="32"/>
      <c r="G659" s="32"/>
      <c r="H659" s="9"/>
      <c r="I659" s="9"/>
      <c r="K659" s="284"/>
      <c r="L659" s="284"/>
      <c r="M659" s="268"/>
      <c r="N659" s="226"/>
      <c r="O659" s="269"/>
      <c r="P659" s="235"/>
      <c r="Q659" s="237"/>
      <c r="R659" s="237"/>
      <c r="S659" s="218"/>
      <c r="T659" s="219"/>
      <c r="U659" s="30"/>
      <c r="V659" s="31"/>
      <c r="W659" s="30"/>
      <c r="X659" s="220"/>
      <c r="Y659" s="139"/>
      <c r="Z659" s="9"/>
      <c r="AA659" s="9"/>
    </row>
    <row r="660" spans="1:27">
      <c r="A660"/>
      <c r="C660" s="216"/>
      <c r="D660" s="29"/>
      <c r="E660" s="242"/>
      <c r="F660" s="227"/>
      <c r="G660" s="227"/>
      <c r="H660" s="232"/>
      <c r="I660" s="9"/>
      <c r="K660" s="217"/>
      <c r="L660" s="217"/>
      <c r="M660" s="268"/>
      <c r="N660" s="176"/>
      <c r="O660" s="269"/>
      <c r="P660" s="236"/>
      <c r="Q660" s="238"/>
      <c r="R660" s="237"/>
      <c r="S660" s="218"/>
      <c r="T660" s="219"/>
      <c r="U660" s="30"/>
      <c r="V660" s="31"/>
      <c r="W660" s="30"/>
      <c r="X660" s="220"/>
      <c r="Y660" s="139"/>
      <c r="Z660" s="9"/>
      <c r="AA660" s="9"/>
    </row>
    <row r="661" spans="1:27">
      <c r="A661"/>
      <c r="E661" s="32"/>
      <c r="F661" s="32"/>
      <c r="G661" s="32"/>
      <c r="H661" s="9"/>
      <c r="I661" s="9"/>
      <c r="K661" s="284"/>
      <c r="L661" s="284"/>
      <c r="M661" s="268"/>
      <c r="N661" s="226"/>
      <c r="O661" s="269"/>
      <c r="P661" s="235"/>
      <c r="Q661" s="237"/>
      <c r="R661" s="237"/>
      <c r="S661" s="218"/>
      <c r="T661" s="219"/>
      <c r="U661" s="30"/>
      <c r="V661" s="31"/>
      <c r="W661" s="30"/>
      <c r="X661" s="220"/>
      <c r="Y661" s="139"/>
      <c r="Z661" s="9"/>
    </row>
    <row r="662" spans="1:27">
      <c r="A662"/>
      <c r="E662" s="242"/>
      <c r="F662" s="227"/>
      <c r="G662" s="227"/>
      <c r="H662" s="232"/>
      <c r="I662" s="9"/>
      <c r="K662" s="217"/>
      <c r="L662" s="217"/>
      <c r="M662" s="268"/>
      <c r="N662" s="176"/>
      <c r="O662" s="269"/>
      <c r="P662" s="236"/>
      <c r="Q662" s="238"/>
      <c r="R662" s="237"/>
      <c r="S662" s="218"/>
      <c r="T662" s="219"/>
      <c r="U662" s="30"/>
      <c r="V662" s="31"/>
      <c r="W662" s="30"/>
      <c r="X662" s="220"/>
      <c r="Y662" s="139"/>
      <c r="Z662" s="9"/>
    </row>
    <row r="663" spans="1:27">
      <c r="A663"/>
      <c r="E663" s="32"/>
      <c r="F663" s="32"/>
      <c r="G663" s="32"/>
      <c r="H663" s="9"/>
      <c r="I663" s="9"/>
      <c r="K663" s="284"/>
      <c r="L663" s="284"/>
      <c r="M663" s="268"/>
      <c r="N663" s="222"/>
      <c r="O663" s="269"/>
      <c r="P663" s="223"/>
      <c r="Q663" s="237"/>
      <c r="R663" s="237"/>
      <c r="S663" s="218"/>
      <c r="T663" s="219"/>
      <c r="U663" s="30"/>
      <c r="V663" s="31"/>
      <c r="W663" s="30"/>
      <c r="X663" s="220"/>
      <c r="Y663" s="139"/>
      <c r="Z663" s="9"/>
    </row>
    <row r="664" spans="1:27">
      <c r="A664"/>
      <c r="E664" s="32"/>
      <c r="F664" s="32"/>
      <c r="G664" s="32"/>
      <c r="H664" s="9"/>
      <c r="I664" s="9"/>
      <c r="K664" s="284"/>
      <c r="L664" s="284"/>
      <c r="M664" s="268"/>
      <c r="N664" s="226"/>
      <c r="O664" s="269"/>
      <c r="P664" s="235"/>
      <c r="Q664" s="237"/>
      <c r="R664" s="237"/>
      <c r="S664" s="218"/>
      <c r="T664" s="219"/>
      <c r="U664" s="30"/>
      <c r="V664" s="31"/>
      <c r="W664" s="30"/>
      <c r="X664" s="220"/>
      <c r="Y664" s="139"/>
      <c r="Z664" s="9"/>
    </row>
    <row r="665" spans="1:27">
      <c r="A665"/>
      <c r="E665" s="242"/>
      <c r="F665" s="227"/>
      <c r="G665" s="227"/>
      <c r="H665" s="232"/>
      <c r="I665" s="9"/>
      <c r="K665" s="217"/>
      <c r="L665" s="217"/>
      <c r="M665" s="268"/>
      <c r="N665" s="176"/>
      <c r="O665" s="269"/>
      <c r="P665" s="236"/>
      <c r="Q665" s="238"/>
      <c r="R665" s="237"/>
      <c r="S665" s="218"/>
      <c r="T665" s="219"/>
      <c r="U665" s="30"/>
      <c r="V665" s="31"/>
      <c r="W665" s="30"/>
      <c r="X665" s="220"/>
      <c r="Y665" s="139"/>
      <c r="Z665" s="9"/>
    </row>
    <row r="666" spans="1:27">
      <c r="A666"/>
      <c r="E666" s="242"/>
      <c r="F666" s="227"/>
      <c r="G666" s="227"/>
      <c r="H666" s="232"/>
      <c r="I666" s="9"/>
      <c r="K666" s="217"/>
      <c r="L666" s="217"/>
      <c r="M666" s="268"/>
      <c r="N666" s="176"/>
      <c r="O666" s="269"/>
      <c r="P666" s="236"/>
      <c r="Q666" s="238"/>
      <c r="R666" s="237"/>
      <c r="S666" s="218"/>
      <c r="T666" s="219"/>
      <c r="U666" s="30"/>
      <c r="V666" s="31"/>
      <c r="W666" s="30"/>
      <c r="X666" s="220"/>
      <c r="Y666" s="139"/>
      <c r="Z666" s="9"/>
    </row>
    <row r="667" spans="1:27">
      <c r="A667"/>
      <c r="E667" s="32"/>
      <c r="F667" s="32"/>
      <c r="G667" s="32"/>
      <c r="H667" s="9"/>
      <c r="I667" s="9"/>
      <c r="K667" s="284"/>
      <c r="L667" s="284"/>
      <c r="M667" s="268"/>
      <c r="N667" s="226"/>
      <c r="O667" s="269"/>
      <c r="P667" s="235"/>
      <c r="Q667" s="237"/>
      <c r="R667" s="237"/>
      <c r="S667" s="218"/>
      <c r="T667" s="219"/>
      <c r="U667" s="30"/>
      <c r="V667" s="31"/>
      <c r="W667" s="30"/>
      <c r="X667" s="220"/>
      <c r="Y667" s="139"/>
      <c r="Z667" s="9"/>
    </row>
    <row r="668" spans="1:27">
      <c r="A668"/>
      <c r="E668" s="32"/>
      <c r="F668" s="32"/>
      <c r="G668" s="32"/>
      <c r="H668" s="9"/>
      <c r="I668" s="9"/>
      <c r="K668" s="284"/>
      <c r="L668" s="284"/>
      <c r="M668" s="268"/>
      <c r="N668" s="226"/>
      <c r="O668" s="269"/>
      <c r="P668" s="235"/>
      <c r="Q668" s="237"/>
      <c r="R668" s="237"/>
      <c r="S668" s="218"/>
      <c r="T668" s="219"/>
      <c r="U668" s="30"/>
      <c r="V668" s="31"/>
      <c r="W668" s="30"/>
      <c r="X668" s="220"/>
      <c r="Y668" s="139"/>
      <c r="Z668" s="9"/>
    </row>
    <row r="669" spans="1:27">
      <c r="A669"/>
      <c r="E669" s="242"/>
      <c r="F669" s="288"/>
      <c r="G669" s="288"/>
      <c r="H669" s="232"/>
      <c r="I669" s="9"/>
      <c r="K669" s="217"/>
      <c r="L669" s="217"/>
      <c r="M669" s="268"/>
      <c r="N669" s="176"/>
      <c r="O669" s="269"/>
      <c r="P669" s="236"/>
      <c r="Q669" s="238"/>
      <c r="R669" s="237"/>
      <c r="S669" s="218"/>
      <c r="T669" s="219"/>
      <c r="U669" s="30"/>
      <c r="V669" s="31"/>
      <c r="W669" s="30"/>
      <c r="X669" s="220"/>
      <c r="Y669" s="139"/>
      <c r="Z669" s="9"/>
    </row>
    <row r="670" spans="1:27">
      <c r="A670"/>
      <c r="E670" s="242"/>
      <c r="F670" s="288"/>
      <c r="G670" s="288"/>
      <c r="H670" s="233"/>
      <c r="I670" s="9"/>
      <c r="K670" s="285"/>
      <c r="L670" s="285"/>
      <c r="M670" s="268"/>
      <c r="N670" s="176"/>
      <c r="O670" s="269"/>
      <c r="P670" s="236"/>
      <c r="Q670" s="238"/>
      <c r="R670" s="237"/>
      <c r="S670" s="218"/>
      <c r="T670" s="219"/>
      <c r="U670" s="30"/>
      <c r="V670" s="31"/>
      <c r="W670" s="30"/>
      <c r="X670" s="220"/>
      <c r="Y670" s="139"/>
      <c r="Z670" s="9"/>
    </row>
    <row r="671" spans="1:27">
      <c r="A671"/>
      <c r="E671" s="32"/>
      <c r="F671" s="32"/>
      <c r="G671" s="32"/>
      <c r="H671" s="9"/>
      <c r="I671" s="9"/>
      <c r="K671" s="284"/>
      <c r="L671" s="284"/>
      <c r="M671" s="268"/>
      <c r="N671" s="226"/>
      <c r="O671" s="269"/>
      <c r="P671" s="235"/>
      <c r="Q671" s="237"/>
      <c r="R671" s="237"/>
      <c r="S671" s="218"/>
      <c r="T671" s="219"/>
      <c r="U671" s="30"/>
      <c r="V671" s="31"/>
      <c r="W671" s="30"/>
      <c r="X671" s="220"/>
      <c r="Y671" s="139"/>
      <c r="Z671" s="9"/>
    </row>
    <row r="672" spans="1:27">
      <c r="A672"/>
      <c r="E672" s="242"/>
      <c r="F672" s="227"/>
      <c r="G672" s="227"/>
      <c r="H672" s="233"/>
      <c r="I672" s="9"/>
      <c r="K672" s="285"/>
      <c r="L672" s="285"/>
      <c r="M672" s="268"/>
      <c r="N672" s="176"/>
      <c r="O672" s="269"/>
      <c r="P672" s="236"/>
      <c r="Q672" s="238"/>
      <c r="R672" s="237"/>
      <c r="S672" s="218"/>
      <c r="T672" s="219"/>
      <c r="U672" s="30"/>
      <c r="V672" s="31"/>
      <c r="W672" s="30"/>
      <c r="X672" s="220"/>
      <c r="Y672" s="139"/>
      <c r="Z672" s="9"/>
    </row>
    <row r="673" spans="1:26">
      <c r="A673"/>
      <c r="E673" s="242"/>
      <c r="F673" s="227"/>
      <c r="G673" s="227"/>
      <c r="H673" s="232"/>
      <c r="I673" s="9"/>
      <c r="K673" s="217"/>
      <c r="L673" s="217"/>
      <c r="M673" s="268"/>
      <c r="N673" s="176"/>
      <c r="O673" s="269"/>
      <c r="P673" s="236"/>
      <c r="Q673" s="238"/>
      <c r="R673" s="237"/>
      <c r="S673" s="218"/>
      <c r="T673" s="219"/>
      <c r="U673" s="30"/>
      <c r="V673" s="31"/>
      <c r="W673" s="30"/>
      <c r="X673" s="220"/>
      <c r="Y673" s="139"/>
      <c r="Z673" s="9"/>
    </row>
    <row r="674" spans="1:26">
      <c r="A674"/>
      <c r="E674" s="242"/>
      <c r="F674" s="58"/>
      <c r="G674" s="58"/>
      <c r="H674" s="29"/>
      <c r="I674" s="9"/>
      <c r="K674" s="217"/>
      <c r="L674" s="217"/>
      <c r="M674" s="268"/>
      <c r="N674" s="176"/>
      <c r="O674" s="269"/>
      <c r="P674" s="236"/>
      <c r="Q674" s="238"/>
      <c r="R674" s="237"/>
      <c r="S674" s="218"/>
      <c r="T674" s="219"/>
      <c r="U674" s="30"/>
      <c r="V674" s="31"/>
      <c r="W674" s="30"/>
      <c r="X674" s="220"/>
      <c r="Y674" s="139"/>
      <c r="Z674" s="9"/>
    </row>
    <row r="675" spans="1:26">
      <c r="A675"/>
      <c r="E675" s="32"/>
      <c r="F675" s="32"/>
      <c r="G675" s="32"/>
      <c r="H675" s="9"/>
      <c r="I675" s="9"/>
      <c r="K675" s="284"/>
      <c r="L675" s="284"/>
      <c r="M675" s="268"/>
      <c r="N675" s="226"/>
      <c r="O675" s="269"/>
      <c r="P675" s="235"/>
      <c r="Q675" s="237"/>
      <c r="R675" s="237"/>
      <c r="S675" s="218"/>
      <c r="T675" s="219"/>
      <c r="U675" s="30"/>
      <c r="V675" s="31"/>
      <c r="W675" s="30"/>
      <c r="X675" s="220"/>
      <c r="Y675" s="139"/>
      <c r="Z675" s="9"/>
    </row>
    <row r="676" spans="1:26">
      <c r="A676"/>
      <c r="E676" s="242"/>
      <c r="F676" s="227"/>
      <c r="G676" s="227"/>
      <c r="H676" s="232"/>
      <c r="I676" s="9"/>
      <c r="K676" s="217"/>
      <c r="L676" s="217"/>
      <c r="M676" s="268"/>
      <c r="N676" s="176"/>
      <c r="O676" s="269"/>
      <c r="P676" s="236"/>
      <c r="Q676" s="238"/>
      <c r="R676" s="237"/>
      <c r="S676" s="218"/>
      <c r="T676" s="219"/>
      <c r="U676" s="30"/>
      <c r="V676" s="31"/>
      <c r="W676" s="30"/>
      <c r="X676" s="220"/>
      <c r="Y676" s="139"/>
      <c r="Z676" s="9"/>
    </row>
    <row r="677" spans="1:26">
      <c r="A677"/>
      <c r="E677" s="242"/>
      <c r="F677" s="58"/>
      <c r="G677" s="58"/>
      <c r="H677" s="234"/>
      <c r="I677" s="9"/>
      <c r="K677" s="285"/>
      <c r="L677" s="285"/>
      <c r="M677" s="268"/>
      <c r="N677" s="176"/>
      <c r="O677" s="269"/>
      <c r="P677" s="236"/>
      <c r="Q677" s="238"/>
      <c r="R677" s="237"/>
      <c r="S677" s="218"/>
      <c r="T677" s="219"/>
      <c r="U677" s="30"/>
      <c r="V677" s="31"/>
      <c r="W677" s="30"/>
      <c r="X677" s="220"/>
      <c r="Y677" s="139"/>
      <c r="Z677" s="9"/>
    </row>
    <row r="678" spans="1:26">
      <c r="A678"/>
      <c r="E678" s="242"/>
      <c r="F678" s="227"/>
      <c r="G678" s="227"/>
      <c r="H678" s="233"/>
      <c r="I678" s="9"/>
      <c r="K678" s="285"/>
      <c r="L678" s="285"/>
      <c r="M678" s="268"/>
      <c r="N678" s="176"/>
      <c r="O678" s="269"/>
      <c r="P678" s="236"/>
      <c r="Q678" s="238"/>
      <c r="R678" s="237"/>
      <c r="S678" s="218"/>
      <c r="T678" s="219"/>
      <c r="U678" s="30"/>
      <c r="V678" s="31"/>
      <c r="W678" s="30"/>
      <c r="X678" s="220"/>
      <c r="Y678" s="139"/>
      <c r="Z678" s="9"/>
    </row>
    <row r="679" spans="1:26">
      <c r="A679"/>
      <c r="E679" s="32"/>
      <c r="F679" s="32"/>
      <c r="G679" s="32"/>
      <c r="H679" s="9"/>
      <c r="I679" s="9"/>
      <c r="K679" s="284"/>
      <c r="L679" s="284"/>
      <c r="M679" s="268"/>
      <c r="N679" s="226"/>
      <c r="O679" s="269"/>
      <c r="P679" s="235"/>
      <c r="Q679" s="237"/>
      <c r="R679" s="237"/>
      <c r="S679" s="218"/>
      <c r="T679" s="219"/>
      <c r="U679" s="30"/>
      <c r="V679" s="31"/>
      <c r="W679" s="30"/>
      <c r="X679" s="220"/>
      <c r="Y679" s="139"/>
      <c r="Z679" s="9"/>
    </row>
    <row r="680" spans="1:26">
      <c r="A680"/>
      <c r="E680" s="32"/>
      <c r="F680" s="32"/>
      <c r="G680" s="32"/>
      <c r="H680" s="9"/>
      <c r="I680" s="9"/>
      <c r="K680" s="284"/>
      <c r="L680" s="284"/>
      <c r="M680" s="268"/>
      <c r="N680" s="226"/>
      <c r="O680" s="269"/>
      <c r="P680" s="235"/>
      <c r="Q680" s="237"/>
      <c r="R680" s="237"/>
      <c r="S680" s="218"/>
      <c r="T680" s="219"/>
      <c r="U680" s="30"/>
      <c r="V680" s="31"/>
      <c r="W680" s="30"/>
      <c r="X680" s="220"/>
      <c r="Y680" s="139"/>
      <c r="Z680" s="9"/>
    </row>
    <row r="681" spans="1:26">
      <c r="A681"/>
      <c r="E681" s="242"/>
      <c r="F681" s="227"/>
      <c r="G681" s="227"/>
      <c r="H681" s="233"/>
      <c r="I681" s="9"/>
      <c r="K681" s="285"/>
      <c r="L681" s="285"/>
      <c r="M681" s="268"/>
      <c r="N681" s="176"/>
      <c r="O681" s="269"/>
      <c r="P681" s="236"/>
      <c r="Q681" s="238"/>
      <c r="R681" s="237"/>
      <c r="S681" s="218"/>
      <c r="T681" s="219"/>
      <c r="U681" s="30"/>
      <c r="V681" s="31"/>
      <c r="W681" s="30"/>
      <c r="X681" s="220"/>
      <c r="Y681" s="139"/>
      <c r="Z681" s="9"/>
    </row>
    <row r="682" spans="1:26">
      <c r="A682"/>
      <c r="E682" s="32"/>
      <c r="F682" s="32"/>
      <c r="G682" s="32"/>
      <c r="H682" s="9"/>
      <c r="I682" s="9"/>
      <c r="K682" s="284"/>
      <c r="L682" s="284"/>
      <c r="M682" s="268"/>
      <c r="N682" s="226"/>
      <c r="O682" s="269"/>
      <c r="P682" s="235"/>
      <c r="Q682" s="237"/>
      <c r="R682" s="237"/>
      <c r="S682" s="218"/>
      <c r="T682" s="219"/>
      <c r="U682" s="30"/>
      <c r="V682" s="31"/>
      <c r="W682" s="30"/>
      <c r="X682" s="220"/>
      <c r="Y682" s="139"/>
      <c r="Z682" s="9"/>
    </row>
    <row r="683" spans="1:26">
      <c r="A683"/>
      <c r="E683" s="32"/>
      <c r="F683" s="32"/>
      <c r="G683" s="32"/>
      <c r="H683" s="9"/>
      <c r="I683" s="9"/>
      <c r="K683" s="284"/>
      <c r="L683" s="284"/>
      <c r="M683" s="268"/>
      <c r="N683" s="226"/>
      <c r="O683" s="269"/>
      <c r="P683" s="235"/>
      <c r="Q683" s="237"/>
      <c r="R683" s="237"/>
      <c r="S683" s="218"/>
      <c r="T683" s="219"/>
      <c r="U683" s="30"/>
      <c r="V683" s="31"/>
      <c r="W683" s="30"/>
      <c r="X683" s="220"/>
      <c r="Y683" s="139"/>
      <c r="Z683" s="9"/>
    </row>
    <row r="684" spans="1:26">
      <c r="A684"/>
      <c r="E684" s="32"/>
      <c r="F684" s="32"/>
      <c r="G684" s="32"/>
      <c r="H684" s="9"/>
      <c r="I684" s="9"/>
      <c r="K684" s="284"/>
      <c r="L684" s="284"/>
      <c r="M684" s="268"/>
      <c r="N684" s="226"/>
      <c r="O684" s="269"/>
      <c r="P684" s="235"/>
      <c r="Q684" s="237"/>
      <c r="R684" s="237"/>
      <c r="S684" s="218"/>
      <c r="T684" s="219"/>
      <c r="U684" s="30"/>
      <c r="V684" s="31"/>
      <c r="W684" s="30"/>
      <c r="X684" s="220"/>
      <c r="Y684" s="139"/>
      <c r="Z684" s="9"/>
    </row>
    <row r="685" spans="1:26">
      <c r="A685"/>
      <c r="E685" s="242"/>
      <c r="F685" s="227"/>
      <c r="G685" s="227"/>
      <c r="H685" s="233"/>
      <c r="I685" s="9"/>
      <c r="K685" s="285"/>
      <c r="L685" s="285"/>
      <c r="M685" s="268"/>
      <c r="N685" s="176"/>
      <c r="O685" s="269"/>
      <c r="P685" s="236"/>
      <c r="Q685" s="238"/>
      <c r="R685" s="237"/>
      <c r="S685" s="218"/>
      <c r="T685" s="219"/>
      <c r="U685" s="30"/>
      <c r="V685" s="31"/>
      <c r="W685" s="30"/>
      <c r="X685" s="220"/>
      <c r="Y685" s="139"/>
      <c r="Z685" s="9"/>
    </row>
    <row r="686" spans="1:26">
      <c r="A686"/>
      <c r="E686" s="32"/>
      <c r="F686" s="32"/>
      <c r="G686" s="32"/>
      <c r="H686" s="9"/>
      <c r="I686" s="9"/>
      <c r="K686" s="284"/>
      <c r="L686" s="284"/>
      <c r="M686" s="268"/>
      <c r="N686" s="226"/>
      <c r="O686" s="269"/>
      <c r="P686" s="235"/>
      <c r="Q686" s="237"/>
      <c r="R686" s="237"/>
      <c r="S686" s="218"/>
      <c r="T686" s="219"/>
      <c r="U686" s="30"/>
      <c r="V686" s="31"/>
      <c r="W686" s="30"/>
      <c r="X686" s="220"/>
      <c r="Y686" s="139"/>
      <c r="Z686" s="9"/>
    </row>
    <row r="687" spans="1:26">
      <c r="A687"/>
      <c r="E687" s="242"/>
      <c r="F687" s="227"/>
      <c r="G687" s="227"/>
      <c r="H687" s="232"/>
      <c r="I687" s="9"/>
      <c r="K687" s="217"/>
      <c r="L687" s="217"/>
      <c r="M687" s="268"/>
      <c r="N687" s="176"/>
      <c r="O687" s="269"/>
      <c r="P687" s="236"/>
      <c r="Q687" s="238"/>
      <c r="R687" s="237"/>
      <c r="S687" s="218"/>
      <c r="T687" s="219"/>
      <c r="U687" s="30"/>
      <c r="V687" s="31"/>
      <c r="W687" s="30"/>
      <c r="X687" s="220"/>
      <c r="Y687" s="139"/>
      <c r="Z687" s="9"/>
    </row>
    <row r="688" spans="1:26">
      <c r="A688"/>
      <c r="E688" s="32"/>
      <c r="F688" s="32"/>
      <c r="G688" s="32"/>
      <c r="H688" s="9"/>
      <c r="I688" s="9"/>
      <c r="K688" s="284"/>
      <c r="L688" s="284"/>
      <c r="M688" s="268"/>
      <c r="N688" s="226"/>
      <c r="O688" s="269"/>
      <c r="P688" s="235"/>
      <c r="Q688" s="237"/>
      <c r="R688" s="237"/>
      <c r="S688" s="218"/>
      <c r="T688" s="219"/>
      <c r="U688" s="30"/>
      <c r="V688" s="31"/>
      <c r="W688" s="30"/>
      <c r="X688" s="220"/>
      <c r="Y688" s="139"/>
      <c r="Z688" s="9"/>
    </row>
    <row r="689" spans="1:26">
      <c r="A689"/>
      <c r="E689" s="32"/>
      <c r="F689" s="32"/>
      <c r="G689" s="32"/>
      <c r="H689" s="9"/>
      <c r="I689" s="9"/>
      <c r="K689" s="284"/>
      <c r="L689" s="284"/>
      <c r="M689" s="268"/>
      <c r="N689" s="226"/>
      <c r="O689" s="269"/>
      <c r="P689" s="235"/>
      <c r="Q689" s="237"/>
      <c r="R689" s="237"/>
      <c r="S689" s="218"/>
      <c r="T689" s="219"/>
      <c r="U689" s="30"/>
      <c r="V689" s="31"/>
      <c r="W689" s="30"/>
      <c r="X689" s="220"/>
      <c r="Y689" s="139"/>
      <c r="Z689" s="9"/>
    </row>
    <row r="690" spans="1:26">
      <c r="A690"/>
      <c r="E690" s="242"/>
      <c r="F690" s="227"/>
      <c r="G690" s="227"/>
      <c r="H690" s="233"/>
      <c r="I690" s="9"/>
      <c r="K690" s="285"/>
      <c r="L690" s="285"/>
      <c r="M690" s="268"/>
      <c r="N690" s="176"/>
      <c r="O690" s="269"/>
      <c r="P690" s="236"/>
      <c r="Q690" s="238"/>
      <c r="R690" s="237"/>
      <c r="S690" s="218"/>
      <c r="T690" s="219"/>
      <c r="U690" s="30"/>
      <c r="V690" s="31"/>
      <c r="W690" s="30"/>
      <c r="X690" s="220"/>
      <c r="Y690" s="139"/>
      <c r="Z690" s="9"/>
    </row>
    <row r="691" spans="1:26">
      <c r="A691"/>
      <c r="E691" s="32"/>
      <c r="F691" s="32"/>
      <c r="G691" s="32"/>
      <c r="H691" s="9"/>
      <c r="I691" s="9"/>
      <c r="K691" s="284"/>
      <c r="L691" s="284"/>
      <c r="M691" s="268"/>
      <c r="N691" s="226"/>
      <c r="O691" s="269"/>
      <c r="P691" s="235"/>
      <c r="Q691" s="237"/>
      <c r="R691" s="237"/>
      <c r="S691" s="218"/>
      <c r="T691" s="219"/>
      <c r="U691" s="30"/>
      <c r="V691" s="31"/>
      <c r="W691" s="30"/>
      <c r="X691" s="220"/>
      <c r="Y691" s="139"/>
      <c r="Z691" s="9"/>
    </row>
    <row r="692" spans="1:26">
      <c r="A692"/>
      <c r="E692" s="242"/>
      <c r="F692" s="227"/>
      <c r="G692" s="227"/>
      <c r="H692" s="232"/>
      <c r="I692" s="9"/>
      <c r="K692" s="217"/>
      <c r="L692" s="217"/>
      <c r="M692" s="268"/>
      <c r="N692" s="176"/>
      <c r="O692" s="269"/>
      <c r="P692" s="236"/>
      <c r="Q692" s="238"/>
      <c r="R692" s="237"/>
      <c r="S692" s="218"/>
      <c r="T692" s="219"/>
      <c r="U692" s="30"/>
      <c r="V692" s="31"/>
      <c r="W692" s="30"/>
      <c r="X692" s="220"/>
      <c r="Y692" s="139"/>
      <c r="Z692" s="9"/>
    </row>
    <row r="693" spans="1:26">
      <c r="A693"/>
      <c r="E693" s="32"/>
      <c r="F693" s="32"/>
      <c r="G693" s="32"/>
      <c r="H693" s="9"/>
      <c r="I693" s="9"/>
      <c r="K693" s="284"/>
      <c r="L693" s="284"/>
      <c r="M693" s="268"/>
      <c r="N693" s="226"/>
      <c r="O693" s="269"/>
      <c r="P693" s="235"/>
      <c r="Q693" s="237"/>
      <c r="R693" s="237"/>
      <c r="S693" s="218"/>
      <c r="T693" s="219"/>
      <c r="U693" s="30"/>
      <c r="V693" s="31"/>
      <c r="W693" s="30"/>
      <c r="X693" s="220"/>
      <c r="Y693" s="139"/>
      <c r="Z693" s="9"/>
    </row>
    <row r="694" spans="1:26">
      <c r="A694"/>
      <c r="E694" s="32"/>
      <c r="F694" s="32"/>
      <c r="G694" s="32"/>
      <c r="H694" s="9"/>
      <c r="I694" s="9"/>
      <c r="K694" s="284"/>
      <c r="L694" s="284"/>
      <c r="M694" s="268"/>
      <c r="N694" s="226"/>
      <c r="O694" s="269"/>
      <c r="P694" s="235"/>
      <c r="Q694" s="237"/>
      <c r="R694" s="237"/>
      <c r="S694" s="218"/>
      <c r="T694" s="219"/>
      <c r="U694" s="30"/>
      <c r="V694" s="31"/>
      <c r="W694" s="30"/>
      <c r="X694" s="220"/>
      <c r="Y694" s="139"/>
      <c r="Z694" s="9"/>
    </row>
    <row r="695" spans="1:26">
      <c r="A695"/>
      <c r="E695" s="32"/>
      <c r="F695" s="32"/>
      <c r="G695" s="32"/>
      <c r="H695" s="9"/>
      <c r="I695" s="9"/>
      <c r="K695" s="284"/>
      <c r="L695" s="284"/>
      <c r="M695" s="268"/>
      <c r="N695" s="226"/>
      <c r="O695" s="269"/>
      <c r="P695" s="235"/>
      <c r="Q695" s="237"/>
      <c r="R695" s="237"/>
      <c r="S695" s="218"/>
      <c r="T695" s="219"/>
      <c r="U695" s="30"/>
      <c r="V695" s="31"/>
      <c r="W695" s="30"/>
      <c r="X695" s="220"/>
      <c r="Y695" s="139"/>
      <c r="Z695" s="9"/>
    </row>
    <row r="696" spans="1:26">
      <c r="A696"/>
      <c r="E696" s="242"/>
      <c r="F696" s="288"/>
      <c r="G696" s="288"/>
      <c r="H696" s="232"/>
      <c r="I696" s="9"/>
      <c r="K696" s="217"/>
      <c r="L696" s="217"/>
      <c r="M696" s="268"/>
      <c r="N696" s="176"/>
      <c r="O696" s="269"/>
      <c r="P696" s="236"/>
      <c r="Q696" s="238"/>
      <c r="R696" s="237"/>
      <c r="S696" s="218"/>
      <c r="T696" s="219"/>
      <c r="U696" s="30"/>
      <c r="V696" s="31"/>
      <c r="W696" s="30"/>
      <c r="X696" s="220"/>
      <c r="Y696" s="139"/>
      <c r="Z696" s="9"/>
    </row>
    <row r="697" spans="1:26">
      <c r="A697"/>
      <c r="E697" s="242"/>
      <c r="F697" s="227"/>
      <c r="G697" s="227"/>
      <c r="H697" s="232"/>
      <c r="I697" s="9"/>
      <c r="K697" s="217"/>
      <c r="L697" s="217"/>
      <c r="M697" s="268"/>
      <c r="N697" s="176"/>
      <c r="O697" s="269"/>
      <c r="P697" s="236"/>
      <c r="Q697" s="238"/>
      <c r="R697" s="237"/>
      <c r="S697" s="218"/>
      <c r="T697" s="219"/>
      <c r="U697" s="30"/>
      <c r="V697" s="31"/>
      <c r="W697" s="30"/>
      <c r="X697" s="220"/>
      <c r="Y697" s="139"/>
      <c r="Z697" s="9"/>
    </row>
    <row r="698" spans="1:26">
      <c r="A698"/>
      <c r="E698" s="32"/>
      <c r="F698" s="32"/>
      <c r="G698" s="32"/>
      <c r="H698" s="9"/>
      <c r="I698" s="9"/>
      <c r="K698" s="284"/>
      <c r="L698" s="284"/>
      <c r="M698" s="268"/>
      <c r="N698" s="226"/>
      <c r="O698" s="269"/>
      <c r="P698" s="235"/>
      <c r="Q698" s="237"/>
      <c r="R698" s="237"/>
      <c r="S698" s="218"/>
      <c r="T698" s="219"/>
      <c r="U698" s="30"/>
      <c r="V698" s="31"/>
      <c r="W698" s="30"/>
      <c r="X698" s="220"/>
      <c r="Y698" s="139"/>
      <c r="Z698" s="9"/>
    </row>
    <row r="699" spans="1:26">
      <c r="A699"/>
      <c r="E699" s="242"/>
      <c r="F699" s="227"/>
      <c r="G699" s="227"/>
      <c r="H699" s="232"/>
      <c r="I699" s="9"/>
      <c r="K699" s="217"/>
      <c r="L699" s="217"/>
      <c r="M699" s="268"/>
      <c r="N699" s="176"/>
      <c r="O699" s="269"/>
      <c r="P699" s="236"/>
      <c r="Q699" s="238"/>
      <c r="R699" s="237"/>
      <c r="S699" s="218"/>
      <c r="T699" s="219"/>
      <c r="U699" s="30"/>
      <c r="V699" s="31"/>
      <c r="W699" s="30"/>
      <c r="X699" s="220"/>
      <c r="Y699" s="139"/>
      <c r="Z699" s="9"/>
    </row>
    <row r="700" spans="1:26">
      <c r="A700"/>
      <c r="E700" s="242"/>
      <c r="F700" s="58"/>
      <c r="G700" s="58"/>
      <c r="H700" s="29"/>
      <c r="I700" s="9"/>
      <c r="K700" s="217"/>
      <c r="L700" s="217"/>
      <c r="M700" s="268"/>
      <c r="N700" s="176"/>
      <c r="O700" s="269"/>
      <c r="P700" s="236"/>
      <c r="Q700" s="238"/>
      <c r="R700" s="237"/>
      <c r="S700" s="218"/>
      <c r="T700" s="219"/>
      <c r="U700" s="30"/>
      <c r="V700" s="31"/>
      <c r="W700" s="30"/>
      <c r="X700" s="220"/>
      <c r="Y700" s="139"/>
      <c r="Z700" s="9"/>
    </row>
    <row r="701" spans="1:26">
      <c r="A701"/>
      <c r="E701" s="32"/>
      <c r="H701" s="9"/>
      <c r="I701" s="9"/>
      <c r="K701" s="284"/>
      <c r="L701" s="284"/>
      <c r="M701" s="268"/>
      <c r="N701" s="226"/>
      <c r="O701" s="269"/>
      <c r="P701" s="235"/>
      <c r="Q701" s="237"/>
      <c r="R701" s="237"/>
      <c r="S701" s="218"/>
      <c r="T701" s="219"/>
      <c r="U701" s="30"/>
      <c r="V701" s="31"/>
      <c r="W701" s="30"/>
      <c r="X701" s="220"/>
      <c r="Y701" s="139"/>
      <c r="Z701" s="9"/>
    </row>
    <row r="702" spans="1:26">
      <c r="A702"/>
      <c r="E702" s="242"/>
      <c r="F702" s="214"/>
      <c r="G702" s="288"/>
      <c r="H702" s="232"/>
      <c r="I702" s="9"/>
      <c r="K702" s="217"/>
      <c r="L702" s="217"/>
      <c r="M702" s="268"/>
      <c r="N702" s="176"/>
      <c r="O702" s="269"/>
      <c r="P702" s="236"/>
      <c r="Q702" s="216"/>
      <c r="R702" s="289"/>
      <c r="S702" s="218"/>
      <c r="T702" s="219"/>
      <c r="U702" s="30"/>
      <c r="V702" s="31"/>
      <c r="W702" s="30"/>
      <c r="X702" s="220"/>
      <c r="Y702" s="139"/>
      <c r="Z702" s="9"/>
    </row>
    <row r="703" spans="1:26">
      <c r="A703"/>
      <c r="E703" s="242"/>
      <c r="F703" s="214"/>
      <c r="G703" s="288"/>
      <c r="H703" s="232"/>
      <c r="I703" s="9"/>
      <c r="K703" s="217"/>
      <c r="L703" s="217"/>
      <c r="M703" s="268"/>
      <c r="N703" s="176"/>
      <c r="O703" s="269"/>
      <c r="P703" s="236"/>
      <c r="Q703" s="216"/>
      <c r="R703" s="289"/>
      <c r="S703" s="218"/>
      <c r="T703" s="219"/>
      <c r="U703" s="30"/>
      <c r="V703" s="31"/>
      <c r="W703" s="30"/>
      <c r="X703" s="220"/>
      <c r="Y703" s="139"/>
      <c r="Z703" s="9"/>
    </row>
    <row r="704" spans="1:26">
      <c r="A704"/>
      <c r="E704" s="32"/>
      <c r="F704" s="32"/>
      <c r="H704" s="9"/>
      <c r="I704" s="9"/>
      <c r="K704" s="284"/>
      <c r="L704" s="284"/>
      <c r="M704" s="268"/>
      <c r="N704" s="226"/>
      <c r="O704" s="269"/>
      <c r="P704" s="235"/>
      <c r="Q704" s="289"/>
      <c r="R704" s="289"/>
      <c r="S704" s="218"/>
      <c r="T704" s="219"/>
      <c r="U704" s="30"/>
      <c r="V704" s="31"/>
      <c r="W704" s="30"/>
      <c r="X704" s="220"/>
      <c r="Y704" s="139"/>
      <c r="Z704" s="9"/>
    </row>
    <row r="705" spans="1:26">
      <c r="A705"/>
      <c r="E705" s="32"/>
      <c r="F705" s="32"/>
      <c r="H705" s="9"/>
      <c r="I705" s="9"/>
      <c r="K705" s="284"/>
      <c r="L705" s="284"/>
      <c r="M705" s="268"/>
      <c r="N705" s="222"/>
      <c r="O705" s="269"/>
      <c r="P705" s="223"/>
      <c r="Q705" s="289"/>
      <c r="R705" s="289"/>
      <c r="S705" s="218"/>
      <c r="T705" s="219"/>
      <c r="U705" s="30"/>
      <c r="V705" s="31"/>
      <c r="W705" s="30"/>
      <c r="X705" s="220"/>
      <c r="Y705" s="139"/>
      <c r="Z705" s="9"/>
    </row>
    <row r="706" spans="1:26">
      <c r="A706"/>
      <c r="E706" s="242"/>
      <c r="F706" s="214"/>
      <c r="G706" s="288"/>
      <c r="H706" s="232"/>
      <c r="I706" s="9"/>
      <c r="K706" s="217"/>
      <c r="L706" s="217"/>
      <c r="M706" s="268"/>
      <c r="N706" s="176"/>
      <c r="O706" s="269"/>
      <c r="P706" s="236"/>
      <c r="Q706" s="216"/>
      <c r="R706" s="289"/>
      <c r="S706" s="218"/>
      <c r="T706" s="219"/>
      <c r="U706" s="30"/>
      <c r="V706" s="31"/>
      <c r="W706" s="30"/>
      <c r="X706" s="220"/>
      <c r="Y706" s="139"/>
      <c r="Z706" s="9"/>
    </row>
    <row r="707" spans="1:26">
      <c r="A707"/>
      <c r="E707" s="32"/>
      <c r="F707" s="32"/>
      <c r="H707" s="9"/>
      <c r="I707" s="9"/>
      <c r="K707" s="284"/>
      <c r="L707" s="284"/>
      <c r="M707" s="268"/>
      <c r="N707" s="226"/>
      <c r="O707" s="269"/>
      <c r="P707" s="235"/>
      <c r="Q707" s="289"/>
      <c r="R707" s="289"/>
      <c r="S707" s="218"/>
      <c r="T707" s="219"/>
      <c r="U707" s="30"/>
      <c r="V707" s="31"/>
      <c r="W707" s="30"/>
      <c r="X707" s="220"/>
      <c r="Y707" s="139"/>
      <c r="Z707" s="9"/>
    </row>
    <row r="708" spans="1:26">
      <c r="A708"/>
      <c r="E708" s="32"/>
      <c r="F708" s="32"/>
      <c r="H708" s="9"/>
      <c r="I708" s="9"/>
      <c r="K708" s="284"/>
      <c r="L708" s="284"/>
      <c r="M708" s="268"/>
      <c r="N708" s="226"/>
      <c r="O708" s="269"/>
      <c r="P708" s="235"/>
      <c r="Q708" s="289"/>
      <c r="R708" s="289"/>
      <c r="S708" s="218"/>
      <c r="T708" s="219"/>
      <c r="U708" s="30"/>
      <c r="V708" s="31"/>
      <c r="W708" s="30"/>
      <c r="X708" s="220"/>
      <c r="Y708" s="139"/>
      <c r="Z708" s="9"/>
    </row>
    <row r="709" spans="1:26">
      <c r="A709"/>
      <c r="E709" s="32"/>
      <c r="F709" s="32"/>
      <c r="H709" s="9"/>
      <c r="I709" s="9"/>
      <c r="K709" s="284"/>
      <c r="L709" s="284"/>
      <c r="M709" s="268"/>
      <c r="N709" s="226"/>
      <c r="O709" s="269"/>
      <c r="P709" s="235"/>
      <c r="Q709" s="289"/>
      <c r="R709" s="289"/>
      <c r="S709" s="218"/>
      <c r="T709" s="219"/>
      <c r="U709" s="30"/>
      <c r="V709" s="31"/>
      <c r="W709" s="30"/>
      <c r="X709" s="220"/>
      <c r="Y709" s="139"/>
      <c r="Z709" s="9"/>
    </row>
    <row r="710" spans="1:26">
      <c r="A710"/>
      <c r="E710" s="32"/>
      <c r="F710" s="32"/>
      <c r="H710" s="9"/>
      <c r="I710" s="9"/>
      <c r="K710" s="284"/>
      <c r="L710" s="284"/>
      <c r="M710" s="268"/>
      <c r="N710" s="226"/>
      <c r="O710" s="269"/>
      <c r="P710" s="235"/>
      <c r="Q710" s="289"/>
      <c r="R710" s="289"/>
      <c r="S710" s="218"/>
      <c r="T710" s="219"/>
      <c r="U710" s="30"/>
      <c r="V710" s="31"/>
      <c r="W710" s="30"/>
      <c r="X710" s="220"/>
      <c r="Y710" s="139"/>
      <c r="Z710" s="9"/>
    </row>
    <row r="711" spans="1:26">
      <c r="A711"/>
      <c r="E711" s="32"/>
      <c r="F711" s="32"/>
      <c r="H711" s="9"/>
      <c r="I711" s="9"/>
      <c r="K711" s="284"/>
      <c r="L711" s="284"/>
      <c r="M711" s="268"/>
      <c r="N711" s="226"/>
      <c r="O711" s="269"/>
      <c r="P711" s="235"/>
      <c r="Q711" s="289"/>
      <c r="R711" s="289"/>
      <c r="S711" s="218"/>
      <c r="T711" s="219"/>
      <c r="U711" s="30"/>
      <c r="V711" s="31"/>
      <c r="W711" s="30"/>
      <c r="X711" s="220"/>
      <c r="Y711" s="139"/>
      <c r="Z711" s="9"/>
    </row>
    <row r="712" spans="1:26">
      <c r="A712"/>
      <c r="E712" s="242"/>
      <c r="F712" s="214"/>
      <c r="G712" s="288"/>
      <c r="H712" s="232"/>
      <c r="I712" s="9"/>
      <c r="K712" s="217"/>
      <c r="L712" s="217"/>
      <c r="M712" s="268"/>
      <c r="N712" s="176"/>
      <c r="O712" s="269"/>
      <c r="P712" s="236"/>
      <c r="Q712" s="216"/>
      <c r="R712" s="289"/>
      <c r="S712" s="218"/>
      <c r="T712" s="219"/>
      <c r="U712" s="30"/>
      <c r="V712" s="31"/>
      <c r="W712" s="30"/>
      <c r="X712" s="220"/>
      <c r="Y712" s="139"/>
      <c r="Z712" s="9"/>
    </row>
    <row r="713" spans="1:26">
      <c r="A713"/>
      <c r="E713" s="32"/>
      <c r="F713" s="32"/>
      <c r="H713" s="9"/>
      <c r="I713" s="9"/>
      <c r="K713" s="284"/>
      <c r="L713" s="284"/>
      <c r="M713" s="268"/>
      <c r="N713" s="226"/>
      <c r="O713" s="269"/>
      <c r="P713" s="235"/>
      <c r="Q713" s="289"/>
      <c r="R713" s="289"/>
      <c r="S713" s="218"/>
      <c r="T713" s="219"/>
      <c r="U713" s="30"/>
      <c r="V713" s="31"/>
      <c r="W713" s="30"/>
      <c r="X713" s="220"/>
      <c r="Y713" s="139"/>
      <c r="Z713" s="9"/>
    </row>
    <row r="714" spans="1:26">
      <c r="A714"/>
      <c r="E714" s="32"/>
      <c r="F714" s="32"/>
      <c r="H714" s="9"/>
      <c r="I714" s="9"/>
      <c r="K714" s="284"/>
      <c r="L714" s="284"/>
      <c r="M714" s="268"/>
      <c r="N714" s="226"/>
      <c r="O714" s="269"/>
      <c r="P714" s="235"/>
      <c r="Q714" s="289"/>
      <c r="R714" s="289"/>
      <c r="S714" s="218"/>
      <c r="T714" s="219"/>
      <c r="U714" s="30"/>
      <c r="V714" s="31"/>
      <c r="W714" s="30"/>
      <c r="X714" s="220"/>
      <c r="Y714" s="139"/>
      <c r="Z714" s="9"/>
    </row>
    <row r="715" spans="1:26">
      <c r="A715"/>
      <c r="E715" s="242"/>
      <c r="F715" s="214"/>
      <c r="G715" s="288"/>
      <c r="H715" s="232"/>
      <c r="I715" s="9"/>
      <c r="K715" s="217"/>
      <c r="L715" s="217"/>
      <c r="M715" s="268"/>
      <c r="N715" s="176"/>
      <c r="O715" s="269"/>
      <c r="P715" s="236"/>
      <c r="Q715" s="216"/>
      <c r="R715" s="289"/>
      <c r="S715" s="218"/>
      <c r="T715" s="219"/>
      <c r="U715" s="30"/>
      <c r="V715" s="31"/>
      <c r="W715" s="30"/>
      <c r="X715" s="220"/>
      <c r="Y715" s="139"/>
      <c r="Z715" s="9"/>
    </row>
    <row r="716" spans="1:26">
      <c r="A716"/>
      <c r="E716" s="32"/>
      <c r="F716" s="32"/>
      <c r="H716" s="9"/>
      <c r="I716" s="9"/>
      <c r="K716" s="284"/>
      <c r="L716" s="284"/>
      <c r="M716" s="268"/>
      <c r="N716" s="226"/>
      <c r="O716" s="269"/>
      <c r="P716" s="235"/>
      <c r="Q716" s="289"/>
      <c r="R716" s="289"/>
      <c r="S716" s="218"/>
      <c r="T716" s="219"/>
      <c r="U716" s="30"/>
      <c r="V716" s="31"/>
      <c r="W716" s="30"/>
      <c r="X716" s="220"/>
      <c r="Y716" s="139"/>
      <c r="Z716" s="9"/>
    </row>
    <row r="717" spans="1:26">
      <c r="A717"/>
      <c r="E717" s="32"/>
      <c r="F717" s="32"/>
      <c r="H717" s="9"/>
      <c r="I717" s="9"/>
      <c r="K717" s="284"/>
      <c r="L717" s="284"/>
      <c r="M717" s="268"/>
      <c r="N717" s="226"/>
      <c r="O717" s="269"/>
      <c r="P717" s="235"/>
      <c r="Q717" s="289"/>
      <c r="R717" s="289"/>
      <c r="S717" s="218"/>
      <c r="T717" s="219"/>
      <c r="U717" s="30"/>
      <c r="V717" s="31"/>
      <c r="W717" s="30"/>
      <c r="X717" s="220"/>
      <c r="Y717" s="139"/>
      <c r="Z717" s="9"/>
    </row>
    <row r="718" spans="1:26">
      <c r="A718"/>
      <c r="E718" s="242"/>
      <c r="F718" s="214"/>
      <c r="G718" s="288"/>
      <c r="H718" s="232"/>
      <c r="I718" s="9"/>
      <c r="K718" s="217"/>
      <c r="L718" s="217"/>
      <c r="M718" s="268"/>
      <c r="N718" s="176"/>
      <c r="O718" s="269"/>
      <c r="P718" s="236"/>
      <c r="Q718" s="216"/>
      <c r="R718" s="289"/>
      <c r="S718" s="218"/>
      <c r="T718" s="219"/>
      <c r="U718" s="30"/>
      <c r="V718" s="31"/>
      <c r="W718" s="30"/>
      <c r="X718" s="220"/>
      <c r="Y718" s="139"/>
      <c r="Z718" s="9"/>
    </row>
    <row r="719" spans="1:26">
      <c r="A719"/>
      <c r="E719" s="242"/>
      <c r="F719" s="214"/>
      <c r="G719" s="288"/>
      <c r="H719" s="232"/>
      <c r="I719" s="9"/>
      <c r="K719" s="217"/>
      <c r="L719" s="217"/>
      <c r="M719" s="268"/>
      <c r="N719" s="176"/>
      <c r="O719" s="269"/>
      <c r="P719" s="236"/>
      <c r="Q719" s="216"/>
      <c r="R719" s="289"/>
      <c r="S719" s="218"/>
      <c r="T719" s="219"/>
      <c r="U719" s="30"/>
      <c r="V719" s="31"/>
      <c r="W719" s="30"/>
      <c r="X719" s="220"/>
      <c r="Y719" s="139"/>
      <c r="Z719" s="9"/>
    </row>
    <row r="720" spans="1:26">
      <c r="A720"/>
      <c r="E720" s="242"/>
      <c r="F720" s="214"/>
      <c r="G720" s="288"/>
      <c r="H720" s="232"/>
      <c r="I720" s="9"/>
      <c r="K720" s="217"/>
      <c r="L720" s="217"/>
      <c r="M720" s="268"/>
      <c r="N720" s="176"/>
      <c r="O720" s="269"/>
      <c r="P720" s="236"/>
      <c r="Q720" s="216"/>
      <c r="R720" s="289"/>
      <c r="S720" s="218"/>
      <c r="T720" s="219"/>
      <c r="U720" s="30"/>
      <c r="V720" s="31"/>
      <c r="W720" s="30"/>
      <c r="X720" s="220"/>
      <c r="Y720" s="139"/>
      <c r="Z720" s="9"/>
    </row>
    <row r="721" spans="1:27">
      <c r="A721"/>
      <c r="E721" s="32"/>
      <c r="F721" s="32"/>
      <c r="H721" s="9"/>
      <c r="I721" s="9"/>
      <c r="K721" s="284"/>
      <c r="L721" s="284"/>
      <c r="M721" s="268"/>
      <c r="N721" s="226"/>
      <c r="O721" s="269"/>
      <c r="P721" s="235"/>
      <c r="Q721" s="289"/>
      <c r="R721" s="289"/>
      <c r="S721" s="218"/>
      <c r="T721" s="219"/>
      <c r="U721" s="30"/>
      <c r="V721" s="31"/>
      <c r="W721" s="30"/>
      <c r="X721" s="220"/>
      <c r="Y721" s="139"/>
      <c r="Z721" s="9"/>
    </row>
    <row r="722" spans="1:27">
      <c r="A722"/>
      <c r="E722" s="32"/>
      <c r="F722" s="32"/>
      <c r="H722" s="9"/>
      <c r="I722" s="9"/>
      <c r="K722" s="284"/>
      <c r="L722" s="284"/>
      <c r="M722" s="268"/>
      <c r="N722" s="222"/>
      <c r="O722" s="269"/>
      <c r="P722" s="223"/>
      <c r="Q722" s="289"/>
      <c r="R722" s="289"/>
      <c r="S722" s="218"/>
      <c r="T722" s="219"/>
      <c r="U722" s="30"/>
      <c r="V722" s="31"/>
      <c r="W722" s="30"/>
      <c r="X722" s="220"/>
      <c r="Y722" s="139"/>
      <c r="Z722" s="9"/>
    </row>
    <row r="723" spans="1:27">
      <c r="A723"/>
      <c r="E723" s="32"/>
      <c r="F723" s="32"/>
      <c r="H723" s="9"/>
      <c r="I723" s="9"/>
      <c r="K723" s="284"/>
      <c r="L723" s="284"/>
      <c r="M723" s="268"/>
      <c r="N723" s="226"/>
      <c r="O723" s="269"/>
      <c r="P723" s="235"/>
      <c r="Q723" s="289"/>
      <c r="R723" s="289"/>
      <c r="S723" s="218"/>
      <c r="T723" s="219"/>
      <c r="U723" s="30"/>
      <c r="V723" s="31"/>
      <c r="W723" s="30"/>
      <c r="X723" s="220"/>
      <c r="Y723" s="139"/>
      <c r="Z723" s="9"/>
    </row>
    <row r="724" spans="1:27">
      <c r="A724"/>
      <c r="E724" s="242"/>
      <c r="F724" s="214"/>
      <c r="G724" s="288"/>
      <c r="H724" s="232"/>
      <c r="I724" s="9"/>
      <c r="K724" s="217"/>
      <c r="L724" s="217"/>
      <c r="M724" s="268"/>
      <c r="N724" s="176"/>
      <c r="O724" s="269"/>
      <c r="P724" s="236"/>
      <c r="Q724" s="216"/>
      <c r="R724" s="289"/>
      <c r="S724" s="218"/>
      <c r="T724" s="219"/>
      <c r="U724" s="30"/>
      <c r="V724" s="31"/>
      <c r="W724" s="30"/>
      <c r="X724" s="220"/>
      <c r="Y724" s="139"/>
      <c r="Z724" s="9"/>
    </row>
    <row r="725" spans="1:27">
      <c r="A725"/>
      <c r="E725" s="32"/>
      <c r="F725" s="32"/>
      <c r="H725" s="9"/>
      <c r="I725" s="9"/>
      <c r="K725" s="284"/>
      <c r="L725" s="284"/>
      <c r="M725" s="268"/>
      <c r="N725" s="226"/>
      <c r="O725" s="269"/>
      <c r="P725" s="235"/>
      <c r="Q725" s="289"/>
      <c r="R725" s="289"/>
      <c r="S725" s="218"/>
      <c r="T725" s="219"/>
      <c r="U725" s="30"/>
      <c r="V725" s="31"/>
      <c r="W725" s="30"/>
      <c r="X725" s="220"/>
      <c r="Y725" s="139"/>
      <c r="Z725" s="9"/>
    </row>
    <row r="726" spans="1:27">
      <c r="A726"/>
      <c r="E726" s="242"/>
      <c r="F726" s="227"/>
      <c r="G726" s="288"/>
      <c r="H726" s="233"/>
      <c r="I726" s="9"/>
      <c r="K726" s="285"/>
      <c r="L726" s="285"/>
      <c r="M726" s="268"/>
      <c r="N726" s="176"/>
      <c r="O726" s="269"/>
      <c r="P726" s="236"/>
      <c r="Q726" s="216"/>
      <c r="R726" s="289"/>
      <c r="S726" s="218"/>
      <c r="T726" s="219"/>
      <c r="U726" s="30"/>
      <c r="V726" s="31"/>
      <c r="W726" s="30"/>
      <c r="X726" s="220"/>
      <c r="Y726" s="139"/>
      <c r="Z726" s="9"/>
    </row>
    <row r="727" spans="1:27">
      <c r="A727"/>
      <c r="E727" s="32"/>
      <c r="F727" s="32"/>
      <c r="H727" s="9"/>
      <c r="I727" s="9"/>
      <c r="K727" s="284"/>
      <c r="L727" s="284"/>
      <c r="M727" s="268"/>
      <c r="N727" s="226"/>
      <c r="O727" s="269"/>
      <c r="P727" s="235"/>
      <c r="Q727" s="289"/>
      <c r="R727" s="289"/>
      <c r="S727" s="218"/>
      <c r="T727" s="219"/>
      <c r="U727" s="30"/>
      <c r="V727" s="31"/>
      <c r="W727" s="30"/>
      <c r="X727" s="220"/>
      <c r="Y727" s="139"/>
      <c r="Z727" s="9"/>
    </row>
    <row r="728" spans="1:27">
      <c r="A728"/>
      <c r="E728" s="32"/>
      <c r="F728" s="32"/>
      <c r="H728" s="9"/>
      <c r="I728" s="9"/>
      <c r="K728" s="284"/>
      <c r="L728" s="284"/>
      <c r="M728" s="268"/>
      <c r="N728" s="226"/>
      <c r="O728" s="269"/>
      <c r="P728" s="235"/>
      <c r="Q728" s="289"/>
      <c r="R728" s="289"/>
      <c r="S728" s="218"/>
      <c r="T728" s="219"/>
      <c r="U728" s="30"/>
      <c r="V728" s="31"/>
      <c r="W728" s="30"/>
      <c r="X728" s="220"/>
      <c r="Y728" s="139"/>
      <c r="Z728" s="9"/>
    </row>
    <row r="729" spans="1:27">
      <c r="A729"/>
      <c r="C729" s="216"/>
      <c r="D729" s="29"/>
      <c r="E729" s="242"/>
      <c r="F729" s="58"/>
      <c r="G729"/>
      <c r="H729" s="234"/>
      <c r="I729" s="9"/>
      <c r="K729" s="285"/>
      <c r="L729" s="285"/>
      <c r="M729" s="268"/>
      <c r="N729" s="176"/>
      <c r="O729" s="269"/>
      <c r="P729" s="236"/>
      <c r="Q729" s="216"/>
      <c r="R729" s="289"/>
      <c r="S729" s="218"/>
      <c r="T729" s="219"/>
      <c r="U729" s="30"/>
      <c r="V729" s="31"/>
      <c r="W729" s="30"/>
      <c r="X729" s="220"/>
      <c r="Y729" s="139"/>
      <c r="Z729" s="9"/>
      <c r="AA729" s="9"/>
    </row>
    <row r="730" spans="1:27">
      <c r="A730"/>
      <c r="E730" s="242"/>
      <c r="F730" s="227"/>
      <c r="G730" s="288"/>
      <c r="H730" s="233"/>
      <c r="I730" s="9"/>
      <c r="K730" s="285"/>
      <c r="L730" s="285"/>
      <c r="M730" s="268"/>
      <c r="N730" s="176"/>
      <c r="O730" s="269"/>
      <c r="P730" s="236"/>
      <c r="Q730" s="216"/>
      <c r="R730" s="289"/>
      <c r="S730" s="218"/>
      <c r="T730" s="219"/>
      <c r="U730" s="30"/>
      <c r="V730" s="31"/>
      <c r="W730" s="30"/>
      <c r="X730" s="220"/>
      <c r="Y730" s="139"/>
      <c r="Z730" s="9"/>
    </row>
    <row r="731" spans="1:27">
      <c r="A731"/>
      <c r="E731" s="32"/>
      <c r="F731" s="32"/>
      <c r="H731" s="9"/>
      <c r="I731" s="9"/>
      <c r="K731" s="284"/>
      <c r="L731" s="284"/>
      <c r="M731" s="268"/>
      <c r="N731" s="226"/>
      <c r="O731" s="269"/>
      <c r="P731" s="235"/>
      <c r="Q731" s="289"/>
      <c r="R731" s="289"/>
      <c r="S731" s="218"/>
      <c r="T731" s="219"/>
      <c r="U731" s="30"/>
      <c r="V731" s="31"/>
      <c r="W731" s="30"/>
      <c r="X731" s="220"/>
      <c r="Y731" s="139"/>
      <c r="Z731" s="9"/>
    </row>
    <row r="732" spans="1:27">
      <c r="A732"/>
      <c r="E732" s="32"/>
      <c r="F732" s="32"/>
      <c r="H732" s="9"/>
      <c r="I732" s="9"/>
      <c r="K732" s="284"/>
      <c r="L732" s="284"/>
      <c r="M732" s="268"/>
      <c r="N732" s="226"/>
      <c r="O732" s="269"/>
      <c r="P732" s="235"/>
      <c r="Q732" s="289"/>
      <c r="R732" s="289"/>
      <c r="S732" s="218"/>
      <c r="T732" s="219"/>
      <c r="U732" s="30"/>
      <c r="V732" s="31"/>
      <c r="W732" s="30"/>
      <c r="X732" s="220"/>
      <c r="Y732" s="139"/>
      <c r="Z732" s="9"/>
    </row>
    <row r="733" spans="1:27">
      <c r="A733"/>
      <c r="E733" s="32"/>
      <c r="F733" s="32"/>
      <c r="H733" s="9"/>
      <c r="I733" s="9"/>
      <c r="K733" s="284"/>
      <c r="L733" s="284"/>
      <c r="M733" s="268"/>
      <c r="N733" s="226"/>
      <c r="O733" s="269"/>
      <c r="P733" s="235"/>
      <c r="Q733" s="289"/>
      <c r="R733" s="289"/>
      <c r="S733" s="218"/>
      <c r="T733" s="219"/>
      <c r="U733" s="30"/>
      <c r="V733" s="31"/>
      <c r="W733" s="30"/>
      <c r="X733" s="220"/>
      <c r="Y733" s="139"/>
      <c r="Z733" s="9"/>
    </row>
    <row r="734" spans="1:27">
      <c r="A734"/>
      <c r="E734" s="32"/>
      <c r="F734" s="32"/>
      <c r="H734" s="9"/>
      <c r="I734" s="9"/>
      <c r="K734" s="284"/>
      <c r="L734" s="284"/>
      <c r="M734" s="268"/>
      <c r="N734" s="226"/>
      <c r="O734" s="269"/>
      <c r="P734" s="235"/>
      <c r="Q734" s="289"/>
      <c r="R734" s="289"/>
      <c r="S734" s="218"/>
      <c r="T734" s="219"/>
      <c r="U734" s="30"/>
      <c r="V734" s="31"/>
      <c r="W734" s="30"/>
      <c r="X734" s="220"/>
      <c r="Y734" s="139"/>
      <c r="Z734" s="9"/>
    </row>
    <row r="735" spans="1:27">
      <c r="A735"/>
      <c r="E735" s="32"/>
      <c r="F735" s="32"/>
      <c r="H735" s="9"/>
      <c r="I735" s="9"/>
      <c r="K735" s="284"/>
      <c r="L735" s="284"/>
      <c r="M735" s="268"/>
      <c r="N735" s="226"/>
      <c r="O735" s="269"/>
      <c r="P735" s="235"/>
      <c r="Q735" s="289"/>
      <c r="R735" s="289"/>
      <c r="S735" s="218"/>
      <c r="T735" s="219"/>
      <c r="U735" s="30"/>
      <c r="V735" s="31"/>
      <c r="W735" s="30"/>
      <c r="X735" s="220"/>
      <c r="Y735" s="139"/>
      <c r="Z735" s="9"/>
    </row>
    <row r="736" spans="1:27">
      <c r="A736"/>
      <c r="E736" s="32"/>
      <c r="F736" s="32"/>
      <c r="H736" s="9"/>
      <c r="I736" s="9"/>
      <c r="K736" s="284"/>
      <c r="L736" s="284"/>
      <c r="M736" s="268"/>
      <c r="N736" s="226"/>
      <c r="O736" s="269"/>
      <c r="P736" s="235"/>
      <c r="Q736" s="289"/>
      <c r="R736" s="289"/>
      <c r="S736" s="218"/>
      <c r="T736" s="219"/>
      <c r="U736" s="30"/>
      <c r="V736" s="31"/>
      <c r="W736" s="30"/>
      <c r="X736" s="220"/>
      <c r="Y736" s="139"/>
      <c r="Z736" s="9"/>
    </row>
    <row r="737" spans="1:26">
      <c r="A737"/>
      <c r="E737" s="32"/>
      <c r="F737" s="32"/>
      <c r="H737" s="9"/>
      <c r="I737" s="9"/>
      <c r="K737" s="284"/>
      <c r="L737" s="284"/>
      <c r="M737" s="268"/>
      <c r="N737" s="226"/>
      <c r="O737" s="269"/>
      <c r="P737" s="235"/>
      <c r="Q737" s="289"/>
      <c r="R737" s="289"/>
      <c r="S737" s="218"/>
      <c r="T737" s="219"/>
      <c r="U737" s="30"/>
      <c r="V737" s="31"/>
      <c r="W737" s="30"/>
      <c r="X737" s="220"/>
      <c r="Y737" s="139"/>
      <c r="Z737" s="9"/>
    </row>
    <row r="738" spans="1:26">
      <c r="A738"/>
      <c r="E738" s="32"/>
      <c r="F738" s="32"/>
      <c r="H738" s="9"/>
      <c r="I738" s="9"/>
      <c r="K738" s="284"/>
      <c r="L738" s="284"/>
      <c r="M738" s="268"/>
      <c r="N738" s="226"/>
      <c r="O738" s="269"/>
      <c r="P738" s="235"/>
      <c r="Q738" s="289"/>
      <c r="R738" s="289"/>
      <c r="S738" s="218"/>
      <c r="T738" s="219"/>
      <c r="U738" s="30"/>
      <c r="V738" s="31"/>
      <c r="W738" s="30"/>
      <c r="X738" s="220"/>
      <c r="Y738" s="139"/>
      <c r="Z738" s="9"/>
    </row>
    <row r="739" spans="1:26">
      <c r="A739"/>
      <c r="E739" s="242"/>
      <c r="F739" s="214"/>
      <c r="G739" s="288"/>
      <c r="H739" s="232"/>
      <c r="I739" s="9"/>
      <c r="K739" s="217"/>
      <c r="L739" s="217"/>
      <c r="M739" s="268"/>
      <c r="N739" s="176"/>
      <c r="O739" s="269"/>
      <c r="P739" s="236"/>
      <c r="Q739" s="216"/>
      <c r="R739" s="289"/>
      <c r="S739" s="218"/>
      <c r="T739" s="219"/>
      <c r="U739" s="30"/>
      <c r="V739" s="31"/>
      <c r="W739" s="30"/>
      <c r="X739" s="220"/>
      <c r="Y739" s="139"/>
      <c r="Z739" s="9"/>
    </row>
    <row r="740" spans="1:26">
      <c r="A740"/>
      <c r="E740" s="32"/>
      <c r="F740" s="32"/>
      <c r="H740" s="9"/>
      <c r="I740" s="9"/>
      <c r="K740" s="284"/>
      <c r="L740" s="284"/>
      <c r="M740" s="268"/>
      <c r="N740" s="226"/>
      <c r="O740" s="269"/>
      <c r="P740" s="235"/>
      <c r="Q740" s="289"/>
      <c r="R740" s="289"/>
      <c r="S740" s="218"/>
      <c r="T740" s="219"/>
      <c r="U740" s="30"/>
      <c r="V740" s="31"/>
      <c r="W740" s="30"/>
      <c r="X740" s="220"/>
      <c r="Y740" s="139"/>
      <c r="Z740" s="9"/>
    </row>
    <row r="741" spans="1:26">
      <c r="A741"/>
      <c r="E741" s="32"/>
      <c r="F741" s="32"/>
      <c r="H741" s="9"/>
      <c r="I741" s="9"/>
      <c r="K741" s="284"/>
      <c r="L741" s="284"/>
      <c r="M741" s="268"/>
      <c r="N741" s="226"/>
      <c r="O741" s="269"/>
      <c r="P741" s="235"/>
      <c r="Q741" s="289"/>
      <c r="R741" s="289"/>
      <c r="S741" s="218"/>
      <c r="T741" s="219"/>
      <c r="U741" s="30"/>
      <c r="V741" s="31"/>
      <c r="W741" s="30"/>
      <c r="X741" s="220"/>
      <c r="Y741" s="139"/>
      <c r="Z741" s="9"/>
    </row>
    <row r="742" spans="1:26">
      <c r="A742"/>
      <c r="E742" s="32"/>
      <c r="F742" s="32"/>
      <c r="H742" s="9"/>
      <c r="I742" s="9"/>
      <c r="K742" s="284"/>
      <c r="L742" s="284"/>
      <c r="M742" s="268"/>
      <c r="N742" s="226"/>
      <c r="O742" s="269"/>
      <c r="P742" s="235"/>
      <c r="Q742" s="289"/>
      <c r="R742" s="289"/>
      <c r="S742" s="218"/>
      <c r="T742" s="219"/>
      <c r="U742" s="30"/>
      <c r="V742" s="31"/>
      <c r="W742" s="30"/>
      <c r="X742" s="220"/>
      <c r="Y742" s="139"/>
      <c r="Z742" s="9"/>
    </row>
    <row r="743" spans="1:26">
      <c r="A743"/>
      <c r="E743" s="32"/>
      <c r="F743" s="32"/>
      <c r="H743" s="9"/>
      <c r="I743" s="9"/>
      <c r="K743" s="284"/>
      <c r="L743" s="284"/>
      <c r="M743" s="268"/>
      <c r="N743" s="226"/>
      <c r="O743" s="269"/>
      <c r="P743" s="235"/>
      <c r="Q743" s="289"/>
      <c r="R743" s="289"/>
      <c r="S743" s="218"/>
      <c r="T743" s="219"/>
      <c r="U743" s="30"/>
      <c r="V743" s="31"/>
      <c r="W743" s="30"/>
      <c r="X743" s="220"/>
      <c r="Y743" s="139"/>
      <c r="Z743" s="9"/>
    </row>
    <row r="744" spans="1:26">
      <c r="A744"/>
      <c r="E744" s="242"/>
      <c r="F744" s="214"/>
      <c r="G744" s="288"/>
      <c r="H744" s="232"/>
      <c r="I744" s="9"/>
      <c r="K744" s="217"/>
      <c r="L744" s="217"/>
      <c r="M744" s="268"/>
      <c r="N744" s="176"/>
      <c r="O744" s="269"/>
      <c r="P744" s="236"/>
      <c r="Q744" s="216"/>
      <c r="R744" s="289"/>
      <c r="S744" s="218"/>
      <c r="T744" s="219"/>
      <c r="U744" s="30"/>
      <c r="V744" s="31"/>
      <c r="W744" s="30"/>
      <c r="X744" s="220"/>
      <c r="Y744" s="139"/>
      <c r="Z744" s="9"/>
    </row>
    <row r="745" spans="1:26">
      <c r="A745"/>
      <c r="E745" s="32"/>
      <c r="F745" s="32"/>
      <c r="H745" s="9"/>
      <c r="I745" s="9"/>
      <c r="K745" s="284"/>
      <c r="L745" s="284"/>
      <c r="M745" s="268"/>
      <c r="N745" s="226"/>
      <c r="O745" s="269"/>
      <c r="P745" s="235"/>
      <c r="Q745" s="289"/>
      <c r="R745" s="289"/>
      <c r="S745" s="218"/>
      <c r="T745" s="219"/>
      <c r="U745" s="30"/>
      <c r="V745" s="31"/>
      <c r="W745" s="30"/>
      <c r="X745" s="220"/>
      <c r="Y745" s="139"/>
      <c r="Z745" s="9"/>
    </row>
    <row r="746" spans="1:26">
      <c r="A746"/>
      <c r="E746" s="32"/>
      <c r="F746" s="32"/>
      <c r="H746" s="9"/>
      <c r="I746" s="9"/>
      <c r="K746" s="284"/>
      <c r="L746" s="284"/>
      <c r="M746" s="268"/>
      <c r="N746" s="226"/>
      <c r="O746" s="269"/>
      <c r="P746" s="235"/>
      <c r="Q746" s="289"/>
      <c r="R746" s="289"/>
      <c r="S746" s="218"/>
      <c r="T746" s="219"/>
      <c r="U746" s="30"/>
      <c r="V746" s="31"/>
      <c r="W746" s="30"/>
      <c r="X746" s="220"/>
      <c r="Y746" s="139"/>
      <c r="Z746" s="9"/>
    </row>
    <row r="747" spans="1:26">
      <c r="A747"/>
      <c r="E747" s="32"/>
      <c r="F747" s="32"/>
      <c r="H747" s="9"/>
      <c r="I747" s="9"/>
      <c r="K747" s="284"/>
      <c r="L747" s="284"/>
      <c r="M747" s="268"/>
      <c r="N747" s="226"/>
      <c r="O747" s="269"/>
      <c r="P747" s="235"/>
      <c r="Q747" s="289"/>
      <c r="R747" s="289"/>
      <c r="S747" s="218"/>
      <c r="T747" s="219"/>
      <c r="U747" s="30"/>
      <c r="V747" s="31"/>
      <c r="W747" s="30"/>
      <c r="X747" s="220"/>
      <c r="Y747" s="139"/>
      <c r="Z747" s="9"/>
    </row>
    <row r="748" spans="1:26">
      <c r="A748"/>
      <c r="E748" s="32"/>
      <c r="F748" s="32"/>
      <c r="H748" s="9"/>
      <c r="I748" s="9"/>
      <c r="K748" s="284"/>
      <c r="L748" s="284"/>
      <c r="M748" s="268"/>
      <c r="N748" s="226"/>
      <c r="O748" s="269"/>
      <c r="P748" s="235"/>
      <c r="Q748" s="289"/>
      <c r="R748" s="289"/>
      <c r="S748" s="218"/>
      <c r="T748" s="219"/>
      <c r="U748" s="30"/>
      <c r="V748" s="31"/>
      <c r="W748" s="30"/>
      <c r="X748" s="220"/>
      <c r="Y748" s="139"/>
      <c r="Z748" s="9"/>
    </row>
    <row r="749" spans="1:26">
      <c r="A749"/>
      <c r="E749" s="32"/>
      <c r="F749" s="32"/>
      <c r="H749" s="9"/>
      <c r="I749" s="9"/>
      <c r="K749" s="284"/>
      <c r="L749" s="284"/>
      <c r="M749" s="268"/>
      <c r="N749" s="226"/>
      <c r="O749" s="269"/>
      <c r="P749" s="235"/>
      <c r="Q749" s="289"/>
      <c r="R749" s="289"/>
      <c r="S749" s="218"/>
      <c r="T749" s="219"/>
      <c r="U749" s="30"/>
      <c r="V749" s="31"/>
      <c r="W749" s="30"/>
      <c r="X749" s="220"/>
      <c r="Y749" s="139"/>
      <c r="Z749" s="9"/>
    </row>
    <row r="750" spans="1:26">
      <c r="A750"/>
      <c r="E750" s="32"/>
      <c r="F750" s="32"/>
      <c r="H750" s="9"/>
      <c r="I750" s="9"/>
      <c r="K750" s="284"/>
      <c r="L750" s="284"/>
      <c r="M750" s="268"/>
      <c r="N750" s="226"/>
      <c r="O750" s="269"/>
      <c r="P750" s="235"/>
      <c r="Q750" s="289"/>
      <c r="R750" s="289"/>
      <c r="S750" s="218"/>
      <c r="T750" s="219"/>
      <c r="U750" s="30"/>
      <c r="V750" s="31"/>
      <c r="W750" s="30"/>
      <c r="X750" s="220"/>
      <c r="Y750" s="139"/>
      <c r="Z750" s="9"/>
    </row>
    <row r="751" spans="1:26">
      <c r="A751"/>
      <c r="E751" s="242"/>
      <c r="F751" s="227"/>
      <c r="G751" s="288"/>
      <c r="H751" s="233"/>
      <c r="I751" s="9"/>
      <c r="K751" s="285"/>
      <c r="L751" s="285"/>
      <c r="M751" s="268"/>
      <c r="N751" s="176"/>
      <c r="O751" s="269"/>
      <c r="P751" s="236"/>
      <c r="Q751" s="216"/>
      <c r="R751" s="289"/>
      <c r="S751" s="218"/>
      <c r="T751" s="219"/>
      <c r="U751" s="30"/>
      <c r="V751" s="31"/>
      <c r="W751" s="30"/>
      <c r="X751" s="220"/>
      <c r="Y751" s="139"/>
      <c r="Z751" s="9"/>
    </row>
    <row r="752" spans="1:26">
      <c r="A752"/>
      <c r="E752" s="32"/>
      <c r="F752" s="32"/>
      <c r="H752" s="9"/>
      <c r="I752" s="9"/>
      <c r="K752" s="284"/>
      <c r="L752" s="284"/>
      <c r="M752" s="268"/>
      <c r="N752" s="226"/>
      <c r="O752" s="269"/>
      <c r="P752" s="235"/>
      <c r="Q752" s="289"/>
      <c r="R752" s="289"/>
      <c r="S752" s="218"/>
      <c r="T752" s="219"/>
      <c r="U752" s="30"/>
      <c r="V752" s="31"/>
      <c r="W752" s="30"/>
      <c r="X752" s="220"/>
      <c r="Y752" s="139"/>
      <c r="Z752" s="9"/>
    </row>
    <row r="753" spans="1:26">
      <c r="A753"/>
      <c r="E753" s="32"/>
      <c r="F753" s="32"/>
      <c r="H753" s="9"/>
      <c r="I753" s="9"/>
      <c r="K753" s="284"/>
      <c r="L753" s="284"/>
      <c r="M753" s="268"/>
      <c r="N753" s="226"/>
      <c r="O753" s="269"/>
      <c r="P753" s="235"/>
      <c r="Q753" s="289"/>
      <c r="R753" s="289"/>
      <c r="S753" s="218"/>
      <c r="T753" s="219"/>
      <c r="U753" s="30"/>
      <c r="V753" s="31"/>
      <c r="W753" s="30"/>
      <c r="X753" s="220"/>
      <c r="Y753" s="139"/>
      <c r="Z753" s="9"/>
    </row>
    <row r="754" spans="1:26">
      <c r="A754"/>
      <c r="E754" s="32"/>
      <c r="F754" s="32"/>
      <c r="H754" s="9"/>
      <c r="I754" s="9"/>
      <c r="K754" s="284"/>
      <c r="L754" s="284"/>
      <c r="M754" s="268"/>
      <c r="N754" s="226"/>
      <c r="O754" s="269"/>
      <c r="P754" s="235"/>
      <c r="Q754" s="289"/>
      <c r="R754" s="289"/>
      <c r="S754" s="218"/>
      <c r="T754" s="219"/>
      <c r="U754" s="30"/>
      <c r="V754" s="31"/>
      <c r="W754" s="30"/>
      <c r="X754" s="220"/>
      <c r="Y754" s="139"/>
      <c r="Z754" s="9"/>
    </row>
    <row r="755" spans="1:26">
      <c r="A755"/>
      <c r="E755" s="32"/>
      <c r="F755" s="32"/>
      <c r="H755" s="9"/>
      <c r="I755" s="9"/>
      <c r="K755" s="284"/>
      <c r="L755" s="284"/>
      <c r="M755" s="268"/>
      <c r="N755" s="226"/>
      <c r="O755" s="269"/>
      <c r="P755" s="235"/>
      <c r="Q755" s="289"/>
      <c r="R755" s="289"/>
      <c r="S755" s="218"/>
      <c r="T755" s="219"/>
      <c r="U755" s="30"/>
      <c r="V755" s="31"/>
      <c r="W755" s="30"/>
      <c r="X755" s="220"/>
      <c r="Y755" s="139"/>
      <c r="Z755" s="9"/>
    </row>
    <row r="756" spans="1:26">
      <c r="A756"/>
      <c r="E756" s="32"/>
      <c r="F756" s="32"/>
      <c r="H756" s="9"/>
      <c r="I756" s="9"/>
      <c r="K756" s="284"/>
      <c r="L756" s="284"/>
      <c r="M756" s="268"/>
      <c r="N756" s="226"/>
      <c r="O756" s="269"/>
      <c r="P756" s="235"/>
      <c r="Q756" s="289"/>
      <c r="R756" s="289"/>
      <c r="S756" s="218"/>
      <c r="T756" s="219"/>
      <c r="U756" s="30"/>
      <c r="V756" s="31"/>
      <c r="W756" s="30"/>
      <c r="X756" s="220"/>
      <c r="Y756" s="139"/>
      <c r="Z756" s="9"/>
    </row>
    <row r="757" spans="1:26">
      <c r="A757"/>
      <c r="E757" s="32"/>
      <c r="H757" s="9"/>
      <c r="I757" s="9"/>
      <c r="K757" s="284"/>
      <c r="L757" s="284"/>
      <c r="M757" s="268"/>
      <c r="N757" s="226"/>
      <c r="O757" s="269"/>
      <c r="P757" s="235"/>
      <c r="Q757" s="289"/>
      <c r="R757" s="289"/>
      <c r="S757" s="218"/>
      <c r="T757" s="219"/>
      <c r="U757" s="30"/>
      <c r="V757" s="31"/>
      <c r="W757" s="30"/>
      <c r="X757" s="220"/>
      <c r="Y757" s="139"/>
      <c r="Z757" s="9"/>
    </row>
    <row r="758" spans="1:26">
      <c r="A758"/>
      <c r="E758" s="242"/>
      <c r="F758" s="214"/>
      <c r="G758" s="288"/>
      <c r="H758" s="232"/>
      <c r="I758" s="9"/>
      <c r="K758" s="217"/>
      <c r="L758" s="217"/>
      <c r="M758" s="268"/>
      <c r="N758" s="176"/>
      <c r="O758" s="269"/>
      <c r="P758" s="236"/>
      <c r="Q758" s="216"/>
      <c r="R758" s="289"/>
      <c r="S758" s="218"/>
      <c r="T758" s="219"/>
      <c r="U758" s="30"/>
      <c r="V758" s="31"/>
      <c r="W758" s="30"/>
      <c r="X758" s="220"/>
      <c r="Y758" s="139"/>
      <c r="Z758" s="9"/>
    </row>
    <row r="759" spans="1:26">
      <c r="A759"/>
      <c r="E759" s="32"/>
      <c r="H759" s="9"/>
      <c r="I759" s="9"/>
      <c r="K759" s="284"/>
      <c r="L759" s="284"/>
      <c r="M759" s="268"/>
      <c r="N759" s="226"/>
      <c r="O759" s="269"/>
      <c r="P759" s="235"/>
      <c r="Q759" s="289"/>
      <c r="R759" s="289"/>
      <c r="S759" s="218"/>
      <c r="T759" s="219"/>
      <c r="U759" s="30"/>
      <c r="V759" s="31"/>
      <c r="W759" s="30"/>
      <c r="X759" s="220"/>
      <c r="Y759" s="139"/>
      <c r="Z759" s="9"/>
    </row>
    <row r="760" spans="1:26">
      <c r="A760"/>
      <c r="E760" s="242"/>
      <c r="F760" s="227"/>
      <c r="G760" s="288"/>
      <c r="H760" s="233"/>
      <c r="I760" s="9"/>
      <c r="K760" s="285"/>
      <c r="L760" s="285"/>
      <c r="M760" s="268"/>
      <c r="N760" s="176"/>
      <c r="O760" s="269"/>
      <c r="P760" s="236"/>
      <c r="Q760" s="216"/>
      <c r="R760" s="289"/>
      <c r="S760" s="218"/>
      <c r="T760" s="219"/>
      <c r="U760" s="30"/>
      <c r="V760" s="31"/>
      <c r="W760" s="30"/>
      <c r="X760" s="220"/>
      <c r="Y760" s="139"/>
      <c r="Z760" s="9"/>
    </row>
    <row r="761" spans="1:26">
      <c r="A761"/>
      <c r="E761" s="32"/>
      <c r="F761" s="32"/>
      <c r="H761" s="9"/>
      <c r="I761" s="9"/>
      <c r="K761" s="284"/>
      <c r="L761" s="284"/>
      <c r="M761" s="268"/>
      <c r="N761" s="226"/>
      <c r="O761" s="269"/>
      <c r="P761" s="235"/>
      <c r="Q761" s="289"/>
      <c r="R761" s="289"/>
      <c r="S761" s="218"/>
      <c r="T761" s="219"/>
      <c r="U761" s="30"/>
      <c r="V761" s="31"/>
      <c r="W761" s="30"/>
      <c r="X761" s="220"/>
      <c r="Y761" s="139"/>
      <c r="Z761" s="9"/>
    </row>
    <row r="762" spans="1:26">
      <c r="A762"/>
      <c r="E762" s="32"/>
      <c r="F762" s="32"/>
      <c r="H762" s="9"/>
      <c r="I762" s="9"/>
      <c r="K762" s="284"/>
      <c r="L762" s="284"/>
      <c r="M762" s="268"/>
      <c r="N762" s="226"/>
      <c r="O762" s="269"/>
      <c r="P762" s="235"/>
      <c r="Q762" s="289"/>
      <c r="R762" s="289"/>
      <c r="S762" s="218"/>
      <c r="T762" s="219"/>
      <c r="U762" s="30"/>
      <c r="V762" s="31"/>
      <c r="W762" s="30"/>
      <c r="X762" s="220"/>
      <c r="Y762" s="139"/>
      <c r="Z762" s="9"/>
    </row>
    <row r="763" spans="1:26">
      <c r="A763"/>
      <c r="E763" s="32"/>
      <c r="F763" s="32"/>
      <c r="H763" s="9"/>
      <c r="I763" s="9"/>
      <c r="K763" s="284"/>
      <c r="L763" s="284"/>
      <c r="M763" s="268"/>
      <c r="N763" s="226"/>
      <c r="O763" s="269"/>
      <c r="P763" s="235"/>
      <c r="Q763" s="289"/>
      <c r="R763" s="289"/>
      <c r="S763" s="218"/>
      <c r="T763" s="219"/>
      <c r="U763" s="30"/>
      <c r="V763" s="31"/>
      <c r="W763" s="30"/>
      <c r="X763" s="220"/>
      <c r="Y763" s="139"/>
      <c r="Z763" s="9"/>
    </row>
    <row r="764" spans="1:26">
      <c r="A764"/>
      <c r="E764" s="242"/>
      <c r="F764" s="227"/>
      <c r="G764" s="288"/>
      <c r="H764" s="233"/>
      <c r="I764" s="9"/>
      <c r="K764" s="285"/>
      <c r="L764" s="285"/>
      <c r="M764" s="268"/>
      <c r="N764" s="176"/>
      <c r="O764" s="269"/>
      <c r="P764" s="236"/>
      <c r="Q764" s="216"/>
      <c r="R764" s="289"/>
      <c r="S764" s="218"/>
      <c r="T764" s="219"/>
      <c r="U764" s="30"/>
      <c r="V764" s="31"/>
      <c r="W764" s="30"/>
      <c r="X764" s="220"/>
      <c r="Y764" s="139"/>
      <c r="Z764" s="9"/>
    </row>
    <row r="765" spans="1:26">
      <c r="A765"/>
      <c r="E765" s="242"/>
      <c r="F765" s="214"/>
      <c r="G765" s="288"/>
      <c r="H765" s="232"/>
      <c r="I765" s="9"/>
      <c r="K765" s="217"/>
      <c r="L765" s="217"/>
      <c r="M765" s="268"/>
      <c r="N765" s="176"/>
      <c r="O765" s="269"/>
      <c r="P765" s="236"/>
      <c r="Q765" s="216"/>
      <c r="R765" s="289"/>
      <c r="S765" s="218"/>
      <c r="T765" s="219"/>
      <c r="U765" s="30"/>
      <c r="V765" s="31"/>
      <c r="W765" s="30"/>
      <c r="X765" s="220"/>
      <c r="Y765" s="139"/>
      <c r="Z765" s="9"/>
    </row>
    <row r="766" spans="1:26">
      <c r="A766"/>
      <c r="E766" s="32"/>
      <c r="F766" s="32"/>
      <c r="H766" s="9"/>
      <c r="I766" s="9"/>
      <c r="K766" s="284"/>
      <c r="L766" s="284"/>
      <c r="M766" s="268"/>
      <c r="N766" s="226"/>
      <c r="O766" s="269"/>
      <c r="P766" s="235"/>
      <c r="Q766" s="289"/>
      <c r="R766" s="289"/>
      <c r="S766" s="218"/>
      <c r="T766" s="219"/>
      <c r="U766" s="30"/>
      <c r="V766" s="31"/>
      <c r="W766" s="30"/>
      <c r="X766" s="220"/>
      <c r="Y766" s="139"/>
      <c r="Z766" s="9"/>
    </row>
    <row r="767" spans="1:26">
      <c r="A767"/>
      <c r="E767" s="242"/>
      <c r="F767" s="214"/>
      <c r="G767" s="288"/>
      <c r="H767" s="232"/>
      <c r="I767" s="9"/>
      <c r="K767" s="217"/>
      <c r="L767" s="217"/>
      <c r="M767" s="268"/>
      <c r="N767" s="176"/>
      <c r="O767" s="269"/>
      <c r="P767" s="236"/>
      <c r="Q767" s="216"/>
      <c r="R767" s="289"/>
      <c r="S767" s="218"/>
      <c r="T767" s="219"/>
      <c r="U767" s="30"/>
      <c r="V767" s="31"/>
      <c r="W767" s="30"/>
      <c r="X767" s="220"/>
      <c r="Y767" s="139"/>
      <c r="Z767" s="9"/>
    </row>
    <row r="768" spans="1:26">
      <c r="A768"/>
      <c r="E768" s="242"/>
      <c r="F768" s="214"/>
      <c r="G768" s="288"/>
      <c r="H768" s="232"/>
      <c r="I768" s="9"/>
      <c r="K768" s="217"/>
      <c r="L768" s="217"/>
      <c r="M768" s="268"/>
      <c r="N768" s="176"/>
      <c r="O768" s="269"/>
      <c r="P768" s="236"/>
      <c r="Q768" s="216"/>
      <c r="R768" s="289"/>
      <c r="S768" s="218"/>
      <c r="T768" s="219"/>
      <c r="U768" s="30"/>
      <c r="V768" s="31"/>
      <c r="W768" s="30"/>
      <c r="X768" s="220"/>
      <c r="Y768" s="139"/>
      <c r="Z768" s="9"/>
    </row>
    <row r="769" spans="1:26">
      <c r="A769"/>
      <c r="E769" s="242"/>
      <c r="F769" s="214"/>
      <c r="G769" s="288"/>
      <c r="H769" s="232"/>
      <c r="I769" s="9"/>
      <c r="K769" s="217"/>
      <c r="L769" s="217"/>
      <c r="M769" s="268"/>
      <c r="N769" s="176"/>
      <c r="O769" s="269"/>
      <c r="P769" s="236"/>
      <c r="Q769" s="216"/>
      <c r="R769" s="289"/>
      <c r="S769" s="218"/>
      <c r="T769" s="219"/>
      <c r="U769" s="30"/>
      <c r="V769" s="31"/>
      <c r="W769" s="30"/>
      <c r="X769" s="220"/>
      <c r="Y769" s="139"/>
      <c r="Z769" s="9"/>
    </row>
    <row r="770" spans="1:26">
      <c r="A770"/>
      <c r="E770" s="242"/>
      <c r="F770" s="214"/>
      <c r="G770" s="288"/>
      <c r="H770" s="232"/>
      <c r="I770" s="9"/>
      <c r="K770" s="217"/>
      <c r="L770" s="217"/>
      <c r="M770" s="268"/>
      <c r="N770" s="176"/>
      <c r="O770" s="269"/>
      <c r="P770" s="236"/>
      <c r="Q770" s="216"/>
      <c r="R770" s="289"/>
      <c r="S770" s="218"/>
      <c r="T770" s="219"/>
      <c r="U770" s="30"/>
      <c r="V770" s="31"/>
      <c r="W770" s="30"/>
      <c r="X770" s="220"/>
      <c r="Y770" s="139"/>
      <c r="Z770" s="9"/>
    </row>
    <row r="771" spans="1:26">
      <c r="A771"/>
      <c r="E771" s="32"/>
      <c r="F771" s="32"/>
      <c r="H771" s="9"/>
      <c r="I771" s="9"/>
      <c r="K771" s="284"/>
      <c r="L771" s="284"/>
      <c r="M771" s="268"/>
      <c r="N771" s="226"/>
      <c r="O771" s="269"/>
      <c r="P771" s="235"/>
      <c r="Q771" s="289"/>
      <c r="R771" s="289"/>
      <c r="S771" s="218"/>
      <c r="T771" s="219"/>
      <c r="U771" s="30"/>
      <c r="V771" s="31"/>
      <c r="W771" s="30"/>
      <c r="X771" s="220"/>
      <c r="Y771" s="139"/>
      <c r="Z771" s="9"/>
    </row>
    <row r="772" spans="1:26">
      <c r="A772"/>
      <c r="E772" s="32"/>
      <c r="F772" s="32"/>
      <c r="H772" s="9"/>
      <c r="I772" s="9"/>
      <c r="K772" s="284"/>
      <c r="L772" s="284"/>
      <c r="M772" s="268"/>
      <c r="N772" s="226"/>
      <c r="O772" s="269"/>
      <c r="P772" s="235"/>
      <c r="Q772" s="289"/>
      <c r="R772" s="289"/>
      <c r="S772" s="218"/>
      <c r="T772" s="219"/>
      <c r="U772" s="30"/>
      <c r="V772" s="31"/>
      <c r="W772" s="30"/>
      <c r="X772" s="220"/>
      <c r="Y772" s="139"/>
      <c r="Z772" s="9"/>
    </row>
    <row r="773" spans="1:26">
      <c r="A773"/>
      <c r="E773" s="32"/>
      <c r="F773" s="32"/>
      <c r="H773" s="9"/>
      <c r="I773" s="9"/>
      <c r="K773" s="284"/>
      <c r="L773" s="284"/>
      <c r="M773" s="268"/>
      <c r="N773" s="226"/>
      <c r="O773" s="269"/>
      <c r="P773" s="235"/>
      <c r="Q773" s="289"/>
      <c r="R773" s="289"/>
      <c r="S773" s="218"/>
      <c r="T773" s="219"/>
      <c r="U773" s="30"/>
      <c r="V773" s="31"/>
      <c r="W773" s="30"/>
      <c r="X773" s="220"/>
      <c r="Y773" s="139"/>
      <c r="Z773" s="9"/>
    </row>
    <row r="774" spans="1:26">
      <c r="A774"/>
      <c r="E774" s="242"/>
      <c r="F774" s="227"/>
      <c r="G774" s="288"/>
      <c r="H774" s="233"/>
      <c r="I774" s="9"/>
      <c r="K774" s="285"/>
      <c r="L774" s="285"/>
      <c r="M774" s="268"/>
      <c r="N774" s="176"/>
      <c r="O774" s="269"/>
      <c r="P774" s="236"/>
      <c r="Q774" s="216"/>
      <c r="R774" s="289"/>
      <c r="S774" s="218"/>
      <c r="T774" s="219"/>
      <c r="U774" s="30"/>
      <c r="V774" s="31"/>
      <c r="W774" s="30"/>
      <c r="X774" s="220"/>
      <c r="Y774" s="139"/>
      <c r="Z774" s="9"/>
    </row>
    <row r="775" spans="1:26">
      <c r="A775"/>
      <c r="E775" s="32"/>
      <c r="F775" s="32"/>
      <c r="H775" s="9"/>
      <c r="I775" s="9"/>
      <c r="K775" s="284"/>
      <c r="L775" s="284"/>
      <c r="M775" s="268"/>
      <c r="N775" s="226"/>
      <c r="O775" s="269"/>
      <c r="P775" s="235"/>
      <c r="Q775" s="289"/>
      <c r="R775" s="289"/>
      <c r="S775" s="218"/>
      <c r="T775" s="219"/>
      <c r="U775" s="30"/>
      <c r="V775" s="31"/>
      <c r="W775" s="30"/>
      <c r="X775" s="220"/>
      <c r="Y775" s="139"/>
      <c r="Z775" s="9"/>
    </row>
    <row r="776" spans="1:26">
      <c r="A776"/>
      <c r="E776" s="242"/>
      <c r="F776" s="214"/>
      <c r="G776" s="288"/>
      <c r="H776" s="232"/>
      <c r="I776" s="9"/>
      <c r="K776" s="217"/>
      <c r="L776" s="217"/>
      <c r="M776" s="268"/>
      <c r="N776" s="176"/>
      <c r="O776" s="269"/>
      <c r="P776" s="236"/>
      <c r="Q776" s="216"/>
      <c r="R776" s="289"/>
      <c r="S776" s="218"/>
      <c r="T776" s="219"/>
      <c r="U776" s="30"/>
      <c r="V776" s="31"/>
      <c r="W776" s="30"/>
      <c r="X776" s="220"/>
      <c r="Y776" s="139"/>
      <c r="Z776" s="9"/>
    </row>
    <row r="777" spans="1:26">
      <c r="A777"/>
      <c r="E777" s="242"/>
      <c r="F777" s="29"/>
      <c r="G777"/>
      <c r="H777" s="29"/>
      <c r="I777" s="9"/>
      <c r="K777" s="217"/>
      <c r="L777" s="217"/>
      <c r="M777" s="268"/>
      <c r="N777" s="176"/>
      <c r="O777" s="269"/>
      <c r="P777" s="236"/>
      <c r="Q777" s="216"/>
      <c r="R777" s="289"/>
      <c r="S777" s="218"/>
      <c r="T777" s="219"/>
      <c r="U777" s="30"/>
      <c r="V777" s="31"/>
      <c r="W777" s="30"/>
      <c r="X777" s="220"/>
      <c r="Y777" s="139"/>
      <c r="Z777" s="9"/>
    </row>
    <row r="778" spans="1:26">
      <c r="A778"/>
      <c r="E778" s="242"/>
      <c r="F778" s="288"/>
      <c r="G778" s="288"/>
      <c r="H778" s="232"/>
      <c r="I778" s="9"/>
      <c r="K778" s="217"/>
      <c r="L778" s="217"/>
      <c r="M778" s="268"/>
      <c r="N778" s="176"/>
      <c r="O778" s="269"/>
      <c r="P778" s="236"/>
      <c r="Q778" s="216"/>
      <c r="R778" s="289"/>
      <c r="S778" s="218"/>
      <c r="T778" s="219"/>
      <c r="U778" s="30"/>
      <c r="V778" s="31"/>
      <c r="W778" s="30"/>
      <c r="X778" s="220"/>
      <c r="Y778" s="139"/>
      <c r="Z778" s="9"/>
    </row>
    <row r="779" spans="1:26">
      <c r="A779"/>
      <c r="E779" s="32"/>
      <c r="F779" s="32"/>
      <c r="H779" s="9"/>
      <c r="I779" s="9"/>
      <c r="K779" s="284"/>
      <c r="L779" s="284"/>
      <c r="M779" s="268"/>
      <c r="N779" s="226"/>
      <c r="O779" s="269"/>
      <c r="P779" s="235"/>
      <c r="Q779" s="289"/>
      <c r="R779" s="289"/>
      <c r="S779" s="218"/>
      <c r="T779" s="219"/>
      <c r="U779" s="30"/>
      <c r="V779" s="31"/>
      <c r="W779" s="30"/>
      <c r="X779" s="220"/>
      <c r="Y779" s="139"/>
      <c r="Z779" s="9"/>
    </row>
    <row r="780" spans="1:26">
      <c r="A780"/>
      <c r="E780" s="242"/>
      <c r="F780" s="214"/>
      <c r="G780" s="288"/>
      <c r="H780" s="232"/>
      <c r="I780" s="9"/>
      <c r="K780" s="217"/>
      <c r="L780" s="217"/>
      <c r="M780" s="268"/>
      <c r="N780" s="176"/>
      <c r="O780" s="269"/>
      <c r="P780" s="236"/>
      <c r="Q780" s="216"/>
      <c r="R780" s="289"/>
      <c r="S780" s="218"/>
      <c r="T780" s="219"/>
      <c r="U780" s="30"/>
      <c r="V780" s="31"/>
      <c r="W780" s="30"/>
      <c r="X780" s="220"/>
      <c r="Y780" s="139"/>
      <c r="Z780" s="9"/>
    </row>
    <row r="781" spans="1:26">
      <c r="A781"/>
      <c r="E781" s="32"/>
      <c r="F781" s="32"/>
      <c r="H781" s="9"/>
      <c r="I781" s="9"/>
      <c r="K781" s="284"/>
      <c r="L781" s="284"/>
      <c r="M781" s="268"/>
      <c r="N781" s="226"/>
      <c r="O781" s="269"/>
      <c r="P781" s="235"/>
      <c r="Q781" s="289"/>
      <c r="R781" s="289"/>
      <c r="S781" s="218"/>
      <c r="T781" s="219"/>
      <c r="U781" s="30"/>
      <c r="V781" s="31"/>
      <c r="W781" s="30"/>
      <c r="X781" s="220"/>
      <c r="Y781" s="139"/>
      <c r="Z781" s="9"/>
    </row>
    <row r="782" spans="1:26">
      <c r="A782"/>
      <c r="E782" s="32"/>
      <c r="F782" s="32"/>
      <c r="H782" s="9"/>
      <c r="I782" s="9"/>
      <c r="K782" s="284"/>
      <c r="L782" s="284"/>
      <c r="M782" s="268"/>
      <c r="N782" s="226"/>
      <c r="O782" s="269"/>
      <c r="P782" s="235"/>
      <c r="Q782" s="289"/>
      <c r="R782" s="289"/>
      <c r="S782" s="218"/>
      <c r="T782" s="219"/>
      <c r="U782" s="30"/>
      <c r="V782" s="31"/>
      <c r="W782" s="30"/>
      <c r="X782" s="220"/>
      <c r="Y782" s="139"/>
      <c r="Z782" s="9"/>
    </row>
    <row r="783" spans="1:26">
      <c r="A783"/>
      <c r="E783" s="32"/>
      <c r="F783" s="32"/>
      <c r="H783" s="9"/>
      <c r="I783" s="9"/>
      <c r="K783" s="284"/>
      <c r="L783" s="284"/>
      <c r="M783" s="268"/>
      <c r="N783" s="226"/>
      <c r="O783" s="269"/>
      <c r="P783" s="235"/>
      <c r="Q783" s="289"/>
      <c r="R783" s="289"/>
      <c r="S783" s="218"/>
      <c r="T783" s="219"/>
      <c r="U783" s="30"/>
      <c r="V783" s="31"/>
      <c r="W783" s="30"/>
      <c r="X783" s="220"/>
      <c r="Y783" s="139"/>
      <c r="Z783" s="9"/>
    </row>
    <row r="784" spans="1:26">
      <c r="A784"/>
      <c r="E784" s="242"/>
      <c r="F784" s="214"/>
      <c r="G784" s="288"/>
      <c r="H784" s="232"/>
      <c r="I784" s="9"/>
      <c r="K784" s="217"/>
      <c r="L784" s="217"/>
      <c r="M784" s="268"/>
      <c r="N784" s="176"/>
      <c r="O784" s="269"/>
      <c r="P784" s="236"/>
      <c r="Q784" s="216"/>
      <c r="R784" s="289"/>
      <c r="S784" s="218"/>
      <c r="T784" s="219"/>
      <c r="U784" s="30"/>
      <c r="V784" s="31"/>
      <c r="W784" s="30"/>
      <c r="X784" s="220"/>
      <c r="Y784" s="139"/>
      <c r="Z784" s="9"/>
    </row>
    <row r="785" spans="1:26">
      <c r="A785"/>
      <c r="E785" s="32"/>
      <c r="F785" s="32"/>
      <c r="H785" s="9"/>
      <c r="I785" s="9"/>
      <c r="K785" s="284"/>
      <c r="L785" s="284"/>
      <c r="M785" s="268"/>
      <c r="N785" s="226"/>
      <c r="O785" s="269"/>
      <c r="P785" s="235"/>
      <c r="Q785" s="289"/>
      <c r="R785" s="289"/>
      <c r="S785" s="218"/>
      <c r="T785" s="219"/>
      <c r="U785" s="30"/>
      <c r="V785" s="31"/>
      <c r="W785" s="30"/>
      <c r="X785" s="220"/>
      <c r="Y785" s="139"/>
      <c r="Z785" s="9"/>
    </row>
    <row r="786" spans="1:26">
      <c r="A786"/>
      <c r="E786" s="242"/>
      <c r="F786" s="214"/>
      <c r="G786" s="288"/>
      <c r="H786" s="232"/>
      <c r="I786" s="9"/>
      <c r="K786" s="217"/>
      <c r="L786" s="217"/>
      <c r="M786" s="268"/>
      <c r="N786" s="176"/>
      <c r="O786" s="269"/>
      <c r="P786" s="236"/>
      <c r="Q786" s="216"/>
      <c r="R786" s="289"/>
      <c r="S786" s="218"/>
      <c r="T786" s="219"/>
      <c r="U786" s="30"/>
      <c r="V786" s="31"/>
      <c r="W786" s="30"/>
      <c r="X786" s="220"/>
      <c r="Y786" s="139"/>
      <c r="Z786" s="9"/>
    </row>
    <row r="787" spans="1:26">
      <c r="A787"/>
      <c r="E787" s="242"/>
      <c r="F787" s="214"/>
      <c r="G787" s="288"/>
      <c r="H787" s="232"/>
      <c r="I787" s="9"/>
      <c r="K787" s="217"/>
      <c r="L787" s="217"/>
      <c r="M787" s="268"/>
      <c r="N787" s="176"/>
      <c r="O787" s="269"/>
      <c r="P787" s="236"/>
      <c r="Q787" s="216"/>
      <c r="R787" s="289"/>
      <c r="S787" s="218"/>
      <c r="T787" s="219"/>
      <c r="U787" s="30"/>
      <c r="V787" s="31"/>
      <c r="W787" s="30"/>
      <c r="X787" s="220"/>
      <c r="Y787" s="139"/>
      <c r="Z787" s="9"/>
    </row>
    <row r="788" spans="1:26">
      <c r="A788"/>
      <c r="E788" s="242"/>
      <c r="F788" s="214"/>
      <c r="G788" s="288"/>
      <c r="H788" s="232"/>
      <c r="I788" s="9"/>
      <c r="K788" s="217"/>
      <c r="L788" s="217"/>
      <c r="M788" s="268"/>
      <c r="N788" s="176"/>
      <c r="O788" s="269"/>
      <c r="P788" s="236"/>
      <c r="Q788" s="216"/>
      <c r="R788" s="289"/>
      <c r="S788" s="218"/>
      <c r="T788" s="219"/>
      <c r="U788" s="30"/>
      <c r="V788" s="31"/>
      <c r="W788" s="30"/>
      <c r="X788" s="220"/>
      <c r="Y788" s="139"/>
      <c r="Z788" s="9"/>
    </row>
    <row r="789" spans="1:26">
      <c r="A789"/>
      <c r="E789" s="242"/>
      <c r="F789" s="288"/>
      <c r="G789" s="288"/>
      <c r="H789" s="232"/>
      <c r="I789" s="9"/>
      <c r="K789" s="217"/>
      <c r="L789" s="217"/>
      <c r="M789" s="268"/>
      <c r="N789" s="176"/>
      <c r="O789" s="269"/>
      <c r="P789" s="236"/>
      <c r="Q789" s="216"/>
      <c r="R789" s="289"/>
      <c r="S789" s="218"/>
      <c r="T789" s="219"/>
      <c r="U789" s="30"/>
      <c r="V789" s="31"/>
      <c r="W789" s="30"/>
      <c r="X789" s="220"/>
      <c r="Y789" s="139"/>
      <c r="Z789" s="9"/>
    </row>
    <row r="790" spans="1:26">
      <c r="A790"/>
      <c r="E790" s="242"/>
      <c r="F790" s="227"/>
      <c r="G790" s="288"/>
      <c r="H790" s="232"/>
      <c r="I790" s="9"/>
      <c r="K790" s="285"/>
      <c r="L790" s="285"/>
      <c r="M790" s="268"/>
      <c r="N790" s="176"/>
      <c r="O790" s="269"/>
      <c r="P790" s="236"/>
      <c r="Q790" s="216"/>
      <c r="R790" s="289"/>
      <c r="S790" s="218"/>
      <c r="T790" s="219"/>
      <c r="U790" s="30"/>
      <c r="V790" s="31"/>
      <c r="W790" s="30"/>
      <c r="X790" s="220"/>
      <c r="Y790" s="139"/>
      <c r="Z790" s="9"/>
    </row>
    <row r="791" spans="1:26">
      <c r="A791"/>
      <c r="E791" s="242"/>
      <c r="F791" s="288"/>
      <c r="G791" s="288"/>
      <c r="H791" s="232"/>
      <c r="I791" s="9"/>
      <c r="K791" s="217"/>
      <c r="L791" s="217"/>
      <c r="M791" s="268"/>
      <c r="N791" s="176"/>
      <c r="O791" s="269"/>
      <c r="P791" s="236"/>
      <c r="Q791" s="216"/>
      <c r="R791" s="289"/>
      <c r="S791" s="218"/>
      <c r="T791" s="219"/>
      <c r="U791" s="30"/>
      <c r="V791" s="31"/>
      <c r="W791" s="30"/>
      <c r="X791" s="220"/>
      <c r="Y791" s="139"/>
      <c r="Z791" s="9"/>
    </row>
    <row r="792" spans="1:26">
      <c r="A792"/>
      <c r="E792" s="32"/>
      <c r="F792" s="32"/>
      <c r="H792" s="9"/>
      <c r="I792" s="9"/>
      <c r="K792" s="284"/>
      <c r="L792" s="284"/>
      <c r="M792" s="268"/>
      <c r="N792" s="226"/>
      <c r="O792" s="269"/>
      <c r="P792" s="235"/>
      <c r="Q792" s="289"/>
      <c r="R792" s="289"/>
      <c r="S792" s="218"/>
      <c r="T792" s="219"/>
      <c r="U792" s="30"/>
      <c r="V792" s="31"/>
      <c r="W792" s="30"/>
      <c r="X792" s="220"/>
      <c r="Y792" s="139"/>
      <c r="Z792" s="9"/>
    </row>
    <row r="793" spans="1:26">
      <c r="A793"/>
      <c r="E793" s="242"/>
      <c r="F793" s="214"/>
      <c r="G793" s="288"/>
      <c r="H793" s="232"/>
      <c r="I793" s="9"/>
      <c r="K793" s="217"/>
      <c r="L793" s="217"/>
      <c r="M793" s="268"/>
      <c r="N793" s="176"/>
      <c r="O793" s="269"/>
      <c r="P793" s="236"/>
      <c r="Q793" s="216"/>
      <c r="R793" s="289"/>
      <c r="S793" s="218"/>
      <c r="T793" s="219"/>
      <c r="U793" s="30"/>
      <c r="V793" s="31"/>
      <c r="W793" s="30"/>
      <c r="X793" s="220"/>
      <c r="Y793" s="139"/>
      <c r="Z793" s="9"/>
    </row>
    <row r="794" spans="1:26">
      <c r="A794"/>
      <c r="E794" s="32"/>
      <c r="F794" s="32"/>
      <c r="H794" s="9"/>
      <c r="I794" s="9"/>
      <c r="K794" s="284"/>
      <c r="L794" s="284"/>
      <c r="M794" s="268"/>
      <c r="N794" s="226"/>
      <c r="O794" s="269"/>
      <c r="P794" s="235"/>
      <c r="Q794" s="289"/>
      <c r="R794" s="289"/>
      <c r="S794" s="218"/>
      <c r="T794" s="219"/>
      <c r="U794" s="30"/>
      <c r="V794" s="31"/>
      <c r="W794" s="30"/>
      <c r="X794" s="220"/>
      <c r="Y794" s="139"/>
      <c r="Z794" s="9"/>
    </row>
    <row r="795" spans="1:26">
      <c r="A795"/>
      <c r="E795" s="242"/>
      <c r="F795" s="288"/>
      <c r="G795" s="288"/>
      <c r="H795" s="233"/>
      <c r="I795" s="9"/>
      <c r="K795" s="285"/>
      <c r="L795" s="285"/>
      <c r="M795" s="268"/>
      <c r="N795" s="176"/>
      <c r="O795" s="269"/>
      <c r="P795" s="236"/>
      <c r="Q795" s="216"/>
      <c r="R795" s="289"/>
      <c r="S795" s="218"/>
      <c r="T795" s="219"/>
      <c r="U795" s="30"/>
      <c r="V795" s="31"/>
      <c r="W795" s="30"/>
      <c r="X795" s="220"/>
      <c r="Y795" s="139"/>
      <c r="Z795" s="9"/>
    </row>
    <row r="796" spans="1:26">
      <c r="A796"/>
      <c r="E796" s="32"/>
      <c r="F796" s="32"/>
      <c r="H796" s="9"/>
      <c r="I796" s="9"/>
      <c r="K796" s="284"/>
      <c r="L796" s="284"/>
      <c r="M796" s="268"/>
      <c r="N796" s="226"/>
      <c r="O796" s="269"/>
      <c r="P796" s="235"/>
      <c r="Q796" s="289"/>
      <c r="R796" s="289"/>
      <c r="S796" s="218"/>
      <c r="T796" s="219"/>
      <c r="U796" s="30"/>
      <c r="V796" s="31"/>
      <c r="W796" s="30"/>
      <c r="X796" s="220"/>
      <c r="Y796" s="139"/>
      <c r="Z796" s="9"/>
    </row>
    <row r="797" spans="1:26">
      <c r="A797"/>
      <c r="E797" s="32"/>
      <c r="F797" s="32"/>
      <c r="H797" s="9"/>
      <c r="I797" s="9"/>
      <c r="K797" s="284"/>
      <c r="L797" s="284"/>
      <c r="M797" s="268"/>
      <c r="N797" s="226"/>
      <c r="O797" s="269"/>
      <c r="P797" s="235"/>
      <c r="Q797" s="289"/>
      <c r="R797" s="289"/>
      <c r="S797" s="218"/>
      <c r="T797" s="219"/>
      <c r="U797" s="30"/>
      <c r="V797" s="31"/>
      <c r="W797" s="30"/>
      <c r="X797" s="220"/>
      <c r="Y797" s="139"/>
      <c r="Z797" s="9"/>
    </row>
    <row r="798" spans="1:26">
      <c r="A798"/>
      <c r="E798" s="32"/>
      <c r="F798" s="32"/>
      <c r="H798" s="9"/>
      <c r="I798" s="9"/>
      <c r="K798" s="284"/>
      <c r="L798" s="284"/>
      <c r="M798" s="268"/>
      <c r="N798" s="222"/>
      <c r="O798" s="269"/>
      <c r="P798" s="223"/>
      <c r="Q798" s="289"/>
      <c r="R798" s="289"/>
      <c r="S798" s="218"/>
      <c r="T798" s="219"/>
      <c r="U798" s="30"/>
      <c r="V798" s="31"/>
      <c r="W798" s="30"/>
      <c r="X798" s="220"/>
      <c r="Y798" s="139"/>
      <c r="Z798" s="9"/>
    </row>
    <row r="799" spans="1:26">
      <c r="A799"/>
      <c r="E799" s="242"/>
      <c r="F799"/>
      <c r="G799"/>
      <c r="H799" s="29"/>
      <c r="I799" s="9"/>
      <c r="K799" s="217"/>
      <c r="L799" s="217"/>
      <c r="M799" s="268"/>
      <c r="N799" s="176"/>
      <c r="O799" s="269"/>
      <c r="P799" s="236"/>
      <c r="Q799" s="216"/>
      <c r="R799" s="289"/>
      <c r="S799" s="218"/>
      <c r="T799" s="219"/>
      <c r="U799" s="30"/>
      <c r="V799" s="31"/>
      <c r="W799" s="30"/>
      <c r="X799" s="220"/>
      <c r="Y799" s="139"/>
      <c r="Z799" s="9"/>
    </row>
    <row r="800" spans="1:26">
      <c r="A800"/>
      <c r="E800" s="242"/>
      <c r="F800" s="214"/>
      <c r="G800" s="288"/>
      <c r="H800" s="232"/>
      <c r="I800" s="9"/>
      <c r="K800" s="217"/>
      <c r="L800" s="217"/>
      <c r="M800" s="268"/>
      <c r="N800" s="176"/>
      <c r="O800" s="269"/>
      <c r="P800" s="236"/>
      <c r="Q800" s="216"/>
      <c r="R800" s="289"/>
      <c r="S800" s="218"/>
      <c r="T800" s="219"/>
      <c r="U800" s="30"/>
      <c r="V800" s="31"/>
      <c r="W800" s="30"/>
      <c r="X800" s="220"/>
      <c r="Y800" s="139"/>
      <c r="Z800" s="9"/>
    </row>
    <row r="801" spans="1:26">
      <c r="A801"/>
      <c r="E801" s="32"/>
      <c r="F801" s="32"/>
      <c r="H801" s="9"/>
      <c r="I801" s="9"/>
      <c r="K801" s="284"/>
      <c r="L801" s="284"/>
      <c r="M801" s="268"/>
      <c r="N801" s="226"/>
      <c r="O801" s="269"/>
      <c r="P801" s="235"/>
      <c r="Q801" s="289"/>
      <c r="R801" s="289"/>
      <c r="S801" s="218"/>
      <c r="T801" s="219"/>
      <c r="U801" s="30"/>
      <c r="V801" s="31"/>
      <c r="W801" s="30"/>
      <c r="X801" s="220"/>
      <c r="Y801" s="139"/>
      <c r="Z801" s="9"/>
    </row>
    <row r="802" spans="1:26">
      <c r="A802"/>
      <c r="E802" s="32"/>
      <c r="F802" s="32"/>
      <c r="H802" s="9"/>
      <c r="I802" s="9"/>
      <c r="K802" s="284"/>
      <c r="L802" s="284"/>
      <c r="M802" s="268"/>
      <c r="N802" s="226"/>
      <c r="O802" s="269"/>
      <c r="P802" s="235"/>
      <c r="Q802" s="289"/>
      <c r="R802" s="289"/>
      <c r="S802" s="218"/>
      <c r="T802" s="219"/>
      <c r="U802" s="30"/>
      <c r="V802" s="31"/>
      <c r="W802" s="30"/>
      <c r="X802" s="220"/>
      <c r="Y802" s="139"/>
      <c r="Z802" s="9"/>
    </row>
    <row r="803" spans="1:26">
      <c r="A803"/>
      <c r="E803" s="32"/>
      <c r="H803" s="9"/>
      <c r="I803" s="9"/>
      <c r="K803" s="284"/>
      <c r="L803" s="284"/>
      <c r="M803" s="268"/>
      <c r="N803" s="226"/>
      <c r="O803" s="269"/>
      <c r="P803" s="235"/>
      <c r="Q803" s="289"/>
      <c r="R803" s="289"/>
      <c r="S803" s="218"/>
      <c r="T803" s="219"/>
      <c r="U803" s="30"/>
      <c r="V803" s="31"/>
      <c r="W803" s="30"/>
      <c r="X803" s="220"/>
      <c r="Y803" s="139"/>
      <c r="Z803" s="9"/>
    </row>
    <row r="804" spans="1:26">
      <c r="A804"/>
      <c r="E804" s="32"/>
      <c r="F804" s="32"/>
      <c r="H804" s="9"/>
      <c r="I804" s="9"/>
      <c r="K804" s="284"/>
      <c r="L804" s="284"/>
      <c r="M804" s="268"/>
      <c r="N804" s="226"/>
      <c r="O804" s="269"/>
      <c r="P804" s="235"/>
      <c r="Q804" s="289"/>
      <c r="R804" s="289"/>
      <c r="S804" s="218"/>
      <c r="T804" s="219"/>
      <c r="U804" s="30"/>
      <c r="V804" s="31"/>
      <c r="W804" s="30"/>
      <c r="X804" s="220"/>
      <c r="Y804" s="139"/>
      <c r="Z804" s="9"/>
    </row>
    <row r="805" spans="1:26">
      <c r="A805"/>
      <c r="E805" s="242"/>
      <c r="F805" s="227"/>
      <c r="G805" s="288"/>
      <c r="H805" s="232"/>
      <c r="I805" s="9"/>
      <c r="K805" s="285"/>
      <c r="L805" s="285"/>
      <c r="M805" s="268"/>
      <c r="N805" s="176"/>
      <c r="O805" s="269"/>
      <c r="P805" s="236"/>
      <c r="Q805" s="216"/>
      <c r="R805" s="289"/>
      <c r="S805" s="218"/>
      <c r="T805" s="219"/>
      <c r="U805" s="30"/>
      <c r="V805" s="31"/>
      <c r="W805" s="30"/>
      <c r="X805" s="220"/>
      <c r="Y805" s="139"/>
      <c r="Z805" s="9"/>
    </row>
    <row r="806" spans="1:26">
      <c r="A806"/>
      <c r="E806" s="32"/>
      <c r="F806" s="32"/>
      <c r="H806" s="9"/>
      <c r="I806" s="9"/>
      <c r="K806" s="284"/>
      <c r="L806" s="284"/>
      <c r="M806" s="268"/>
      <c r="N806" s="226"/>
      <c r="O806" s="269"/>
      <c r="P806" s="235"/>
      <c r="Q806" s="289"/>
      <c r="R806" s="289"/>
      <c r="S806" s="218"/>
      <c r="T806" s="219"/>
      <c r="U806" s="30"/>
      <c r="V806" s="31"/>
      <c r="W806" s="30"/>
      <c r="X806" s="220"/>
      <c r="Y806" s="139"/>
      <c r="Z806" s="9"/>
    </row>
    <row r="807" spans="1:26">
      <c r="A807"/>
      <c r="E807" s="32"/>
      <c r="H807" s="9"/>
      <c r="I807" s="9"/>
      <c r="K807" s="284"/>
      <c r="L807" s="284"/>
      <c r="M807" s="268"/>
      <c r="N807" s="226"/>
      <c r="O807" s="269"/>
      <c r="P807" s="235"/>
      <c r="Q807" s="289"/>
      <c r="R807" s="289"/>
      <c r="S807" s="218"/>
      <c r="T807" s="219"/>
      <c r="U807" s="30"/>
      <c r="V807" s="31"/>
      <c r="W807" s="30"/>
      <c r="X807" s="220"/>
      <c r="Y807" s="139"/>
      <c r="Z807" s="9"/>
    </row>
    <row r="808" spans="1:26">
      <c r="A808"/>
      <c r="E808" s="32"/>
      <c r="F808" s="32"/>
      <c r="H808" s="9"/>
      <c r="I808" s="9"/>
      <c r="K808" s="284"/>
      <c r="L808" s="284"/>
      <c r="M808" s="268"/>
      <c r="N808" s="226"/>
      <c r="O808" s="269"/>
      <c r="P808" s="235"/>
      <c r="Q808" s="289"/>
      <c r="R808" s="289"/>
      <c r="S808" s="218"/>
      <c r="T808" s="219"/>
      <c r="U808" s="30"/>
      <c r="V808" s="31"/>
      <c r="W808" s="30"/>
      <c r="X808" s="220"/>
      <c r="Y808" s="139"/>
      <c r="Z808" s="9"/>
    </row>
    <row r="809" spans="1:26">
      <c r="A809"/>
      <c r="E809" s="242"/>
      <c r="F809" s="214"/>
      <c r="G809" s="288"/>
      <c r="H809" s="232"/>
      <c r="I809" s="9"/>
      <c r="K809" s="217"/>
      <c r="L809" s="217"/>
      <c r="M809" s="268"/>
      <c r="N809" s="176"/>
      <c r="O809" s="269"/>
      <c r="P809" s="236"/>
      <c r="Q809" s="216"/>
      <c r="R809" s="289"/>
      <c r="S809" s="218"/>
      <c r="T809" s="219"/>
      <c r="U809" s="30"/>
      <c r="V809" s="31"/>
      <c r="W809" s="30"/>
      <c r="X809" s="220"/>
      <c r="Y809" s="139"/>
      <c r="Z809" s="9"/>
    </row>
    <row r="810" spans="1:26">
      <c r="A810"/>
      <c r="E810" s="32"/>
      <c r="F810" s="32"/>
      <c r="H810" s="9"/>
      <c r="I810" s="9"/>
      <c r="K810" s="284"/>
      <c r="L810" s="284"/>
      <c r="M810" s="268"/>
      <c r="N810" s="226"/>
      <c r="O810" s="269"/>
      <c r="P810" s="235"/>
      <c r="Q810" s="289"/>
      <c r="R810" s="289"/>
      <c r="S810" s="218"/>
      <c r="T810" s="219"/>
      <c r="U810" s="30"/>
      <c r="V810" s="31"/>
      <c r="W810" s="30"/>
      <c r="X810" s="220"/>
      <c r="Y810" s="139"/>
      <c r="Z810" s="9"/>
    </row>
    <row r="811" spans="1:26">
      <c r="A811"/>
      <c r="E811" s="242"/>
      <c r="F811" s="227"/>
      <c r="G811" s="288"/>
      <c r="H811" s="232"/>
      <c r="I811" s="9"/>
      <c r="K811" s="285"/>
      <c r="L811" s="285"/>
      <c r="M811" s="268"/>
      <c r="N811" s="176"/>
      <c r="O811" s="269"/>
      <c r="P811" s="236"/>
      <c r="Q811" s="216"/>
      <c r="R811" s="289"/>
      <c r="S811" s="218"/>
      <c r="T811" s="219"/>
      <c r="U811" s="30"/>
      <c r="V811" s="31"/>
      <c r="W811" s="30"/>
      <c r="X811" s="220"/>
      <c r="Y811" s="139"/>
      <c r="Z811" s="9"/>
    </row>
    <row r="812" spans="1:26">
      <c r="A812"/>
      <c r="E812" s="32"/>
      <c r="F812" s="32"/>
      <c r="H812" s="9"/>
      <c r="I812" s="9"/>
      <c r="K812" s="284"/>
      <c r="L812" s="284"/>
      <c r="M812" s="268"/>
      <c r="N812" s="226"/>
      <c r="O812" s="269"/>
      <c r="P812" s="235"/>
      <c r="Q812" s="289"/>
      <c r="R812" s="289"/>
      <c r="S812" s="218"/>
      <c r="T812" s="219"/>
      <c r="U812" s="30"/>
      <c r="V812" s="31"/>
      <c r="W812" s="30"/>
      <c r="X812" s="220"/>
      <c r="Y812" s="139"/>
      <c r="Z812" s="9"/>
    </row>
    <row r="813" spans="1:26">
      <c r="A813"/>
      <c r="E813" s="242"/>
      <c r="F813" s="288"/>
      <c r="G813" s="288"/>
      <c r="H813" s="232"/>
      <c r="I813" s="9"/>
      <c r="K813" s="217"/>
      <c r="L813" s="217"/>
      <c r="M813" s="268"/>
      <c r="N813" s="176"/>
      <c r="O813" s="269"/>
      <c r="P813" s="236"/>
      <c r="Q813" s="216"/>
      <c r="R813" s="289"/>
      <c r="S813" s="218"/>
      <c r="T813" s="219"/>
      <c r="U813" s="30"/>
      <c r="V813" s="31"/>
      <c r="W813" s="30"/>
      <c r="X813" s="220"/>
      <c r="Y813" s="139"/>
      <c r="Z813" s="9"/>
    </row>
    <row r="814" spans="1:26">
      <c r="A814"/>
      <c r="E814" s="242"/>
      <c r="F814" s="227"/>
      <c r="G814" s="288"/>
      <c r="H814" s="232"/>
      <c r="I814" s="9"/>
      <c r="K814" s="217"/>
      <c r="L814" s="217"/>
      <c r="M814" s="268"/>
      <c r="N814" s="176"/>
      <c r="O814" s="269"/>
      <c r="P814" s="236"/>
      <c r="Q814" s="216"/>
      <c r="R814" s="289"/>
      <c r="S814" s="218"/>
      <c r="T814" s="219"/>
      <c r="U814" s="30"/>
      <c r="V814" s="31"/>
      <c r="W814" s="30"/>
      <c r="X814" s="220"/>
      <c r="Y814" s="139"/>
      <c r="Z814" s="9"/>
    </row>
    <row r="815" spans="1:26">
      <c r="A815"/>
      <c r="E815" s="242"/>
      <c r="F815" s="227"/>
      <c r="G815" s="288"/>
      <c r="H815" s="233"/>
      <c r="I815" s="9"/>
      <c r="K815" s="285"/>
      <c r="L815" s="285"/>
      <c r="M815" s="268"/>
      <c r="N815" s="176"/>
      <c r="O815" s="269"/>
      <c r="P815" s="236"/>
      <c r="Q815" s="216"/>
      <c r="R815" s="289"/>
      <c r="S815" s="218"/>
      <c r="T815" s="219"/>
      <c r="U815" s="30"/>
      <c r="V815" s="31"/>
      <c r="W815" s="30"/>
      <c r="X815" s="220"/>
      <c r="Y815" s="139"/>
      <c r="Z815" s="9"/>
    </row>
    <row r="816" spans="1:26">
      <c r="A816"/>
      <c r="E816" s="32"/>
      <c r="F816" s="32"/>
      <c r="H816" s="9"/>
      <c r="I816" s="9"/>
      <c r="K816" s="284"/>
      <c r="L816" s="284"/>
      <c r="M816" s="268"/>
      <c r="N816" s="226"/>
      <c r="O816" s="269"/>
      <c r="P816" s="235"/>
      <c r="Q816" s="289"/>
      <c r="R816" s="289"/>
      <c r="S816" s="218"/>
      <c r="T816" s="219"/>
      <c r="U816" s="30"/>
      <c r="V816" s="31"/>
      <c r="W816" s="30"/>
      <c r="X816" s="220"/>
      <c r="Y816" s="139"/>
      <c r="Z816" s="9"/>
    </row>
    <row r="817" spans="1:26">
      <c r="A817"/>
      <c r="E817" s="32"/>
      <c r="F817" s="32"/>
      <c r="H817" s="9"/>
      <c r="I817" s="9"/>
      <c r="K817" s="284"/>
      <c r="L817" s="284"/>
      <c r="M817" s="268"/>
      <c r="N817" s="226"/>
      <c r="O817" s="269"/>
      <c r="P817" s="235"/>
      <c r="Q817" s="289"/>
      <c r="R817" s="289"/>
      <c r="S817" s="218"/>
      <c r="T817" s="219"/>
      <c r="U817" s="30"/>
      <c r="V817" s="31"/>
      <c r="W817" s="30"/>
      <c r="X817" s="220"/>
      <c r="Y817" s="139"/>
      <c r="Z817" s="9"/>
    </row>
    <row r="818" spans="1:26">
      <c r="A818"/>
      <c r="E818" s="242"/>
      <c r="F818"/>
      <c r="G818"/>
      <c r="H818" s="29"/>
      <c r="I818" s="9"/>
      <c r="K818" s="217"/>
      <c r="L818" s="217"/>
      <c r="M818" s="268"/>
      <c r="N818" s="176"/>
      <c r="O818" s="269"/>
      <c r="P818" s="236"/>
      <c r="Q818" s="216"/>
      <c r="R818" s="289"/>
      <c r="S818" s="218"/>
      <c r="T818" s="219"/>
      <c r="U818" s="30"/>
      <c r="V818" s="31"/>
      <c r="W818" s="30"/>
      <c r="X818" s="220"/>
      <c r="Y818" s="139"/>
      <c r="Z818" s="9"/>
    </row>
    <row r="819" spans="1:26">
      <c r="A819"/>
      <c r="E819" s="32"/>
      <c r="F819" s="32"/>
      <c r="H819" s="9"/>
      <c r="I819" s="9"/>
      <c r="K819" s="284"/>
      <c r="L819" s="284"/>
      <c r="M819" s="268"/>
      <c r="N819" s="226"/>
      <c r="O819" s="269"/>
      <c r="P819" s="235"/>
      <c r="Q819" s="289"/>
      <c r="R819" s="289"/>
      <c r="S819" s="218"/>
      <c r="T819" s="219"/>
      <c r="U819" s="30"/>
      <c r="V819" s="31"/>
      <c r="W819" s="30"/>
      <c r="X819" s="220"/>
      <c r="Y819" s="139"/>
      <c r="Z819" s="9"/>
    </row>
    <row r="820" spans="1:26">
      <c r="A820"/>
      <c r="E820" s="242"/>
      <c r="F820" s="214"/>
      <c r="G820" s="288"/>
      <c r="H820" s="232"/>
      <c r="I820" s="9"/>
      <c r="K820" s="217"/>
      <c r="L820" s="217"/>
      <c r="M820" s="268"/>
      <c r="N820" s="176"/>
      <c r="O820" s="269"/>
      <c r="P820" s="236"/>
      <c r="Q820" s="216"/>
      <c r="R820" s="289"/>
      <c r="S820" s="218"/>
      <c r="T820" s="219"/>
      <c r="U820" s="30"/>
      <c r="V820" s="31"/>
      <c r="W820" s="30"/>
      <c r="X820" s="220"/>
      <c r="Y820" s="139"/>
      <c r="Z820" s="9"/>
    </row>
    <row r="821" spans="1:26">
      <c r="A821"/>
      <c r="E821" s="32"/>
      <c r="F821" s="32"/>
      <c r="H821" s="9"/>
      <c r="I821" s="9"/>
      <c r="K821" s="284"/>
      <c r="L821" s="284"/>
      <c r="M821" s="268"/>
      <c r="N821" s="226"/>
      <c r="O821" s="269"/>
      <c r="P821" s="235"/>
      <c r="Q821" s="289"/>
      <c r="R821" s="289"/>
      <c r="S821" s="218"/>
      <c r="T821" s="219"/>
      <c r="U821" s="30"/>
      <c r="V821" s="31"/>
      <c r="W821" s="30"/>
      <c r="X821" s="220"/>
      <c r="Y821" s="139"/>
      <c r="Z821" s="9"/>
    </row>
    <row r="822" spans="1:26">
      <c r="A822"/>
      <c r="E822" s="32"/>
      <c r="F822" s="32"/>
      <c r="H822" s="9"/>
      <c r="I822" s="9"/>
      <c r="K822" s="284"/>
      <c r="L822" s="284"/>
      <c r="M822" s="268"/>
      <c r="N822" s="226"/>
      <c r="O822" s="269"/>
      <c r="P822" s="235"/>
      <c r="Q822" s="289"/>
      <c r="R822" s="289"/>
      <c r="S822" s="218"/>
      <c r="T822" s="219"/>
      <c r="U822" s="30"/>
      <c r="V822" s="31"/>
      <c r="W822" s="30"/>
      <c r="X822" s="220"/>
      <c r="Y822" s="139"/>
      <c r="Z822" s="9"/>
    </row>
    <row r="823" spans="1:26">
      <c r="A823"/>
      <c r="E823" s="32"/>
      <c r="F823" s="32"/>
      <c r="H823" s="9"/>
      <c r="I823" s="9"/>
      <c r="K823" s="284"/>
      <c r="L823" s="284"/>
      <c r="M823" s="268"/>
      <c r="N823" s="226"/>
      <c r="O823" s="269"/>
      <c r="P823" s="235"/>
      <c r="Q823" s="289"/>
      <c r="R823" s="289"/>
      <c r="S823" s="218"/>
      <c r="T823" s="219"/>
      <c r="U823" s="30"/>
      <c r="V823" s="31"/>
      <c r="W823" s="30"/>
      <c r="X823" s="220"/>
      <c r="Y823" s="139"/>
      <c r="Z823" s="9"/>
    </row>
    <row r="824" spans="1:26">
      <c r="A824"/>
      <c r="E824" s="242"/>
      <c r="F824" s="214"/>
      <c r="G824" s="288"/>
      <c r="H824" s="232"/>
      <c r="I824" s="9"/>
      <c r="K824" s="217"/>
      <c r="L824" s="217"/>
      <c r="M824" s="268"/>
      <c r="N824" s="176"/>
      <c r="O824" s="269"/>
      <c r="P824" s="236"/>
      <c r="Q824" s="216"/>
      <c r="R824" s="289"/>
      <c r="S824" s="218"/>
      <c r="T824" s="219"/>
      <c r="U824" s="30"/>
      <c r="V824" s="31"/>
      <c r="W824" s="30"/>
      <c r="X824" s="220"/>
      <c r="Y824" s="139"/>
      <c r="Z824" s="9"/>
    </row>
    <row r="825" spans="1:26">
      <c r="A825"/>
      <c r="E825" s="242"/>
      <c r="F825" s="214"/>
      <c r="G825" s="288"/>
      <c r="H825" s="232"/>
      <c r="I825" s="9"/>
      <c r="K825" s="217"/>
      <c r="L825" s="217"/>
      <c r="M825" s="268"/>
      <c r="N825" s="176"/>
      <c r="O825" s="269"/>
      <c r="P825" s="236"/>
      <c r="Q825" s="216"/>
      <c r="R825" s="289"/>
      <c r="S825" s="218"/>
      <c r="T825" s="219"/>
      <c r="U825" s="30"/>
      <c r="V825" s="31"/>
      <c r="W825" s="30"/>
      <c r="X825" s="220"/>
      <c r="Y825" s="139"/>
      <c r="Z825" s="9"/>
    </row>
    <row r="826" spans="1:26">
      <c r="A826"/>
      <c r="E826" s="32"/>
      <c r="F826" s="32"/>
      <c r="H826" s="9"/>
      <c r="I826" s="9"/>
      <c r="K826" s="284"/>
      <c r="L826" s="284"/>
      <c r="M826" s="268"/>
      <c r="N826" s="226"/>
      <c r="O826" s="269"/>
      <c r="P826" s="235"/>
      <c r="Q826" s="289"/>
      <c r="R826" s="289"/>
      <c r="S826" s="218"/>
      <c r="T826" s="219"/>
      <c r="U826" s="30"/>
      <c r="V826" s="31"/>
      <c r="W826" s="30"/>
      <c r="X826" s="220"/>
      <c r="Y826" s="139"/>
      <c r="Z826" s="9"/>
    </row>
    <row r="827" spans="1:26">
      <c r="A827"/>
      <c r="E827" s="242"/>
      <c r="F827" s="214"/>
      <c r="G827" s="288"/>
      <c r="H827" s="232"/>
      <c r="I827" s="9"/>
      <c r="K827" s="217"/>
      <c r="L827" s="217"/>
      <c r="M827" s="268"/>
      <c r="N827" s="176"/>
      <c r="O827" s="269"/>
      <c r="P827" s="236"/>
      <c r="Q827" s="216"/>
      <c r="R827" s="289"/>
      <c r="S827" s="218"/>
      <c r="T827" s="219"/>
      <c r="U827" s="30"/>
      <c r="V827" s="31"/>
      <c r="W827" s="30"/>
      <c r="X827" s="220"/>
      <c r="Y827" s="139"/>
      <c r="Z827" s="9"/>
    </row>
    <row r="828" spans="1:26">
      <c r="A828"/>
      <c r="E828" s="242"/>
      <c r="F828" s="29"/>
      <c r="G828"/>
      <c r="H828" s="29"/>
      <c r="I828" s="9"/>
      <c r="K828" s="217"/>
      <c r="L828" s="217"/>
      <c r="M828" s="268"/>
      <c r="N828" s="176"/>
      <c r="O828" s="269"/>
      <c r="P828" s="236"/>
      <c r="Q828" s="216"/>
      <c r="R828" s="289"/>
      <c r="S828" s="218"/>
      <c r="T828" s="219"/>
      <c r="U828" s="30"/>
      <c r="V828" s="31"/>
      <c r="W828" s="30"/>
      <c r="X828" s="220"/>
      <c r="Y828" s="139"/>
      <c r="Z828" s="9"/>
    </row>
    <row r="829" spans="1:26">
      <c r="A829"/>
      <c r="E829" s="32"/>
      <c r="F829" s="32"/>
      <c r="H829" s="9"/>
      <c r="I829" s="9"/>
      <c r="K829" s="284"/>
      <c r="L829" s="284"/>
      <c r="M829" s="268"/>
      <c r="N829" s="226"/>
      <c r="O829" s="269"/>
      <c r="P829" s="235"/>
      <c r="Q829" s="289"/>
      <c r="R829" s="289"/>
      <c r="S829" s="218"/>
      <c r="T829" s="219"/>
      <c r="U829" s="30"/>
      <c r="V829" s="31"/>
      <c r="W829" s="30"/>
      <c r="X829" s="220"/>
      <c r="Y829" s="139"/>
      <c r="Z829" s="9"/>
    </row>
    <row r="830" spans="1:26">
      <c r="A830"/>
      <c r="E830" s="32"/>
      <c r="F830" s="32"/>
      <c r="H830" s="9"/>
      <c r="I830" s="9"/>
      <c r="K830" s="284"/>
      <c r="L830" s="284"/>
      <c r="M830" s="268"/>
      <c r="N830" s="176"/>
      <c r="O830" s="269"/>
      <c r="P830" s="247"/>
      <c r="Q830" s="290"/>
      <c r="R830" s="290"/>
      <c r="S830" s="218"/>
      <c r="T830" s="219"/>
      <c r="U830" s="30"/>
      <c r="V830" s="31"/>
      <c r="W830" s="30"/>
      <c r="X830" s="220"/>
      <c r="Y830" s="139"/>
      <c r="Z830" s="9"/>
    </row>
    <row r="831" spans="1:26">
      <c r="A831"/>
      <c r="E831" s="242"/>
      <c r="F831" s="214"/>
      <c r="G831" s="288"/>
      <c r="H831" s="232"/>
      <c r="I831" s="9"/>
      <c r="K831" s="217"/>
      <c r="L831" s="217"/>
      <c r="M831" s="268"/>
      <c r="N831" s="176"/>
      <c r="O831" s="269"/>
      <c r="P831" s="236"/>
      <c r="Q831" s="291"/>
      <c r="R831" s="290"/>
      <c r="S831" s="218"/>
      <c r="T831" s="219"/>
      <c r="U831" s="30"/>
      <c r="V831" s="31"/>
      <c r="W831" s="30"/>
      <c r="X831" s="220"/>
      <c r="Y831" s="139"/>
      <c r="Z831" s="9"/>
    </row>
    <row r="832" spans="1:26">
      <c r="A832"/>
      <c r="E832" s="242"/>
      <c r="F832" s="227"/>
      <c r="G832" s="288"/>
      <c r="H832" s="233"/>
      <c r="I832" s="9"/>
      <c r="K832" s="285"/>
      <c r="L832" s="285"/>
      <c r="M832" s="268"/>
      <c r="N832" s="176"/>
      <c r="O832" s="269"/>
      <c r="P832" s="236"/>
      <c r="Q832" s="291"/>
      <c r="R832" s="290"/>
      <c r="S832" s="218"/>
      <c r="T832" s="219"/>
      <c r="U832" s="30"/>
      <c r="V832" s="31"/>
      <c r="W832" s="30"/>
      <c r="X832" s="220"/>
      <c r="Y832" s="139"/>
      <c r="Z832" s="9"/>
    </row>
    <row r="833" spans="1:26">
      <c r="A833"/>
      <c r="E833" s="32"/>
      <c r="F833" s="32"/>
      <c r="H833" s="9"/>
      <c r="I833" s="9"/>
      <c r="K833" s="284"/>
      <c r="L833" s="284"/>
      <c r="M833" s="268"/>
      <c r="N833" s="176"/>
      <c r="O833" s="269"/>
      <c r="P833" s="247"/>
      <c r="Q833" s="290"/>
      <c r="R833" s="290"/>
      <c r="S833" s="218"/>
      <c r="T833" s="219"/>
      <c r="U833" s="30"/>
      <c r="V833" s="31"/>
      <c r="W833" s="30"/>
      <c r="X833" s="220"/>
      <c r="Y833" s="139"/>
      <c r="Z833" s="9"/>
    </row>
    <row r="834" spans="1:26">
      <c r="A834"/>
      <c r="E834" s="32"/>
      <c r="F834" s="32"/>
      <c r="H834" s="9"/>
      <c r="I834" s="9"/>
      <c r="K834" s="284"/>
      <c r="L834" s="284"/>
      <c r="M834" s="268"/>
      <c r="N834" s="176"/>
      <c r="O834" s="269"/>
      <c r="P834" s="247"/>
      <c r="Q834" s="290"/>
      <c r="R834" s="290"/>
      <c r="S834" s="218"/>
      <c r="T834" s="219"/>
      <c r="U834" s="30"/>
      <c r="V834" s="31"/>
      <c r="W834" s="30"/>
      <c r="X834" s="220"/>
      <c r="Y834" s="139"/>
      <c r="Z834" s="9"/>
    </row>
    <row r="835" spans="1:26">
      <c r="A835"/>
      <c r="E835" s="32"/>
      <c r="F835" s="32"/>
      <c r="H835" s="9"/>
      <c r="I835" s="9"/>
      <c r="K835" s="284"/>
      <c r="L835" s="284"/>
      <c r="M835" s="268"/>
      <c r="N835" s="176"/>
      <c r="O835" s="269"/>
      <c r="P835" s="247"/>
      <c r="Q835" s="290"/>
      <c r="R835" s="290"/>
      <c r="S835" s="218"/>
      <c r="T835" s="219"/>
      <c r="U835" s="30"/>
      <c r="V835" s="31"/>
      <c r="W835" s="30"/>
      <c r="X835" s="220"/>
      <c r="Y835" s="139"/>
      <c r="Z835" s="9"/>
    </row>
    <row r="836" spans="1:26">
      <c r="A836"/>
      <c r="E836" s="32"/>
      <c r="F836" s="32"/>
      <c r="H836" s="9"/>
      <c r="I836" s="9"/>
      <c r="K836" s="284"/>
      <c r="L836" s="284"/>
      <c r="M836" s="268"/>
      <c r="N836" s="176"/>
      <c r="O836" s="269"/>
      <c r="P836" s="247"/>
      <c r="Q836" s="290"/>
      <c r="R836" s="290"/>
      <c r="S836" s="218"/>
      <c r="T836" s="219"/>
      <c r="U836" s="30"/>
      <c r="V836" s="31"/>
      <c r="W836" s="30"/>
      <c r="X836" s="220"/>
      <c r="Y836" s="139"/>
      <c r="Z836" s="9"/>
    </row>
    <row r="837" spans="1:26">
      <c r="A837"/>
      <c r="E837" s="32"/>
      <c r="F837" s="32"/>
      <c r="H837" s="9"/>
      <c r="I837" s="9"/>
      <c r="K837" s="284"/>
      <c r="L837" s="284"/>
      <c r="M837" s="268"/>
      <c r="N837" s="176"/>
      <c r="O837" s="269"/>
      <c r="P837" s="247"/>
      <c r="Q837" s="290"/>
      <c r="R837" s="290"/>
      <c r="S837" s="218"/>
      <c r="T837" s="219"/>
      <c r="U837" s="30"/>
      <c r="V837" s="31"/>
      <c r="W837" s="30"/>
      <c r="X837" s="220"/>
      <c r="Y837" s="139"/>
      <c r="Z837" s="9"/>
    </row>
    <row r="838" spans="1:26">
      <c r="A838"/>
      <c r="E838" s="32"/>
      <c r="F838" s="32"/>
      <c r="H838" s="9"/>
      <c r="I838" s="9"/>
      <c r="K838" s="284"/>
      <c r="L838" s="284"/>
      <c r="M838" s="268"/>
      <c r="N838" s="176"/>
      <c r="O838" s="269"/>
      <c r="P838" s="247"/>
      <c r="Q838" s="290"/>
      <c r="R838" s="290"/>
      <c r="S838" s="218"/>
      <c r="T838" s="219"/>
      <c r="U838" s="30"/>
      <c r="V838" s="31"/>
      <c r="W838" s="30"/>
      <c r="X838" s="220"/>
      <c r="Y838" s="139"/>
      <c r="Z838" s="9"/>
    </row>
    <row r="839" spans="1:26">
      <c r="A839"/>
      <c r="E839" s="32"/>
      <c r="F839" s="32"/>
      <c r="H839" s="9"/>
      <c r="I839" s="9"/>
      <c r="K839" s="284"/>
      <c r="L839" s="284"/>
      <c r="M839" s="268"/>
      <c r="N839" s="176"/>
      <c r="O839" s="269"/>
      <c r="P839" s="247"/>
      <c r="Q839" s="290"/>
      <c r="R839" s="290"/>
      <c r="S839" s="218"/>
      <c r="T839" s="219"/>
      <c r="U839" s="30"/>
      <c r="V839" s="31"/>
      <c r="W839" s="30"/>
      <c r="X839" s="220"/>
      <c r="Y839" s="139"/>
      <c r="Z839" s="9"/>
    </row>
    <row r="840" spans="1:26">
      <c r="A840"/>
      <c r="E840" s="32"/>
      <c r="F840" s="32"/>
      <c r="H840" s="9"/>
      <c r="I840" s="9"/>
      <c r="K840" s="284"/>
      <c r="L840" s="284"/>
      <c r="M840" s="268"/>
      <c r="N840" s="176"/>
      <c r="O840" s="269"/>
      <c r="P840" s="247"/>
      <c r="Q840" s="290"/>
      <c r="R840" s="290"/>
      <c r="S840" s="218"/>
      <c r="T840" s="219"/>
      <c r="U840" s="30"/>
      <c r="V840" s="31"/>
      <c r="W840" s="30"/>
      <c r="X840" s="220"/>
      <c r="Y840" s="139"/>
      <c r="Z840" s="9"/>
    </row>
    <row r="841" spans="1:26">
      <c r="A841"/>
      <c r="E841" s="32"/>
      <c r="F841" s="32"/>
      <c r="H841" s="9"/>
      <c r="I841" s="9"/>
      <c r="K841" s="284"/>
      <c r="L841" s="284"/>
      <c r="M841" s="268"/>
      <c r="N841" s="176"/>
      <c r="O841" s="269"/>
      <c r="P841" s="247"/>
      <c r="Q841" s="290"/>
      <c r="R841" s="290"/>
      <c r="S841" s="218"/>
      <c r="T841" s="219"/>
      <c r="U841" s="30"/>
      <c r="V841" s="31"/>
      <c r="W841" s="30"/>
      <c r="X841" s="220"/>
      <c r="Y841" s="139"/>
      <c r="Z841" s="9"/>
    </row>
    <row r="842" spans="1:26">
      <c r="A842"/>
      <c r="E842" s="32"/>
      <c r="F842" s="32"/>
      <c r="H842" s="9"/>
      <c r="I842" s="9"/>
      <c r="K842" s="284"/>
      <c r="L842" s="284"/>
      <c r="M842" s="268"/>
      <c r="N842" s="176"/>
      <c r="O842" s="269"/>
      <c r="P842" s="247"/>
      <c r="Q842" s="290"/>
      <c r="R842" s="290"/>
      <c r="S842" s="218"/>
      <c r="T842" s="219"/>
      <c r="U842" s="30"/>
      <c r="V842" s="31"/>
      <c r="W842" s="30"/>
      <c r="X842" s="220"/>
      <c r="Y842" s="139"/>
      <c r="Z842" s="9"/>
    </row>
    <row r="843" spans="1:26">
      <c r="A843"/>
      <c r="E843" s="242"/>
      <c r="F843" s="29"/>
      <c r="G843"/>
      <c r="H843" s="29"/>
      <c r="I843" s="9"/>
      <c r="K843" s="217"/>
      <c r="L843" s="217"/>
      <c r="M843" s="268"/>
      <c r="N843" s="176"/>
      <c r="O843" s="269"/>
      <c r="P843" s="236"/>
      <c r="Q843" s="291"/>
      <c r="R843" s="290"/>
      <c r="S843" s="218"/>
      <c r="T843" s="219"/>
      <c r="U843" s="30"/>
      <c r="V843" s="31"/>
      <c r="W843" s="30"/>
      <c r="X843" s="220"/>
      <c r="Y843" s="139"/>
      <c r="Z843" s="9"/>
    </row>
    <row r="844" spans="1:26">
      <c r="A844"/>
      <c r="E844" s="32"/>
      <c r="F844" s="32"/>
      <c r="H844" s="9"/>
      <c r="I844" s="9"/>
      <c r="K844" s="284"/>
      <c r="L844" s="284"/>
      <c r="M844" s="268"/>
      <c r="N844" s="176"/>
      <c r="O844" s="269"/>
      <c r="P844" s="247"/>
      <c r="Q844" s="290"/>
      <c r="R844" s="290"/>
      <c r="S844" s="218"/>
      <c r="T844" s="219"/>
      <c r="U844" s="30"/>
      <c r="V844" s="31"/>
      <c r="W844" s="30"/>
      <c r="X844" s="220"/>
      <c r="Y844" s="139"/>
      <c r="Z844" s="9"/>
    </row>
    <row r="845" spans="1:26">
      <c r="A845"/>
      <c r="E845" s="255"/>
      <c r="F845" s="255"/>
      <c r="G845" s="238"/>
      <c r="H845" s="214"/>
      <c r="I845" s="248"/>
      <c r="J845" s="9"/>
      <c r="K845" s="217"/>
      <c r="L845" s="217"/>
      <c r="M845" s="256"/>
      <c r="N845" s="257"/>
      <c r="O845" s="257"/>
      <c r="P845" s="258"/>
      <c r="Q845" s="259"/>
      <c r="R845" s="260"/>
      <c r="S845" s="218"/>
      <c r="T845" s="219"/>
      <c r="U845" s="30"/>
      <c r="V845" s="31"/>
      <c r="W845" s="30"/>
      <c r="X845" s="220" t="str">
        <f>IFERROR(VLOOKUP(H845,NAICS!$A$4:$B$1072,2,FALSE),"Unknown")</f>
        <v>Unknown</v>
      </c>
      <c r="Y845" s="139">
        <f t="shared" ref="Y845:Y908" si="24">IF(U845&gt;=180,IF(V845&lt;=12,5%,IF(AND(V845&gt;12,V845&lt;24),3%,IF(AND(V845&gt;24,V845&lt;36),1%,0%))),0%)</f>
        <v>0</v>
      </c>
      <c r="Z845" s="9">
        <f t="shared" ref="Z845:Z908" si="25">IF(AND(U845&gt;=$AE$2,U845&lt;=$AF$2),1,IF(AND(U845&gt;$AE$3,U845&lt;=$AF$3),2,IF(AND(U845&gt;$AE$4,U845&lt;=$AF$4),3,IF(AND(U845&gt;$AE$5,U845&lt;=$AF$5),4,IF(AND(U845&gt;$AE$6,U845&lt;=$AF$6),5,"")))))</f>
        <v>1</v>
      </c>
    </row>
    <row r="846" spans="1:26">
      <c r="A846"/>
      <c r="E846" s="255"/>
      <c r="F846" s="255"/>
      <c r="G846" s="238"/>
      <c r="H846" s="214"/>
      <c r="I846" s="248"/>
      <c r="J846" s="9"/>
      <c r="K846" s="217"/>
      <c r="L846" s="217"/>
      <c r="M846" s="256"/>
      <c r="N846" s="257"/>
      <c r="O846" s="257"/>
      <c r="P846" s="258"/>
      <c r="Q846" s="259"/>
      <c r="R846" s="260"/>
      <c r="S846" s="218"/>
      <c r="T846" s="219"/>
      <c r="U846" s="30"/>
      <c r="V846" s="31"/>
      <c r="W846" s="30"/>
      <c r="X846" s="220" t="str">
        <f>IFERROR(VLOOKUP(H846,NAICS!$A$4:$B$1072,2,FALSE),"Unknown")</f>
        <v>Unknown</v>
      </c>
      <c r="Y846" s="139">
        <f t="shared" si="24"/>
        <v>0</v>
      </c>
      <c r="Z846" s="9">
        <f t="shared" si="25"/>
        <v>1</v>
      </c>
    </row>
    <row r="847" spans="1:26">
      <c r="A847"/>
      <c r="E847" s="255"/>
      <c r="F847" s="255"/>
      <c r="G847" s="238"/>
      <c r="H847" s="214"/>
      <c r="I847" s="248"/>
      <c r="J847" s="9"/>
      <c r="K847" s="217"/>
      <c r="L847" s="217"/>
      <c r="M847" s="256"/>
      <c r="N847" s="257"/>
      <c r="O847" s="257"/>
      <c r="P847" s="258"/>
      <c r="Q847" s="259"/>
      <c r="R847" s="260"/>
      <c r="S847" s="218"/>
      <c r="T847" s="219"/>
      <c r="U847" s="30"/>
      <c r="V847" s="31"/>
      <c r="W847" s="30"/>
      <c r="X847" s="220" t="str">
        <f>IFERROR(VLOOKUP(H847,NAICS!$A$4:$B$1072,2,FALSE),"Unknown")</f>
        <v>Unknown</v>
      </c>
      <c r="Y847" s="139">
        <f t="shared" si="24"/>
        <v>0</v>
      </c>
      <c r="Z847" s="9">
        <f t="shared" si="25"/>
        <v>1</v>
      </c>
    </row>
    <row r="848" spans="1:26">
      <c r="A848"/>
      <c r="E848" s="255"/>
      <c r="F848" s="255"/>
      <c r="G848" s="238"/>
      <c r="H848" s="214"/>
      <c r="I848" s="248"/>
      <c r="J848" s="9"/>
      <c r="K848" s="217"/>
      <c r="L848" s="217"/>
      <c r="M848" s="256"/>
      <c r="N848" s="257"/>
      <c r="O848" s="257"/>
      <c r="P848" s="258"/>
      <c r="Q848" s="259"/>
      <c r="R848" s="260"/>
      <c r="S848" s="218"/>
      <c r="T848" s="219"/>
      <c r="U848" s="30"/>
      <c r="V848" s="31"/>
      <c r="W848" s="30"/>
      <c r="X848" s="220" t="str">
        <f>IFERROR(VLOOKUP(H848,NAICS!$A$4:$B$1072,2,FALSE),"Unknown")</f>
        <v>Unknown</v>
      </c>
      <c r="Y848" s="139">
        <f t="shared" si="24"/>
        <v>0</v>
      </c>
      <c r="Z848" s="9">
        <f t="shared" si="25"/>
        <v>1</v>
      </c>
    </row>
    <row r="849" spans="1:26">
      <c r="A849"/>
      <c r="E849" s="255"/>
      <c r="F849" s="255"/>
      <c r="G849" s="238"/>
      <c r="H849" s="214"/>
      <c r="I849" s="248"/>
      <c r="J849" s="9"/>
      <c r="K849" s="217"/>
      <c r="L849" s="217"/>
      <c r="M849" s="256"/>
      <c r="N849" s="257"/>
      <c r="O849" s="257"/>
      <c r="P849" s="258"/>
      <c r="Q849" s="259"/>
      <c r="R849" s="260"/>
      <c r="S849" s="218"/>
      <c r="T849" s="219"/>
      <c r="U849" s="30"/>
      <c r="V849" s="31"/>
      <c r="W849" s="30"/>
      <c r="X849" s="220" t="str">
        <f>IFERROR(VLOOKUP(H849,NAICS!$A$4:$B$1072,2,FALSE),"Unknown")</f>
        <v>Unknown</v>
      </c>
      <c r="Y849" s="139">
        <f t="shared" si="24"/>
        <v>0</v>
      </c>
      <c r="Z849" s="9">
        <f t="shared" si="25"/>
        <v>1</v>
      </c>
    </row>
    <row r="850" spans="1:26">
      <c r="A850"/>
      <c r="E850" s="255"/>
      <c r="F850" s="255"/>
      <c r="G850" s="238"/>
      <c r="H850" s="214"/>
      <c r="I850" s="248"/>
      <c r="J850" s="9"/>
      <c r="K850" s="217"/>
      <c r="L850" s="217"/>
      <c r="M850" s="256"/>
      <c r="N850" s="257"/>
      <c r="O850" s="257"/>
      <c r="P850" s="258"/>
      <c r="Q850" s="259"/>
      <c r="R850" s="260"/>
      <c r="S850" s="218"/>
      <c r="T850" s="219"/>
      <c r="U850" s="30"/>
      <c r="V850" s="31"/>
      <c r="W850" s="30"/>
      <c r="X850" s="220" t="str">
        <f>IFERROR(VLOOKUP(H850,NAICS!$A$4:$B$1072,2,FALSE),"Unknown")</f>
        <v>Unknown</v>
      </c>
      <c r="Y850" s="139">
        <f t="shared" si="24"/>
        <v>0</v>
      </c>
      <c r="Z850" s="9">
        <f t="shared" si="25"/>
        <v>1</v>
      </c>
    </row>
    <row r="851" spans="1:26">
      <c r="A851"/>
      <c r="E851" s="255"/>
      <c r="F851" s="259"/>
      <c r="G851" s="238"/>
      <c r="H851" s="214"/>
      <c r="I851" s="248"/>
      <c r="J851" s="9"/>
      <c r="K851" s="217"/>
      <c r="L851" s="217"/>
      <c r="M851" s="256"/>
      <c r="N851" s="257"/>
      <c r="O851" s="257"/>
      <c r="P851" s="258"/>
      <c r="Q851" s="259"/>
      <c r="R851" s="260"/>
      <c r="S851" s="218"/>
      <c r="T851" s="219"/>
      <c r="U851" s="30"/>
      <c r="V851" s="31"/>
      <c r="W851" s="30"/>
      <c r="X851" s="220" t="str">
        <f>IFERROR(VLOOKUP(H851,NAICS!$A$4:$B$1072,2,FALSE),"Unknown")</f>
        <v>Unknown</v>
      </c>
      <c r="Y851" s="139">
        <f t="shared" si="24"/>
        <v>0</v>
      </c>
      <c r="Z851" s="9">
        <f t="shared" si="25"/>
        <v>1</v>
      </c>
    </row>
    <row r="852" spans="1:26">
      <c r="A852"/>
      <c r="E852" s="255"/>
      <c r="F852" s="255"/>
      <c r="G852" s="238"/>
      <c r="H852" s="214"/>
      <c r="I852" s="248"/>
      <c r="J852" s="9"/>
      <c r="K852" s="217"/>
      <c r="L852" s="217"/>
      <c r="M852" s="256"/>
      <c r="N852" s="257"/>
      <c r="O852" s="257"/>
      <c r="P852" s="258"/>
      <c r="Q852" s="259"/>
      <c r="R852" s="260"/>
      <c r="S852" s="218"/>
      <c r="T852" s="219"/>
      <c r="U852" s="30"/>
      <c r="V852" s="31"/>
      <c r="W852" s="30"/>
      <c r="X852" s="220" t="str">
        <f>IFERROR(VLOOKUP(H852,NAICS!$A$4:$B$1072,2,FALSE),"Unknown")</f>
        <v>Unknown</v>
      </c>
      <c r="Y852" s="139">
        <f t="shared" si="24"/>
        <v>0</v>
      </c>
      <c r="Z852" s="9">
        <f t="shared" si="25"/>
        <v>1</v>
      </c>
    </row>
    <row r="853" spans="1:26">
      <c r="A853"/>
      <c r="E853" s="255"/>
      <c r="F853" s="261"/>
      <c r="G853" s="238"/>
      <c r="H853" s="232"/>
      <c r="I853" s="248"/>
      <c r="J853" s="9"/>
      <c r="K853" s="217"/>
      <c r="L853" s="217"/>
      <c r="M853" s="256"/>
      <c r="N853" s="257"/>
      <c r="O853" s="257"/>
      <c r="P853" s="236"/>
      <c r="Q853" s="259"/>
      <c r="R853" s="260"/>
      <c r="S853" s="218"/>
      <c r="T853" s="219"/>
      <c r="U853" s="30"/>
      <c r="V853" s="31"/>
      <c r="W853" s="30"/>
      <c r="X853" s="220" t="str">
        <f>IFERROR(VLOOKUP(H853,NAICS!$A$4:$B$1072,2,FALSE),"Unknown")</f>
        <v>Unknown</v>
      </c>
      <c r="Y853" s="139">
        <f t="shared" si="24"/>
        <v>0</v>
      </c>
      <c r="Z853" s="9">
        <f t="shared" si="25"/>
        <v>1</v>
      </c>
    </row>
    <row r="854" spans="1:26">
      <c r="A854"/>
      <c r="E854" s="255"/>
      <c r="F854" s="255"/>
      <c r="G854" s="238"/>
      <c r="H854" s="214"/>
      <c r="I854" s="248"/>
      <c r="J854" s="9"/>
      <c r="K854" s="217"/>
      <c r="L854" s="217"/>
      <c r="M854" s="256"/>
      <c r="N854" s="257"/>
      <c r="O854" s="257"/>
      <c r="P854" s="258"/>
      <c r="Q854" s="259"/>
      <c r="R854" s="260"/>
      <c r="S854" s="218"/>
      <c r="T854" s="219"/>
      <c r="U854" s="30"/>
      <c r="V854" s="31"/>
      <c r="W854" s="30"/>
      <c r="X854" s="220" t="str">
        <f>IFERROR(VLOOKUP(H854,NAICS!$A$4:$B$1072,2,FALSE),"Unknown")</f>
        <v>Unknown</v>
      </c>
      <c r="Y854" s="139">
        <f t="shared" si="24"/>
        <v>0</v>
      </c>
      <c r="Z854" s="9">
        <f t="shared" si="25"/>
        <v>1</v>
      </c>
    </row>
    <row r="855" spans="1:26">
      <c r="A855"/>
      <c r="E855" s="255"/>
      <c r="F855" s="262"/>
      <c r="G855" s="238"/>
      <c r="H855" s="220"/>
      <c r="I855" s="248"/>
      <c r="J855" s="9"/>
      <c r="K855" s="217"/>
      <c r="L855" s="217"/>
      <c r="M855" s="256"/>
      <c r="N855" s="257"/>
      <c r="O855" s="257"/>
      <c r="P855" s="235"/>
      <c r="Q855" s="262"/>
      <c r="R855" s="260"/>
      <c r="S855" s="218"/>
      <c r="T855" s="219"/>
      <c r="U855" s="30"/>
      <c r="V855" s="31"/>
      <c r="W855" s="30"/>
      <c r="X855" s="220" t="str">
        <f>IFERROR(VLOOKUP(H855,NAICS!$A$4:$B$1072,2,FALSE),"Unknown")</f>
        <v>Unknown</v>
      </c>
      <c r="Y855" s="139">
        <f t="shared" si="24"/>
        <v>0</v>
      </c>
      <c r="Z855" s="9">
        <f t="shared" si="25"/>
        <v>1</v>
      </c>
    </row>
    <row r="856" spans="1:26">
      <c r="A856"/>
      <c r="E856" s="255"/>
      <c r="F856" s="262"/>
      <c r="G856" s="238"/>
      <c r="H856" s="220"/>
      <c r="I856" s="248"/>
      <c r="J856" s="9"/>
      <c r="K856" s="217"/>
      <c r="L856" s="217"/>
      <c r="M856" s="256"/>
      <c r="N856" s="257"/>
      <c r="O856" s="257"/>
      <c r="P856" s="235"/>
      <c r="Q856" s="262"/>
      <c r="R856" s="260"/>
      <c r="S856" s="218"/>
      <c r="T856" s="219"/>
      <c r="U856" s="30"/>
      <c r="V856" s="31"/>
      <c r="W856" s="30"/>
      <c r="X856" s="220" t="str">
        <f>IFERROR(VLOOKUP(H856,NAICS!$A$4:$B$1072,2,FALSE),"Unknown")</f>
        <v>Unknown</v>
      </c>
      <c r="Y856" s="139">
        <f t="shared" si="24"/>
        <v>0</v>
      </c>
      <c r="Z856" s="9">
        <f t="shared" si="25"/>
        <v>1</v>
      </c>
    </row>
    <row r="857" spans="1:26">
      <c r="A857"/>
      <c r="E857" s="255"/>
      <c r="F857" s="255"/>
      <c r="G857" s="238"/>
      <c r="H857" s="214"/>
      <c r="I857" s="248"/>
      <c r="J857" s="9"/>
      <c r="K857" s="217"/>
      <c r="L857" s="217"/>
      <c r="M857" s="256"/>
      <c r="N857" s="257"/>
      <c r="O857" s="257"/>
      <c r="P857" s="258"/>
      <c r="Q857" s="259"/>
      <c r="R857" s="260"/>
      <c r="S857" s="218"/>
      <c r="T857" s="219"/>
      <c r="U857" s="30"/>
      <c r="V857" s="31"/>
      <c r="W857" s="30"/>
      <c r="X857" s="220" t="str">
        <f>IFERROR(VLOOKUP(H857,NAICS!$A$4:$B$1072,2,FALSE),"Unknown")</f>
        <v>Unknown</v>
      </c>
      <c r="Y857" s="139">
        <f t="shared" si="24"/>
        <v>0</v>
      </c>
      <c r="Z857" s="9">
        <f t="shared" si="25"/>
        <v>1</v>
      </c>
    </row>
    <row r="858" spans="1:26">
      <c r="A858"/>
      <c r="E858" s="255"/>
      <c r="F858" s="255"/>
      <c r="G858" s="238"/>
      <c r="H858" s="214"/>
      <c r="I858" s="248"/>
      <c r="J858" s="9"/>
      <c r="K858" s="217"/>
      <c r="L858" s="217"/>
      <c r="M858" s="256"/>
      <c r="N858" s="257"/>
      <c r="O858" s="257"/>
      <c r="P858" s="258"/>
      <c r="Q858" s="259"/>
      <c r="R858" s="260"/>
      <c r="S858" s="218"/>
      <c r="T858" s="219"/>
      <c r="U858" s="30"/>
      <c r="V858" s="31"/>
      <c r="W858" s="30"/>
      <c r="X858" s="220" t="str">
        <f>IFERROR(VLOOKUP(H858,NAICS!$A$4:$B$1072,2,FALSE),"Unknown")</f>
        <v>Unknown</v>
      </c>
      <c r="Y858" s="139">
        <f t="shared" si="24"/>
        <v>0</v>
      </c>
      <c r="Z858" s="9">
        <f t="shared" si="25"/>
        <v>1</v>
      </c>
    </row>
    <row r="859" spans="1:26">
      <c r="A859"/>
      <c r="E859" s="255"/>
      <c r="F859" s="255"/>
      <c r="G859" s="238"/>
      <c r="H859" s="214"/>
      <c r="I859" s="248"/>
      <c r="J859" s="9"/>
      <c r="K859" s="217"/>
      <c r="L859" s="217"/>
      <c r="M859" s="256"/>
      <c r="N859" s="257"/>
      <c r="O859" s="257"/>
      <c r="P859" s="258"/>
      <c r="Q859" s="259"/>
      <c r="R859" s="260"/>
      <c r="S859" s="218"/>
      <c r="T859" s="219"/>
      <c r="U859" s="30"/>
      <c r="V859" s="31"/>
      <c r="W859" s="30"/>
      <c r="X859" s="220" t="str">
        <f>IFERROR(VLOOKUP(H859,NAICS!$A$4:$B$1072,2,FALSE),"Unknown")</f>
        <v>Unknown</v>
      </c>
      <c r="Y859" s="139">
        <f t="shared" si="24"/>
        <v>0</v>
      </c>
      <c r="Z859" s="9">
        <f t="shared" si="25"/>
        <v>1</v>
      </c>
    </row>
    <row r="860" spans="1:26">
      <c r="A860"/>
      <c r="E860" s="255"/>
      <c r="F860" s="255"/>
      <c r="G860" s="238"/>
      <c r="H860" s="214"/>
      <c r="I860" s="248"/>
      <c r="J860" s="9"/>
      <c r="K860" s="217"/>
      <c r="L860" s="217"/>
      <c r="M860" s="256"/>
      <c r="N860" s="257"/>
      <c r="O860" s="257"/>
      <c r="P860" s="258"/>
      <c r="Q860" s="259"/>
      <c r="R860" s="260"/>
      <c r="S860" s="218"/>
      <c r="T860" s="219"/>
      <c r="U860" s="30"/>
      <c r="V860" s="31"/>
      <c r="W860" s="30"/>
      <c r="X860" s="220" t="str">
        <f>IFERROR(VLOOKUP(H860,NAICS!$A$4:$B$1072,2,FALSE),"Unknown")</f>
        <v>Unknown</v>
      </c>
      <c r="Y860" s="139">
        <f t="shared" si="24"/>
        <v>0</v>
      </c>
      <c r="Z860" s="9">
        <f t="shared" si="25"/>
        <v>1</v>
      </c>
    </row>
    <row r="861" spans="1:26">
      <c r="A861"/>
      <c r="E861" s="255"/>
      <c r="F861" s="259"/>
      <c r="G861" s="238"/>
      <c r="H861" s="214"/>
      <c r="I861" s="248"/>
      <c r="J861" s="9"/>
      <c r="K861" s="217"/>
      <c r="L861" s="217"/>
      <c r="M861" s="256"/>
      <c r="N861" s="257"/>
      <c r="O861" s="257"/>
      <c r="P861" s="258"/>
      <c r="Q861" s="259"/>
      <c r="R861" s="260"/>
      <c r="S861" s="218"/>
      <c r="T861" s="219"/>
      <c r="U861" s="30"/>
      <c r="V861" s="31"/>
      <c r="W861" s="30"/>
      <c r="X861" s="220" t="str">
        <f>IFERROR(VLOOKUP(H861,NAICS!$A$4:$B$1072,2,FALSE),"Unknown")</f>
        <v>Unknown</v>
      </c>
      <c r="Y861" s="139">
        <f t="shared" si="24"/>
        <v>0</v>
      </c>
      <c r="Z861" s="9">
        <f t="shared" si="25"/>
        <v>1</v>
      </c>
    </row>
    <row r="862" spans="1:26">
      <c r="A862"/>
      <c r="E862" s="255"/>
      <c r="F862" s="255"/>
      <c r="G862" s="238"/>
      <c r="H862" s="214"/>
      <c r="I862" s="248"/>
      <c r="J862" s="9"/>
      <c r="K862" s="217"/>
      <c r="L862" s="217"/>
      <c r="M862" s="256"/>
      <c r="N862" s="257"/>
      <c r="O862" s="257"/>
      <c r="P862" s="258"/>
      <c r="Q862" s="259"/>
      <c r="R862" s="260"/>
      <c r="S862" s="218"/>
      <c r="T862" s="219"/>
      <c r="U862" s="30"/>
      <c r="V862" s="31"/>
      <c r="W862" s="30"/>
      <c r="X862" s="220" t="str">
        <f>IFERROR(VLOOKUP(H862,NAICS!$A$4:$B$1072,2,FALSE),"Unknown")</f>
        <v>Unknown</v>
      </c>
      <c r="Y862" s="139">
        <f t="shared" si="24"/>
        <v>0</v>
      </c>
      <c r="Z862" s="9">
        <f t="shared" si="25"/>
        <v>1</v>
      </c>
    </row>
    <row r="863" spans="1:26">
      <c r="A863"/>
      <c r="E863" s="255"/>
      <c r="F863" s="255"/>
      <c r="G863" s="238"/>
      <c r="H863" s="214"/>
      <c r="I863" s="248"/>
      <c r="J863" s="9"/>
      <c r="K863" s="217"/>
      <c r="L863" s="217"/>
      <c r="M863" s="256"/>
      <c r="N863" s="257"/>
      <c r="O863" s="257"/>
      <c r="P863" s="258"/>
      <c r="Q863" s="259"/>
      <c r="R863" s="260"/>
      <c r="S863" s="218"/>
      <c r="T863" s="219"/>
      <c r="U863" s="30"/>
      <c r="V863" s="31"/>
      <c r="W863" s="30"/>
      <c r="X863" s="220" t="str">
        <f>IFERROR(VLOOKUP(H863,NAICS!$A$4:$B$1072,2,FALSE),"Unknown")</f>
        <v>Unknown</v>
      </c>
      <c r="Y863" s="139">
        <f t="shared" si="24"/>
        <v>0</v>
      </c>
      <c r="Z863" s="9">
        <f t="shared" si="25"/>
        <v>1</v>
      </c>
    </row>
    <row r="864" spans="1:26">
      <c r="A864"/>
      <c r="E864" s="255"/>
      <c r="F864" s="255"/>
      <c r="G864" s="238"/>
      <c r="H864" s="214"/>
      <c r="I864" s="248"/>
      <c r="J864" s="9"/>
      <c r="K864" s="217"/>
      <c r="L864" s="217"/>
      <c r="M864" s="256"/>
      <c r="N864" s="257"/>
      <c r="O864" s="257"/>
      <c r="P864" s="258"/>
      <c r="Q864" s="259"/>
      <c r="R864" s="260"/>
      <c r="S864" s="218"/>
      <c r="T864" s="219"/>
      <c r="U864" s="30"/>
      <c r="V864" s="31"/>
      <c r="W864" s="30"/>
      <c r="X864" s="220" t="str">
        <f>IFERROR(VLOOKUP(H864,NAICS!$A$4:$B$1072,2,FALSE),"Unknown")</f>
        <v>Unknown</v>
      </c>
      <c r="Y864" s="139">
        <f t="shared" si="24"/>
        <v>0</v>
      </c>
      <c r="Z864" s="9">
        <f t="shared" si="25"/>
        <v>1</v>
      </c>
    </row>
    <row r="865" spans="1:26">
      <c r="A865"/>
      <c r="E865" s="255"/>
      <c r="F865" s="255"/>
      <c r="G865" s="238"/>
      <c r="H865" s="214"/>
      <c r="I865" s="248"/>
      <c r="J865" s="9"/>
      <c r="K865" s="217"/>
      <c r="L865" s="217"/>
      <c r="M865" s="256"/>
      <c r="N865" s="257"/>
      <c r="O865" s="257"/>
      <c r="P865" s="258"/>
      <c r="Q865" s="259"/>
      <c r="R865" s="260"/>
      <c r="S865" s="218"/>
      <c r="T865" s="219"/>
      <c r="U865" s="30"/>
      <c r="V865" s="31"/>
      <c r="W865" s="30"/>
      <c r="X865" s="220" t="str">
        <f>IFERROR(VLOOKUP(H865,NAICS!$A$4:$B$1072,2,FALSE),"Unknown")</f>
        <v>Unknown</v>
      </c>
      <c r="Y865" s="139">
        <f t="shared" si="24"/>
        <v>0</v>
      </c>
      <c r="Z865" s="9">
        <f t="shared" si="25"/>
        <v>1</v>
      </c>
    </row>
    <row r="866" spans="1:26">
      <c r="A866"/>
      <c r="E866" s="255"/>
      <c r="F866" s="255"/>
      <c r="G866" s="238"/>
      <c r="H866" s="214"/>
      <c r="I866" s="248"/>
      <c r="J866" s="9"/>
      <c r="K866" s="217"/>
      <c r="L866" s="217"/>
      <c r="M866" s="256"/>
      <c r="N866" s="257"/>
      <c r="O866" s="257"/>
      <c r="P866" s="258"/>
      <c r="Q866" s="259"/>
      <c r="R866" s="260"/>
      <c r="S866" s="218"/>
      <c r="T866" s="219"/>
      <c r="U866" s="30"/>
      <c r="V866" s="31"/>
      <c r="W866" s="30"/>
      <c r="X866" s="220" t="str">
        <f>IFERROR(VLOOKUP(H866,NAICS!$A$4:$B$1072,2,FALSE),"Unknown")</f>
        <v>Unknown</v>
      </c>
      <c r="Y866" s="139">
        <f t="shared" si="24"/>
        <v>0</v>
      </c>
      <c r="Z866" s="9">
        <f t="shared" si="25"/>
        <v>1</v>
      </c>
    </row>
    <row r="867" spans="1:26">
      <c r="A867"/>
      <c r="E867" s="255"/>
      <c r="F867" s="255"/>
      <c r="G867" s="238"/>
      <c r="H867" s="214"/>
      <c r="I867" s="248"/>
      <c r="J867" s="9"/>
      <c r="K867" s="217"/>
      <c r="L867" s="217"/>
      <c r="M867" s="256"/>
      <c r="N867" s="257"/>
      <c r="O867" s="257"/>
      <c r="P867" s="258"/>
      <c r="Q867" s="259"/>
      <c r="R867" s="260"/>
      <c r="S867" s="218"/>
      <c r="T867" s="219"/>
      <c r="U867" s="30"/>
      <c r="V867" s="31"/>
      <c r="W867" s="30"/>
      <c r="X867" s="220" t="str">
        <f>IFERROR(VLOOKUP(H867,NAICS!$A$4:$B$1072,2,FALSE),"Unknown")</f>
        <v>Unknown</v>
      </c>
      <c r="Y867" s="139">
        <f t="shared" si="24"/>
        <v>0</v>
      </c>
      <c r="Z867" s="9">
        <f t="shared" si="25"/>
        <v>1</v>
      </c>
    </row>
    <row r="868" spans="1:26">
      <c r="A868"/>
      <c r="E868" s="255"/>
      <c r="F868" s="255"/>
      <c r="G868" s="238"/>
      <c r="H868" s="214"/>
      <c r="I868" s="248"/>
      <c r="J868" s="9"/>
      <c r="K868" s="217"/>
      <c r="L868" s="217"/>
      <c r="M868" s="256"/>
      <c r="N868" s="257"/>
      <c r="O868" s="257"/>
      <c r="P868" s="258"/>
      <c r="Q868" s="259"/>
      <c r="R868" s="260"/>
      <c r="S868" s="218"/>
      <c r="T868" s="219"/>
      <c r="U868" s="30"/>
      <c r="V868" s="31"/>
      <c r="W868" s="30"/>
      <c r="X868" s="220" t="str">
        <f>IFERROR(VLOOKUP(H868,NAICS!$A$4:$B$1072,2,FALSE),"Unknown")</f>
        <v>Unknown</v>
      </c>
      <c r="Y868" s="139">
        <f t="shared" si="24"/>
        <v>0</v>
      </c>
      <c r="Z868" s="9">
        <f t="shared" si="25"/>
        <v>1</v>
      </c>
    </row>
    <row r="869" spans="1:26">
      <c r="A869"/>
      <c r="E869" s="255"/>
      <c r="F869" s="255"/>
      <c r="G869" s="238"/>
      <c r="H869" s="214"/>
      <c r="I869" s="248"/>
      <c r="J869" s="9"/>
      <c r="K869" s="217"/>
      <c r="L869" s="217"/>
      <c r="M869" s="256"/>
      <c r="N869" s="257"/>
      <c r="O869" s="257"/>
      <c r="P869" s="258"/>
      <c r="Q869" s="259"/>
      <c r="R869" s="260"/>
      <c r="S869" s="218"/>
      <c r="T869" s="219"/>
      <c r="U869" s="30"/>
      <c r="V869" s="31"/>
      <c r="W869" s="30"/>
      <c r="X869" s="220" t="str">
        <f>IFERROR(VLOOKUP(H869,NAICS!$A$4:$B$1072,2,FALSE),"Unknown")</f>
        <v>Unknown</v>
      </c>
      <c r="Y869" s="139">
        <f t="shared" si="24"/>
        <v>0</v>
      </c>
      <c r="Z869" s="9">
        <f t="shared" si="25"/>
        <v>1</v>
      </c>
    </row>
    <row r="870" spans="1:26">
      <c r="A870"/>
      <c r="E870" s="255"/>
      <c r="F870" s="259"/>
      <c r="G870" s="238"/>
      <c r="H870" s="29"/>
      <c r="I870" s="248"/>
      <c r="J870" s="9"/>
      <c r="K870" s="217"/>
      <c r="L870" s="217"/>
      <c r="M870" s="256"/>
      <c r="N870" s="257"/>
      <c r="O870" s="257"/>
      <c r="P870" s="258"/>
      <c r="Q870" s="259"/>
      <c r="R870" s="260"/>
      <c r="S870" s="218"/>
      <c r="T870" s="219"/>
      <c r="U870" s="30"/>
      <c r="V870" s="31"/>
      <c r="W870" s="30"/>
      <c r="X870" s="220" t="str">
        <f>IFERROR(VLOOKUP(H870,NAICS!$A$4:$B$1072,2,FALSE),"Unknown")</f>
        <v>Unknown</v>
      </c>
      <c r="Y870" s="139">
        <f t="shared" si="24"/>
        <v>0</v>
      </c>
      <c r="Z870" s="9">
        <f t="shared" si="25"/>
        <v>1</v>
      </c>
    </row>
    <row r="871" spans="1:26">
      <c r="A871"/>
      <c r="E871" s="255"/>
      <c r="F871" s="259"/>
      <c r="G871" s="238"/>
      <c r="H871" s="214"/>
      <c r="I871" s="248"/>
      <c r="J871" s="9"/>
      <c r="K871" s="217"/>
      <c r="L871" s="217"/>
      <c r="M871" s="256"/>
      <c r="N871" s="257"/>
      <c r="O871" s="257"/>
      <c r="P871" s="258"/>
      <c r="Q871" s="259"/>
      <c r="R871" s="260"/>
      <c r="S871" s="218"/>
      <c r="T871" s="219"/>
      <c r="U871" s="30"/>
      <c r="V871" s="31"/>
      <c r="W871" s="30"/>
      <c r="X871" s="220" t="str">
        <f>IFERROR(VLOOKUP(H871,NAICS!$A$4:$B$1072,2,FALSE),"Unknown")</f>
        <v>Unknown</v>
      </c>
      <c r="Y871" s="139">
        <f t="shared" si="24"/>
        <v>0</v>
      </c>
      <c r="Z871" s="9">
        <f t="shared" si="25"/>
        <v>1</v>
      </c>
    </row>
    <row r="872" spans="1:26">
      <c r="A872"/>
      <c r="E872" s="255"/>
      <c r="F872" s="255"/>
      <c r="G872" s="238"/>
      <c r="H872" s="214"/>
      <c r="I872" s="248"/>
      <c r="J872" s="9"/>
      <c r="K872" s="217"/>
      <c r="L872" s="217"/>
      <c r="M872" s="256"/>
      <c r="N872" s="257"/>
      <c r="O872" s="257"/>
      <c r="P872" s="258"/>
      <c r="Q872" s="259"/>
      <c r="R872" s="260"/>
      <c r="S872" s="218"/>
      <c r="T872" s="219"/>
      <c r="U872" s="30"/>
      <c r="V872" s="31"/>
      <c r="W872" s="30"/>
      <c r="X872" s="220" t="str">
        <f>IFERROR(VLOOKUP(H872,NAICS!$A$4:$B$1072,2,FALSE),"Unknown")</f>
        <v>Unknown</v>
      </c>
      <c r="Y872" s="139">
        <f t="shared" si="24"/>
        <v>0</v>
      </c>
      <c r="Z872" s="9">
        <f t="shared" si="25"/>
        <v>1</v>
      </c>
    </row>
    <row r="873" spans="1:26">
      <c r="A873"/>
      <c r="E873" s="255"/>
      <c r="F873" s="259"/>
      <c r="G873" s="238"/>
      <c r="H873" s="214"/>
      <c r="I873" s="248"/>
      <c r="J873" s="9"/>
      <c r="K873" s="217"/>
      <c r="L873" s="217"/>
      <c r="M873" s="256"/>
      <c r="N873" s="257"/>
      <c r="O873" s="257"/>
      <c r="P873" s="258"/>
      <c r="Q873" s="259"/>
      <c r="R873" s="260"/>
      <c r="S873" s="218"/>
      <c r="T873" s="219"/>
      <c r="U873" s="30"/>
      <c r="V873" s="31"/>
      <c r="W873" s="30"/>
      <c r="X873" s="220" t="str">
        <f>IFERROR(VLOOKUP(H873,NAICS!$A$4:$B$1072,2,FALSE),"Unknown")</f>
        <v>Unknown</v>
      </c>
      <c r="Y873" s="139">
        <f t="shared" si="24"/>
        <v>0</v>
      </c>
      <c r="Z873" s="9">
        <f t="shared" si="25"/>
        <v>1</v>
      </c>
    </row>
    <row r="874" spans="1:26">
      <c r="A874"/>
      <c r="E874" s="255"/>
      <c r="F874" s="255"/>
      <c r="G874" s="238"/>
      <c r="H874" s="214"/>
      <c r="I874" s="248"/>
      <c r="J874" s="9"/>
      <c r="K874" s="217"/>
      <c r="L874" s="217"/>
      <c r="M874" s="256"/>
      <c r="N874" s="257"/>
      <c r="O874" s="257"/>
      <c r="P874" s="258"/>
      <c r="Q874" s="259"/>
      <c r="R874" s="260"/>
      <c r="S874" s="218"/>
      <c r="T874" s="219"/>
      <c r="U874" s="30"/>
      <c r="V874" s="31"/>
      <c r="W874" s="30"/>
      <c r="X874" s="220" t="str">
        <f>IFERROR(VLOOKUP(H874,NAICS!$A$4:$B$1072,2,FALSE),"Unknown")</f>
        <v>Unknown</v>
      </c>
      <c r="Y874" s="139">
        <f t="shared" si="24"/>
        <v>0</v>
      </c>
      <c r="Z874" s="9">
        <f t="shared" si="25"/>
        <v>1</v>
      </c>
    </row>
    <row r="875" spans="1:26">
      <c r="A875"/>
      <c r="E875" s="255"/>
      <c r="F875" s="255"/>
      <c r="G875" s="238"/>
      <c r="H875" s="214"/>
      <c r="I875" s="248"/>
      <c r="J875" s="9"/>
      <c r="K875" s="217"/>
      <c r="L875" s="217"/>
      <c r="M875" s="256"/>
      <c r="N875" s="257"/>
      <c r="O875" s="257"/>
      <c r="P875" s="258"/>
      <c r="Q875" s="259"/>
      <c r="R875" s="260"/>
      <c r="S875" s="218"/>
      <c r="T875" s="219"/>
      <c r="U875" s="30"/>
      <c r="V875" s="31"/>
      <c r="W875" s="30"/>
      <c r="X875" s="220" t="str">
        <f>IFERROR(VLOOKUP(H875,NAICS!$A$4:$B$1072,2,FALSE),"Unknown")</f>
        <v>Unknown</v>
      </c>
      <c r="Y875" s="139">
        <f t="shared" si="24"/>
        <v>0</v>
      </c>
      <c r="Z875" s="9">
        <f t="shared" si="25"/>
        <v>1</v>
      </c>
    </row>
    <row r="876" spans="1:26">
      <c r="A876"/>
      <c r="E876" s="255"/>
      <c r="F876" s="261"/>
      <c r="G876" s="238"/>
      <c r="H876" s="214"/>
      <c r="I876" s="248"/>
      <c r="J876" s="9"/>
      <c r="K876" s="217"/>
      <c r="L876" s="217"/>
      <c r="M876" s="256"/>
      <c r="N876" s="257"/>
      <c r="O876" s="257"/>
      <c r="P876" s="258"/>
      <c r="Q876" s="259"/>
      <c r="R876" s="260"/>
      <c r="S876" s="218"/>
      <c r="T876" s="219"/>
      <c r="U876" s="30"/>
      <c r="V876" s="31"/>
      <c r="W876" s="30"/>
      <c r="X876" s="220" t="str">
        <f>IFERROR(VLOOKUP(H876,NAICS!$A$4:$B$1072,2,FALSE),"Unknown")</f>
        <v>Unknown</v>
      </c>
      <c r="Y876" s="139">
        <f t="shared" si="24"/>
        <v>0</v>
      </c>
      <c r="Z876" s="9">
        <f t="shared" si="25"/>
        <v>1</v>
      </c>
    </row>
    <row r="877" spans="1:26">
      <c r="A877"/>
      <c r="E877" s="255"/>
      <c r="F877" s="255"/>
      <c r="G877" s="238"/>
      <c r="H877" s="214"/>
      <c r="I877" s="248"/>
      <c r="J877" s="9"/>
      <c r="K877" s="217"/>
      <c r="L877" s="217"/>
      <c r="M877" s="256"/>
      <c r="N877" s="257"/>
      <c r="O877" s="257"/>
      <c r="P877" s="258"/>
      <c r="Q877" s="259"/>
      <c r="R877" s="260"/>
      <c r="S877" s="218"/>
      <c r="T877" s="219"/>
      <c r="U877" s="30"/>
      <c r="V877" s="31"/>
      <c r="W877" s="30"/>
      <c r="X877" s="220" t="str">
        <f>IFERROR(VLOOKUP(H877,NAICS!$A$4:$B$1072,2,FALSE),"Unknown")</f>
        <v>Unknown</v>
      </c>
      <c r="Y877" s="139">
        <f t="shared" si="24"/>
        <v>0</v>
      </c>
      <c r="Z877" s="9">
        <f t="shared" si="25"/>
        <v>1</v>
      </c>
    </row>
    <row r="878" spans="1:26">
      <c r="A878"/>
      <c r="E878" s="262"/>
      <c r="F878" s="262"/>
      <c r="G878" s="238"/>
      <c r="H878" s="220"/>
      <c r="I878" s="248"/>
      <c r="J878" s="9"/>
      <c r="K878" s="217"/>
      <c r="L878" s="217"/>
      <c r="M878" s="256"/>
      <c r="N878" s="257"/>
      <c r="O878" s="257"/>
      <c r="P878" s="236"/>
      <c r="Q878" s="259"/>
      <c r="R878" s="260"/>
      <c r="S878" s="218"/>
      <c r="T878" s="219"/>
      <c r="U878" s="30"/>
      <c r="V878" s="31"/>
      <c r="W878" s="30"/>
      <c r="X878" s="220" t="str">
        <f>IFERROR(VLOOKUP(H878,NAICS!$A$4:$B$1072,2,FALSE),"Unknown")</f>
        <v>Unknown</v>
      </c>
      <c r="Y878" s="139">
        <f t="shared" si="24"/>
        <v>0</v>
      </c>
      <c r="Z878" s="9">
        <f t="shared" si="25"/>
        <v>1</v>
      </c>
    </row>
    <row r="879" spans="1:26">
      <c r="A879"/>
      <c r="E879" s="262"/>
      <c r="F879" s="262"/>
      <c r="G879" s="238"/>
      <c r="H879" s="220"/>
      <c r="I879" s="248"/>
      <c r="J879" s="9"/>
      <c r="K879" s="217"/>
      <c r="L879" s="217"/>
      <c r="M879" s="256"/>
      <c r="N879" s="257"/>
      <c r="O879" s="257"/>
      <c r="P879" s="258"/>
      <c r="Q879" s="259"/>
      <c r="R879" s="260"/>
      <c r="S879" s="218"/>
      <c r="T879" s="219"/>
      <c r="U879" s="30"/>
      <c r="V879" s="31"/>
      <c r="W879" s="30"/>
      <c r="X879" s="220" t="str">
        <f>IFERROR(VLOOKUP(H879,NAICS!$A$4:$B$1072,2,FALSE),"Unknown")</f>
        <v>Unknown</v>
      </c>
      <c r="Y879" s="139">
        <f t="shared" si="24"/>
        <v>0</v>
      </c>
      <c r="Z879" s="9">
        <f t="shared" si="25"/>
        <v>1</v>
      </c>
    </row>
    <row r="880" spans="1:26">
      <c r="A880"/>
      <c r="E880" s="262"/>
      <c r="F880" s="262"/>
      <c r="G880" s="238"/>
      <c r="H880" s="220"/>
      <c r="I880" s="248"/>
      <c r="J880" s="9"/>
      <c r="K880" s="217"/>
      <c r="L880" s="217"/>
      <c r="M880" s="256"/>
      <c r="N880" s="257"/>
      <c r="O880" s="257"/>
      <c r="P880" s="235"/>
      <c r="Q880" s="262"/>
      <c r="R880" s="260"/>
      <c r="S880" s="218"/>
      <c r="T880" s="219"/>
      <c r="U880" s="30"/>
      <c r="V880" s="31"/>
      <c r="W880" s="30"/>
      <c r="X880" s="220" t="str">
        <f>IFERROR(VLOOKUP(H880,NAICS!$A$4:$B$1072,2,FALSE),"Unknown")</f>
        <v>Unknown</v>
      </c>
      <c r="Y880" s="139">
        <f t="shared" si="24"/>
        <v>0</v>
      </c>
      <c r="Z880" s="9">
        <f t="shared" si="25"/>
        <v>1</v>
      </c>
    </row>
    <row r="881" spans="1:26">
      <c r="A881"/>
      <c r="E881" s="262"/>
      <c r="F881" s="262"/>
      <c r="G881" s="238"/>
      <c r="H881" s="220"/>
      <c r="I881" s="248"/>
      <c r="J881" s="9"/>
      <c r="K881" s="217"/>
      <c r="L881" s="217"/>
      <c r="M881" s="256"/>
      <c r="N881" s="257"/>
      <c r="O881" s="257"/>
      <c r="P881" s="235"/>
      <c r="Q881" s="262"/>
      <c r="R881" s="260"/>
      <c r="S881" s="218"/>
      <c r="T881" s="219"/>
      <c r="U881" s="30"/>
      <c r="V881" s="31"/>
      <c r="W881" s="30"/>
      <c r="X881" s="220" t="str">
        <f>IFERROR(VLOOKUP(H881,NAICS!$A$4:$B$1072,2,FALSE),"Unknown")</f>
        <v>Unknown</v>
      </c>
      <c r="Y881" s="139">
        <f t="shared" si="24"/>
        <v>0</v>
      </c>
      <c r="Z881" s="9">
        <f t="shared" si="25"/>
        <v>1</v>
      </c>
    </row>
    <row r="882" spans="1:26">
      <c r="A882"/>
      <c r="E882" s="156"/>
      <c r="F882" s="156"/>
      <c r="G882" s="238"/>
      <c r="H882" s="265"/>
      <c r="I882" s="248"/>
      <c r="J882" s="9"/>
      <c r="K882" s="217"/>
      <c r="L882" s="217"/>
      <c r="M882" s="256"/>
      <c r="N882" s="257"/>
      <c r="O882" s="257"/>
      <c r="P882" s="258"/>
      <c r="Q882" s="259"/>
      <c r="R882" s="260"/>
      <c r="S882" s="218"/>
      <c r="T882" s="219"/>
      <c r="U882" s="30"/>
      <c r="V882" s="31"/>
      <c r="W882" s="30"/>
      <c r="X882" s="220" t="str">
        <f>IFERROR(VLOOKUP(H882,NAICS!$A$4:$B$1072,2,FALSE),"Unknown")</f>
        <v>Unknown</v>
      </c>
      <c r="Y882" s="139">
        <f t="shared" si="24"/>
        <v>0</v>
      </c>
      <c r="Z882" s="9">
        <f t="shared" si="25"/>
        <v>1</v>
      </c>
    </row>
    <row r="883" spans="1:26">
      <c r="A883"/>
      <c r="E883" s="156"/>
      <c r="F883" s="156"/>
      <c r="G883" s="238"/>
      <c r="H883" s="265"/>
      <c r="I883" s="248"/>
      <c r="J883" s="9"/>
      <c r="K883" s="217"/>
      <c r="L883" s="217"/>
      <c r="M883" s="256"/>
      <c r="N883" s="257"/>
      <c r="O883" s="257"/>
      <c r="P883" s="258"/>
      <c r="Q883" s="259"/>
      <c r="R883" s="260"/>
      <c r="S883" s="218"/>
      <c r="T883" s="219"/>
      <c r="U883" s="30"/>
      <c r="V883" s="31"/>
      <c r="W883" s="30"/>
      <c r="X883" s="220" t="str">
        <f>IFERROR(VLOOKUP(H883,NAICS!$A$4:$B$1072,2,FALSE),"Unknown")</f>
        <v>Unknown</v>
      </c>
      <c r="Y883" s="139">
        <f t="shared" si="24"/>
        <v>0</v>
      </c>
      <c r="Z883" s="9">
        <f t="shared" si="25"/>
        <v>1</v>
      </c>
    </row>
    <row r="884" spans="1:26">
      <c r="A884"/>
      <c r="E884" s="262"/>
      <c r="F884" s="262"/>
      <c r="G884" s="238"/>
      <c r="H884" s="220"/>
      <c r="I884" s="248"/>
      <c r="J884" s="9"/>
      <c r="K884" s="217"/>
      <c r="L884" s="217"/>
      <c r="M884" s="256"/>
      <c r="N884" s="257"/>
      <c r="O884" s="257"/>
      <c r="P884" s="258"/>
      <c r="Q884" s="259"/>
      <c r="R884" s="260"/>
      <c r="S884" s="218"/>
      <c r="T884" s="219"/>
      <c r="U884" s="30"/>
      <c r="V884" s="31"/>
      <c r="W884" s="30"/>
      <c r="X884" s="220" t="str">
        <f>IFERROR(VLOOKUP(H884,NAICS!$A$4:$B$1072,2,FALSE),"Unknown")</f>
        <v>Unknown</v>
      </c>
      <c r="Y884" s="139">
        <f t="shared" si="24"/>
        <v>0</v>
      </c>
      <c r="Z884" s="9">
        <f t="shared" si="25"/>
        <v>1</v>
      </c>
    </row>
    <row r="885" spans="1:26">
      <c r="A885"/>
      <c r="E885" s="156"/>
      <c r="F885" s="156"/>
      <c r="G885" s="238"/>
      <c r="H885" s="265"/>
      <c r="I885" s="248"/>
      <c r="J885" s="9"/>
      <c r="K885" s="217"/>
      <c r="L885" s="217"/>
      <c r="M885" s="256"/>
      <c r="N885" s="257"/>
      <c r="O885" s="257"/>
      <c r="P885" s="258"/>
      <c r="Q885" s="259"/>
      <c r="R885" s="260"/>
      <c r="S885" s="218"/>
      <c r="T885" s="219"/>
      <c r="U885" s="30"/>
      <c r="V885" s="31"/>
      <c r="W885" s="30"/>
      <c r="X885" s="220" t="str">
        <f>IFERROR(VLOOKUP(H885,NAICS!$A$4:$B$1072,2,FALSE),"Unknown")</f>
        <v>Unknown</v>
      </c>
      <c r="Y885" s="139">
        <f t="shared" si="24"/>
        <v>0</v>
      </c>
      <c r="Z885" s="9">
        <f t="shared" si="25"/>
        <v>1</v>
      </c>
    </row>
    <row r="886" spans="1:26">
      <c r="A886"/>
      <c r="E886" s="156"/>
      <c r="F886" s="156"/>
      <c r="G886" s="238"/>
      <c r="H886" s="265"/>
      <c r="I886" s="248"/>
      <c r="J886" s="9"/>
      <c r="K886" s="217"/>
      <c r="L886" s="217"/>
      <c r="M886" s="256"/>
      <c r="N886" s="257"/>
      <c r="O886" s="257"/>
      <c r="P886" s="258"/>
      <c r="Q886" s="259"/>
      <c r="R886" s="260"/>
      <c r="S886" s="218"/>
      <c r="T886" s="219"/>
      <c r="U886" s="30"/>
      <c r="V886" s="31"/>
      <c r="W886" s="30"/>
      <c r="X886" s="220" t="str">
        <f>IFERROR(VLOOKUP(H886,NAICS!$A$4:$B$1072,2,FALSE),"Unknown")</f>
        <v>Unknown</v>
      </c>
      <c r="Y886" s="139">
        <f t="shared" si="24"/>
        <v>0</v>
      </c>
      <c r="Z886" s="9">
        <f t="shared" si="25"/>
        <v>1</v>
      </c>
    </row>
    <row r="887" spans="1:26">
      <c r="A887"/>
      <c r="E887" s="156"/>
      <c r="F887" s="156"/>
      <c r="G887" s="238"/>
      <c r="H887" s="265"/>
      <c r="I887" s="248"/>
      <c r="J887" s="9"/>
      <c r="K887" s="217"/>
      <c r="L887" s="217"/>
      <c r="M887" s="256"/>
      <c r="N887" s="257"/>
      <c r="O887" s="257"/>
      <c r="P887" s="258"/>
      <c r="Q887" s="259"/>
      <c r="R887" s="260"/>
      <c r="S887" s="218"/>
      <c r="T887" s="219"/>
      <c r="U887" s="30"/>
      <c r="V887" s="31"/>
      <c r="W887" s="30"/>
      <c r="X887" s="220" t="str">
        <f>IFERROR(VLOOKUP(H887,NAICS!$A$4:$B$1072,2,FALSE),"Unknown")</f>
        <v>Unknown</v>
      </c>
      <c r="Y887" s="139">
        <f t="shared" si="24"/>
        <v>0</v>
      </c>
      <c r="Z887" s="9">
        <f t="shared" si="25"/>
        <v>1</v>
      </c>
    </row>
    <row r="888" spans="1:26">
      <c r="A888"/>
      <c r="E888" s="156"/>
      <c r="F888" s="156"/>
      <c r="G888" s="238"/>
      <c r="H888" s="265"/>
      <c r="I888" s="248"/>
      <c r="J888" s="9"/>
      <c r="K888" s="217"/>
      <c r="L888" s="217"/>
      <c r="M888" s="256"/>
      <c r="N888" s="257"/>
      <c r="O888" s="257"/>
      <c r="P888" s="258"/>
      <c r="Q888" s="259"/>
      <c r="R888" s="260"/>
      <c r="S888" s="218"/>
      <c r="T888" s="219"/>
      <c r="U888" s="30"/>
      <c r="V888" s="31"/>
      <c r="W888" s="30"/>
      <c r="X888" s="220" t="str">
        <f>IFERROR(VLOOKUP(H888,NAICS!$A$4:$B$1072,2,FALSE),"Unknown")</f>
        <v>Unknown</v>
      </c>
      <c r="Y888" s="139">
        <f t="shared" si="24"/>
        <v>0</v>
      </c>
      <c r="Z888" s="9">
        <f t="shared" si="25"/>
        <v>1</v>
      </c>
    </row>
    <row r="889" spans="1:26">
      <c r="A889"/>
      <c r="E889" s="156"/>
      <c r="F889" s="156"/>
      <c r="G889" s="238"/>
      <c r="H889" s="265"/>
      <c r="I889" s="248"/>
      <c r="J889" s="9"/>
      <c r="K889" s="217"/>
      <c r="L889" s="217"/>
      <c r="M889" s="256"/>
      <c r="N889" s="257"/>
      <c r="O889" s="257"/>
      <c r="P889" s="258"/>
      <c r="Q889" s="259"/>
      <c r="R889" s="260"/>
      <c r="S889" s="218"/>
      <c r="T889" s="219"/>
      <c r="U889" s="30"/>
      <c r="V889" s="31"/>
      <c r="W889" s="30"/>
      <c r="X889" s="220" t="str">
        <f>IFERROR(VLOOKUP(H889,NAICS!$A$4:$B$1072,2,FALSE),"Unknown")</f>
        <v>Unknown</v>
      </c>
      <c r="Y889" s="139">
        <f t="shared" si="24"/>
        <v>0</v>
      </c>
      <c r="Z889" s="9">
        <f t="shared" si="25"/>
        <v>1</v>
      </c>
    </row>
    <row r="890" spans="1:26">
      <c r="A890"/>
      <c r="E890" s="262"/>
      <c r="F890" s="262"/>
      <c r="G890" s="238"/>
      <c r="H890" s="220"/>
      <c r="I890" s="248"/>
      <c r="J890" s="9"/>
      <c r="K890" s="217"/>
      <c r="L890" s="217"/>
      <c r="M890" s="256"/>
      <c r="N890" s="257"/>
      <c r="O890" s="257"/>
      <c r="P890" s="258"/>
      <c r="Q890" s="259"/>
      <c r="R890" s="260"/>
      <c r="S890" s="218"/>
      <c r="T890" s="219"/>
      <c r="U890" s="30"/>
      <c r="V890" s="31"/>
      <c r="W890" s="30"/>
      <c r="X890" s="220" t="str">
        <f>IFERROR(VLOOKUP(H890,NAICS!$A$4:$B$1072,2,FALSE),"Unknown")</f>
        <v>Unknown</v>
      </c>
      <c r="Y890" s="139">
        <f t="shared" si="24"/>
        <v>0</v>
      </c>
      <c r="Z890" s="9">
        <f t="shared" si="25"/>
        <v>1</v>
      </c>
    </row>
    <row r="891" spans="1:26">
      <c r="A891"/>
      <c r="E891" s="262"/>
      <c r="F891" s="262"/>
      <c r="G891" s="238"/>
      <c r="H891" s="220"/>
      <c r="I891" s="248"/>
      <c r="J891" s="9"/>
      <c r="K891" s="217"/>
      <c r="L891" s="217"/>
      <c r="M891" s="256"/>
      <c r="N891" s="257"/>
      <c r="O891" s="257"/>
      <c r="P891" s="258"/>
      <c r="Q891" s="259"/>
      <c r="R891" s="260"/>
      <c r="S891" s="218"/>
      <c r="T891" s="219"/>
      <c r="U891" s="30"/>
      <c r="V891" s="31"/>
      <c r="W891" s="30"/>
      <c r="X891" s="220" t="str">
        <f>IFERROR(VLOOKUP(H891,NAICS!$A$4:$B$1072,2,FALSE),"Unknown")</f>
        <v>Unknown</v>
      </c>
      <c r="Y891" s="139">
        <f t="shared" si="24"/>
        <v>0</v>
      </c>
      <c r="Z891" s="9">
        <f t="shared" si="25"/>
        <v>1</v>
      </c>
    </row>
    <row r="892" spans="1:26">
      <c r="A892"/>
      <c r="E892" s="262"/>
      <c r="F892" s="262"/>
      <c r="G892" s="238"/>
      <c r="H892" s="220"/>
      <c r="I892" s="248"/>
      <c r="J892" s="9"/>
      <c r="K892" s="217"/>
      <c r="L892" s="217"/>
      <c r="M892" s="256"/>
      <c r="N892" s="257"/>
      <c r="O892" s="257"/>
      <c r="P892" s="258"/>
      <c r="Q892" s="259"/>
      <c r="R892" s="260"/>
      <c r="S892" s="218"/>
      <c r="T892" s="219"/>
      <c r="U892" s="30"/>
      <c r="V892" s="31"/>
      <c r="W892" s="30"/>
      <c r="X892" s="220" t="str">
        <f>IFERROR(VLOOKUP(H892,NAICS!$A$4:$B$1072,2,FALSE),"Unknown")</f>
        <v>Unknown</v>
      </c>
      <c r="Y892" s="139">
        <f t="shared" si="24"/>
        <v>0</v>
      </c>
      <c r="Z892" s="9">
        <f t="shared" si="25"/>
        <v>1</v>
      </c>
    </row>
    <row r="893" spans="1:26">
      <c r="A893"/>
      <c r="E893" s="156"/>
      <c r="F893" s="156"/>
      <c r="G893" s="238"/>
      <c r="H893" s="265"/>
      <c r="I893" s="248"/>
      <c r="J893" s="9"/>
      <c r="K893" s="217"/>
      <c r="L893" s="217"/>
      <c r="M893" s="256"/>
      <c r="N893" s="257"/>
      <c r="O893" s="257"/>
      <c r="P893" s="258"/>
      <c r="Q893" s="259"/>
      <c r="R893" s="260"/>
      <c r="S893" s="218"/>
      <c r="T893" s="219"/>
      <c r="U893" s="30"/>
      <c r="V893" s="31"/>
      <c r="W893" s="30"/>
      <c r="X893" s="220" t="str">
        <f>IFERROR(VLOOKUP(H893,NAICS!$A$4:$B$1072,2,FALSE),"Unknown")</f>
        <v>Unknown</v>
      </c>
      <c r="Y893" s="139">
        <f t="shared" si="24"/>
        <v>0</v>
      </c>
      <c r="Z893" s="9">
        <f t="shared" si="25"/>
        <v>1</v>
      </c>
    </row>
    <row r="894" spans="1:26">
      <c r="A894"/>
      <c r="E894" s="156"/>
      <c r="F894" s="156"/>
      <c r="G894" s="238"/>
      <c r="H894" s="265"/>
      <c r="I894" s="248"/>
      <c r="J894" s="9"/>
      <c r="K894" s="217"/>
      <c r="L894" s="217"/>
      <c r="M894" s="256"/>
      <c r="N894" s="257"/>
      <c r="O894" s="257"/>
      <c r="P894" s="258"/>
      <c r="Q894" s="259"/>
      <c r="R894" s="260"/>
      <c r="S894" s="218"/>
      <c r="T894" s="219"/>
      <c r="U894" s="30"/>
      <c r="V894" s="31"/>
      <c r="W894" s="30"/>
      <c r="X894" s="220" t="str">
        <f>IFERROR(VLOOKUP(H894,NAICS!$A$4:$B$1072,2,FALSE),"Unknown")</f>
        <v>Unknown</v>
      </c>
      <c r="Y894" s="139">
        <f t="shared" si="24"/>
        <v>0</v>
      </c>
      <c r="Z894" s="9">
        <f t="shared" si="25"/>
        <v>1</v>
      </c>
    </row>
    <row r="895" spans="1:26">
      <c r="A895"/>
      <c r="E895" s="156"/>
      <c r="F895" s="156"/>
      <c r="G895" s="238"/>
      <c r="H895" s="265"/>
      <c r="I895" s="248"/>
      <c r="J895" s="9"/>
      <c r="K895" s="217"/>
      <c r="L895" s="217"/>
      <c r="M895" s="256"/>
      <c r="N895" s="257"/>
      <c r="O895" s="257"/>
      <c r="P895" s="258"/>
      <c r="Q895" s="259"/>
      <c r="R895" s="260"/>
      <c r="S895" s="218"/>
      <c r="T895" s="219"/>
      <c r="U895" s="30"/>
      <c r="V895" s="31"/>
      <c r="W895" s="30"/>
      <c r="X895" s="220" t="str">
        <f>IFERROR(VLOOKUP(H895,NAICS!$A$4:$B$1072,2,FALSE),"Unknown")</f>
        <v>Unknown</v>
      </c>
      <c r="Y895" s="139">
        <f t="shared" si="24"/>
        <v>0</v>
      </c>
      <c r="Z895" s="9">
        <f t="shared" si="25"/>
        <v>1</v>
      </c>
    </row>
    <row r="896" spans="1:26">
      <c r="A896"/>
      <c r="E896" s="156"/>
      <c r="F896" s="156"/>
      <c r="G896" s="238"/>
      <c r="H896" s="265"/>
      <c r="I896" s="248"/>
      <c r="J896" s="9"/>
      <c r="K896" s="217"/>
      <c r="L896" s="217"/>
      <c r="M896" s="256"/>
      <c r="N896" s="257"/>
      <c r="O896" s="257"/>
      <c r="P896" s="258"/>
      <c r="Q896" s="259"/>
      <c r="R896" s="260"/>
      <c r="S896" s="218"/>
      <c r="T896" s="219"/>
      <c r="U896" s="30"/>
      <c r="V896" s="31"/>
      <c r="W896" s="30"/>
      <c r="X896" s="220" t="str">
        <f>IFERROR(VLOOKUP(H896,NAICS!$A$4:$B$1072,2,FALSE),"Unknown")</f>
        <v>Unknown</v>
      </c>
      <c r="Y896" s="139">
        <f t="shared" si="24"/>
        <v>0</v>
      </c>
      <c r="Z896" s="9">
        <f t="shared" si="25"/>
        <v>1</v>
      </c>
    </row>
    <row r="897" spans="1:26">
      <c r="A897"/>
      <c r="E897" s="156"/>
      <c r="F897" s="156"/>
      <c r="G897" s="238"/>
      <c r="H897" s="265"/>
      <c r="I897" s="248"/>
      <c r="J897" s="9"/>
      <c r="K897" s="217"/>
      <c r="L897" s="217"/>
      <c r="M897" s="256"/>
      <c r="N897" s="257"/>
      <c r="O897" s="257"/>
      <c r="P897" s="258"/>
      <c r="Q897" s="259"/>
      <c r="R897" s="260"/>
      <c r="S897" s="218"/>
      <c r="T897" s="219"/>
      <c r="U897" s="30"/>
      <c r="V897" s="31"/>
      <c r="W897" s="30"/>
      <c r="X897" s="220" t="str">
        <f>IFERROR(VLOOKUP(H897,NAICS!$A$4:$B$1072,2,FALSE),"Unknown")</f>
        <v>Unknown</v>
      </c>
      <c r="Y897" s="139">
        <f t="shared" si="24"/>
        <v>0</v>
      </c>
      <c r="Z897" s="9">
        <f t="shared" si="25"/>
        <v>1</v>
      </c>
    </row>
    <row r="898" spans="1:26">
      <c r="A898"/>
      <c r="E898" s="156"/>
      <c r="F898" s="156"/>
      <c r="G898" s="238"/>
      <c r="H898" s="265"/>
      <c r="I898" s="248"/>
      <c r="J898" s="9"/>
      <c r="K898" s="217"/>
      <c r="L898" s="217"/>
      <c r="M898" s="256"/>
      <c r="N898" s="257"/>
      <c r="O898" s="257"/>
      <c r="P898" s="258"/>
      <c r="Q898" s="259"/>
      <c r="R898" s="260"/>
      <c r="S898" s="218"/>
      <c r="T898" s="219"/>
      <c r="U898" s="30"/>
      <c r="V898" s="31"/>
      <c r="W898" s="30"/>
      <c r="X898" s="220" t="str">
        <f>IFERROR(VLOOKUP(H898,NAICS!$A$4:$B$1072,2,FALSE),"Unknown")</f>
        <v>Unknown</v>
      </c>
      <c r="Y898" s="139">
        <f t="shared" si="24"/>
        <v>0</v>
      </c>
      <c r="Z898" s="9">
        <f t="shared" si="25"/>
        <v>1</v>
      </c>
    </row>
    <row r="899" spans="1:26">
      <c r="A899"/>
      <c r="E899" s="262"/>
      <c r="F899" s="262"/>
      <c r="G899" s="238"/>
      <c r="H899" s="220"/>
      <c r="I899" s="248"/>
      <c r="J899" s="9"/>
      <c r="K899" s="217"/>
      <c r="L899" s="217"/>
      <c r="M899" s="256"/>
      <c r="N899" s="257"/>
      <c r="O899" s="257"/>
      <c r="P899" s="258"/>
      <c r="Q899" s="259"/>
      <c r="R899" s="260"/>
      <c r="S899" s="218"/>
      <c r="T899" s="219"/>
      <c r="U899" s="30"/>
      <c r="V899" s="31"/>
      <c r="W899" s="30"/>
      <c r="X899" s="220" t="str">
        <f>IFERROR(VLOOKUP(H899,NAICS!$A$4:$B$1072,2,FALSE),"Unknown")</f>
        <v>Unknown</v>
      </c>
      <c r="Y899" s="139">
        <f t="shared" si="24"/>
        <v>0</v>
      </c>
      <c r="Z899" s="9">
        <f t="shared" si="25"/>
        <v>1</v>
      </c>
    </row>
    <row r="900" spans="1:26">
      <c r="A900"/>
      <c r="E900" s="262"/>
      <c r="F900" s="262"/>
      <c r="G900" s="238"/>
      <c r="H900" s="263"/>
      <c r="I900" s="248"/>
      <c r="J900" s="9"/>
      <c r="K900" s="217"/>
      <c r="L900" s="217"/>
      <c r="M900" s="256"/>
      <c r="N900" s="257"/>
      <c r="O900" s="257"/>
      <c r="P900" s="258"/>
      <c r="Q900" s="259"/>
      <c r="R900" s="260"/>
      <c r="S900" s="218"/>
      <c r="T900" s="219"/>
      <c r="U900" s="30"/>
      <c r="V900" s="31"/>
      <c r="W900" s="30"/>
      <c r="X900" s="220" t="str">
        <f>IFERROR(VLOOKUP(H900,NAICS!$A$4:$B$1072,2,FALSE),"Unknown")</f>
        <v>Unknown</v>
      </c>
      <c r="Y900" s="139">
        <f t="shared" si="24"/>
        <v>0</v>
      </c>
      <c r="Z900" s="9">
        <f t="shared" si="25"/>
        <v>1</v>
      </c>
    </row>
    <row r="901" spans="1:26">
      <c r="A901"/>
      <c r="E901" s="262"/>
      <c r="F901" s="262"/>
      <c r="G901" s="238"/>
      <c r="H901" s="263"/>
      <c r="I901" s="248"/>
      <c r="J901" s="9"/>
      <c r="K901" s="217"/>
      <c r="L901" s="217"/>
      <c r="M901" s="256"/>
      <c r="N901" s="257"/>
      <c r="O901" s="257"/>
      <c r="P901" s="258"/>
      <c r="Q901" s="259"/>
      <c r="R901" s="260"/>
      <c r="S901" s="218"/>
      <c r="T901" s="219"/>
      <c r="U901" s="30"/>
      <c r="V901" s="31"/>
      <c r="W901" s="30"/>
      <c r="X901" s="220" t="str">
        <f>IFERROR(VLOOKUP(H901,NAICS!$A$4:$B$1072,2,FALSE),"Unknown")</f>
        <v>Unknown</v>
      </c>
      <c r="Y901" s="139">
        <f t="shared" si="24"/>
        <v>0</v>
      </c>
      <c r="Z901" s="9">
        <f t="shared" si="25"/>
        <v>1</v>
      </c>
    </row>
    <row r="902" spans="1:26">
      <c r="A902"/>
      <c r="E902" s="156"/>
      <c r="F902" s="156"/>
      <c r="G902" s="238"/>
      <c r="H902" s="266"/>
      <c r="I902" s="248"/>
      <c r="J902" s="9"/>
      <c r="K902" s="217"/>
      <c r="L902" s="217"/>
      <c r="M902" s="256"/>
      <c r="N902" s="223"/>
      <c r="O902" s="257"/>
      <c r="P902" s="235"/>
      <c r="Q902" s="262"/>
      <c r="R902" s="260"/>
      <c r="S902" s="218"/>
      <c r="T902" s="219"/>
      <c r="U902" s="30"/>
      <c r="V902" s="31"/>
      <c r="W902" s="30"/>
      <c r="X902" s="220" t="str">
        <f>IFERROR(VLOOKUP(H902,NAICS!$A$4:$B$1072,2,FALSE),"Unknown")</f>
        <v>Unknown</v>
      </c>
      <c r="Y902" s="139">
        <f t="shared" si="24"/>
        <v>0</v>
      </c>
      <c r="Z902" s="9">
        <f t="shared" si="25"/>
        <v>1</v>
      </c>
    </row>
    <row r="903" spans="1:26">
      <c r="A903"/>
      <c r="E903" s="262"/>
      <c r="F903" s="262"/>
      <c r="G903" s="238"/>
      <c r="H903" s="263"/>
      <c r="I903" s="248"/>
      <c r="J903" s="9"/>
      <c r="K903" s="217"/>
      <c r="L903" s="217"/>
      <c r="M903" s="256"/>
      <c r="N903" s="223"/>
      <c r="O903" s="257"/>
      <c r="P903" s="235"/>
      <c r="Q903" s="262"/>
      <c r="R903" s="260"/>
      <c r="S903" s="218"/>
      <c r="T903" s="219"/>
      <c r="U903" s="30"/>
      <c r="V903" s="31"/>
      <c r="W903" s="30"/>
      <c r="X903" s="220" t="str">
        <f>IFERROR(VLOOKUP(H903,NAICS!$A$4:$B$1072,2,FALSE),"Unknown")</f>
        <v>Unknown</v>
      </c>
      <c r="Y903" s="139">
        <f t="shared" si="24"/>
        <v>0</v>
      </c>
      <c r="Z903" s="9">
        <f t="shared" si="25"/>
        <v>1</v>
      </c>
    </row>
    <row r="904" spans="1:26">
      <c r="A904"/>
      <c r="E904" s="262"/>
      <c r="F904" s="262"/>
      <c r="G904" s="238"/>
      <c r="H904" s="263"/>
      <c r="I904" s="248"/>
      <c r="J904" s="9"/>
      <c r="K904" s="217"/>
      <c r="L904" s="217"/>
      <c r="M904" s="256"/>
      <c r="N904" s="223"/>
      <c r="O904" s="257"/>
      <c r="P904" s="235"/>
      <c r="Q904" s="262"/>
      <c r="R904" s="260"/>
      <c r="S904" s="218"/>
      <c r="T904" s="219"/>
      <c r="U904" s="30"/>
      <c r="V904" s="31"/>
      <c r="W904" s="30"/>
      <c r="X904" s="220" t="str">
        <f>IFERROR(VLOOKUP(H904,NAICS!$A$4:$B$1072,2,FALSE),"Unknown")</f>
        <v>Unknown</v>
      </c>
      <c r="Y904" s="139">
        <f t="shared" si="24"/>
        <v>0</v>
      </c>
      <c r="Z904" s="9">
        <f t="shared" si="25"/>
        <v>1</v>
      </c>
    </row>
    <row r="905" spans="1:26">
      <c r="A905"/>
      <c r="E905" s="262"/>
      <c r="F905" s="262"/>
      <c r="G905" s="238"/>
      <c r="H905" s="263"/>
      <c r="I905" s="248"/>
      <c r="J905" s="9"/>
      <c r="K905" s="217"/>
      <c r="L905" s="217"/>
      <c r="M905" s="256"/>
      <c r="N905" s="223"/>
      <c r="O905" s="257"/>
      <c r="P905" s="235"/>
      <c r="Q905" s="262"/>
      <c r="R905" s="260"/>
      <c r="S905" s="218"/>
      <c r="T905" s="219"/>
      <c r="U905" s="30"/>
      <c r="V905" s="31"/>
      <c r="W905" s="30"/>
      <c r="X905" s="220" t="str">
        <f>IFERROR(VLOOKUP(H905,NAICS!$A$4:$B$1072,2,FALSE),"Unknown")</f>
        <v>Unknown</v>
      </c>
      <c r="Y905" s="139">
        <f t="shared" si="24"/>
        <v>0</v>
      </c>
      <c r="Z905" s="9">
        <f t="shared" si="25"/>
        <v>1</v>
      </c>
    </row>
    <row r="906" spans="1:26">
      <c r="A906"/>
      <c r="E906" s="262"/>
      <c r="F906" s="262"/>
      <c r="G906" s="238"/>
      <c r="H906" s="263"/>
      <c r="I906" s="248"/>
      <c r="J906" s="9"/>
      <c r="K906" s="217"/>
      <c r="L906" s="217"/>
      <c r="M906" s="256"/>
      <c r="N906" s="223"/>
      <c r="O906" s="257"/>
      <c r="P906" s="235"/>
      <c r="Q906" s="262"/>
      <c r="R906" s="260"/>
      <c r="S906" s="218"/>
      <c r="T906" s="219"/>
      <c r="U906" s="30"/>
      <c r="V906" s="31"/>
      <c r="W906" s="30"/>
      <c r="X906" s="220" t="str">
        <f>IFERROR(VLOOKUP(H906,NAICS!$A$4:$B$1072,2,FALSE),"Unknown")</f>
        <v>Unknown</v>
      </c>
      <c r="Y906" s="139">
        <f t="shared" si="24"/>
        <v>0</v>
      </c>
      <c r="Z906" s="9">
        <f t="shared" si="25"/>
        <v>1</v>
      </c>
    </row>
    <row r="907" spans="1:26">
      <c r="A907"/>
      <c r="E907" s="262"/>
      <c r="F907" s="262"/>
      <c r="G907" s="238"/>
      <c r="H907" s="263"/>
      <c r="I907" s="248"/>
      <c r="J907" s="9"/>
      <c r="K907" s="217"/>
      <c r="L907" s="217"/>
      <c r="M907" s="256"/>
      <c r="N907" s="223"/>
      <c r="O907" s="257"/>
      <c r="P907" s="235"/>
      <c r="Q907" s="262"/>
      <c r="R907" s="260"/>
      <c r="S907" s="218"/>
      <c r="T907" s="219"/>
      <c r="U907" s="30"/>
      <c r="V907" s="31"/>
      <c r="W907" s="30"/>
      <c r="X907" s="220" t="str">
        <f>IFERROR(VLOOKUP(H907,NAICS!$A$4:$B$1072,2,FALSE),"Unknown")</f>
        <v>Unknown</v>
      </c>
      <c r="Y907" s="139">
        <f t="shared" si="24"/>
        <v>0</v>
      </c>
      <c r="Z907" s="9">
        <f t="shared" si="25"/>
        <v>1</v>
      </c>
    </row>
    <row r="908" spans="1:26">
      <c r="A908"/>
      <c r="E908" s="262"/>
      <c r="F908" s="262"/>
      <c r="G908" s="238"/>
      <c r="H908" s="263"/>
      <c r="I908" s="248"/>
      <c r="J908" s="9"/>
      <c r="K908" s="217"/>
      <c r="L908" s="217"/>
      <c r="M908" s="256"/>
      <c r="N908" s="223"/>
      <c r="O908" s="257"/>
      <c r="P908" s="235"/>
      <c r="Q908" s="262"/>
      <c r="R908" s="260"/>
      <c r="S908" s="218"/>
      <c r="T908" s="219"/>
      <c r="U908" s="30"/>
      <c r="V908" s="31"/>
      <c r="W908" s="30"/>
      <c r="X908" s="220" t="str">
        <f>IFERROR(VLOOKUP(H908,NAICS!$A$4:$B$1072,2,FALSE),"Unknown")</f>
        <v>Unknown</v>
      </c>
      <c r="Y908" s="139">
        <f t="shared" si="24"/>
        <v>0</v>
      </c>
      <c r="Z908" s="9">
        <f t="shared" si="25"/>
        <v>1</v>
      </c>
    </row>
    <row r="909" spans="1:26">
      <c r="A909"/>
      <c r="E909" s="262"/>
      <c r="F909" s="262"/>
      <c r="G909" s="238"/>
      <c r="H909" s="263"/>
      <c r="I909" s="248"/>
      <c r="J909" s="9"/>
      <c r="K909" s="217"/>
      <c r="L909" s="217"/>
      <c r="M909" s="256"/>
      <c r="N909" s="223"/>
      <c r="O909" s="257"/>
      <c r="P909" s="235"/>
      <c r="Q909" s="262"/>
      <c r="R909" s="260"/>
      <c r="S909" s="218"/>
      <c r="T909" s="219"/>
      <c r="U909" s="30"/>
      <c r="V909" s="31"/>
      <c r="W909" s="30"/>
      <c r="X909" s="220" t="str">
        <f>IFERROR(VLOOKUP(H909,NAICS!$A$4:$B$1072,2,FALSE),"Unknown")</f>
        <v>Unknown</v>
      </c>
      <c r="Y909" s="139">
        <f t="shared" ref="Y909:Y972" si="26">IF(U909&gt;=180,IF(V909&lt;=12,5%,IF(AND(V909&gt;12,V909&lt;24),3%,IF(AND(V909&gt;24,V909&lt;36),1%,0%))),0%)</f>
        <v>0</v>
      </c>
      <c r="Z909" s="9">
        <f t="shared" ref="Z909:Z972" si="27">IF(AND(U909&gt;=$AE$2,U909&lt;=$AF$2),1,IF(AND(U909&gt;$AE$3,U909&lt;=$AF$3),2,IF(AND(U909&gt;$AE$4,U909&lt;=$AF$4),3,IF(AND(U909&gt;$AE$5,U909&lt;=$AF$5),4,IF(AND(U909&gt;$AE$6,U909&lt;=$AF$6),5,"")))))</f>
        <v>1</v>
      </c>
    </row>
    <row r="910" spans="1:26">
      <c r="A910"/>
      <c r="E910" s="262"/>
      <c r="F910" s="262"/>
      <c r="G910" s="238"/>
      <c r="H910" s="263"/>
      <c r="I910" s="248"/>
      <c r="J910" s="9"/>
      <c r="K910" s="217"/>
      <c r="L910" s="217"/>
      <c r="M910" s="256"/>
      <c r="N910" s="223"/>
      <c r="O910" s="257"/>
      <c r="P910" s="235"/>
      <c r="Q910" s="262"/>
      <c r="R910" s="260"/>
      <c r="S910" s="218"/>
      <c r="T910" s="219"/>
      <c r="U910" s="30"/>
      <c r="V910" s="31"/>
      <c r="W910" s="30"/>
      <c r="X910" s="220" t="str">
        <f>IFERROR(VLOOKUP(H910,NAICS!$A$4:$B$1072,2,FALSE),"Unknown")</f>
        <v>Unknown</v>
      </c>
      <c r="Y910" s="139">
        <f t="shared" si="26"/>
        <v>0</v>
      </c>
      <c r="Z910" s="9">
        <f t="shared" si="27"/>
        <v>1</v>
      </c>
    </row>
    <row r="911" spans="1:26">
      <c r="A911"/>
      <c r="E911" s="262"/>
      <c r="F911" s="262"/>
      <c r="G911" s="238"/>
      <c r="H911" s="263"/>
      <c r="I911" s="248"/>
      <c r="J911" s="9"/>
      <c r="K911" s="217"/>
      <c r="L911" s="217"/>
      <c r="M911" s="256"/>
      <c r="N911" s="223"/>
      <c r="O911" s="257"/>
      <c r="P911" s="235"/>
      <c r="Q911" s="262"/>
      <c r="R911" s="260"/>
      <c r="S911" s="218"/>
      <c r="T911" s="219"/>
      <c r="U911" s="30"/>
      <c r="V911" s="31"/>
      <c r="W911" s="30"/>
      <c r="X911" s="220" t="str">
        <f>IFERROR(VLOOKUP(H911,NAICS!$A$4:$B$1072,2,FALSE),"Unknown")</f>
        <v>Unknown</v>
      </c>
      <c r="Y911" s="139">
        <f t="shared" si="26"/>
        <v>0</v>
      </c>
      <c r="Z911" s="9">
        <f t="shared" si="27"/>
        <v>1</v>
      </c>
    </row>
    <row r="912" spans="1:26">
      <c r="A912"/>
      <c r="E912" s="262"/>
      <c r="F912" s="262"/>
      <c r="G912" s="238"/>
      <c r="H912" s="263"/>
      <c r="I912" s="248"/>
      <c r="J912" s="9"/>
      <c r="K912" s="217"/>
      <c r="L912" s="217"/>
      <c r="M912" s="256"/>
      <c r="N912" s="223"/>
      <c r="O912" s="257"/>
      <c r="P912" s="235"/>
      <c r="Q912" s="262"/>
      <c r="R912" s="260"/>
      <c r="S912" s="218"/>
      <c r="T912" s="219"/>
      <c r="U912" s="30"/>
      <c r="V912" s="31"/>
      <c r="W912" s="30"/>
      <c r="X912" s="220" t="str">
        <f>IFERROR(VLOOKUP(H912,NAICS!$A$4:$B$1072,2,FALSE),"Unknown")</f>
        <v>Unknown</v>
      </c>
      <c r="Y912" s="139">
        <f t="shared" si="26"/>
        <v>0</v>
      </c>
      <c r="Z912" s="9">
        <f t="shared" si="27"/>
        <v>1</v>
      </c>
    </row>
    <row r="913" spans="1:26">
      <c r="A913"/>
      <c r="E913" s="262"/>
      <c r="F913" s="262"/>
      <c r="G913" s="238"/>
      <c r="H913" s="263"/>
      <c r="I913" s="248"/>
      <c r="J913" s="9"/>
      <c r="K913" s="217"/>
      <c r="L913" s="217"/>
      <c r="M913" s="256"/>
      <c r="N913" s="223"/>
      <c r="O913" s="257"/>
      <c r="P913" s="235"/>
      <c r="Q913" s="262"/>
      <c r="R913" s="260"/>
      <c r="S913" s="218"/>
      <c r="T913" s="219"/>
      <c r="U913" s="30"/>
      <c r="V913" s="31"/>
      <c r="W913" s="30"/>
      <c r="X913" s="220" t="str">
        <f>IFERROR(VLOOKUP(H913,NAICS!$A$4:$B$1072,2,FALSE),"Unknown")</f>
        <v>Unknown</v>
      </c>
      <c r="Y913" s="139">
        <f t="shared" si="26"/>
        <v>0</v>
      </c>
      <c r="Z913" s="9">
        <f t="shared" si="27"/>
        <v>1</v>
      </c>
    </row>
    <row r="914" spans="1:26">
      <c r="A914"/>
      <c r="E914" s="262"/>
      <c r="F914" s="262"/>
      <c r="G914" s="238"/>
      <c r="H914" s="263"/>
      <c r="I914" s="248"/>
      <c r="J914" s="9"/>
      <c r="K914" s="217"/>
      <c r="L914" s="217"/>
      <c r="M914" s="256"/>
      <c r="N914" s="223"/>
      <c r="O914" s="257"/>
      <c r="P914" s="235"/>
      <c r="Q914" s="262"/>
      <c r="R914" s="260"/>
      <c r="S914" s="218"/>
      <c r="T914" s="219"/>
      <c r="U914" s="30"/>
      <c r="V914" s="31"/>
      <c r="W914" s="30"/>
      <c r="X914" s="220" t="str">
        <f>IFERROR(VLOOKUP(H914,NAICS!$A$4:$B$1072,2,FALSE),"Unknown")</f>
        <v>Unknown</v>
      </c>
      <c r="Y914" s="139">
        <f t="shared" si="26"/>
        <v>0</v>
      </c>
      <c r="Z914" s="9">
        <f t="shared" si="27"/>
        <v>1</v>
      </c>
    </row>
    <row r="915" spans="1:26">
      <c r="A915"/>
      <c r="E915" s="262"/>
      <c r="F915" s="262"/>
      <c r="G915" s="238"/>
      <c r="H915" s="263"/>
      <c r="I915" s="248"/>
      <c r="J915" s="9"/>
      <c r="K915" s="217"/>
      <c r="L915" s="217"/>
      <c r="M915" s="256"/>
      <c r="N915" s="223"/>
      <c r="O915" s="257"/>
      <c r="P915" s="235"/>
      <c r="Q915" s="262"/>
      <c r="R915" s="260"/>
      <c r="S915" s="218"/>
      <c r="T915" s="219"/>
      <c r="U915" s="30"/>
      <c r="V915" s="31"/>
      <c r="W915" s="30"/>
      <c r="X915" s="220" t="str">
        <f>IFERROR(VLOOKUP(H915,NAICS!$A$4:$B$1072,2,FALSE),"Unknown")</f>
        <v>Unknown</v>
      </c>
      <c r="Y915" s="139">
        <f t="shared" si="26"/>
        <v>0</v>
      </c>
      <c r="Z915" s="9">
        <f t="shared" si="27"/>
        <v>1</v>
      </c>
    </row>
    <row r="916" spans="1:26">
      <c r="A916"/>
      <c r="E916" s="262"/>
      <c r="F916" s="262"/>
      <c r="G916" s="238"/>
      <c r="H916" s="263"/>
      <c r="I916" s="248"/>
      <c r="J916" s="9"/>
      <c r="K916" s="217"/>
      <c r="L916" s="217"/>
      <c r="M916" s="256"/>
      <c r="N916" s="223"/>
      <c r="O916" s="257"/>
      <c r="P916" s="235"/>
      <c r="Q916" s="262"/>
      <c r="R916" s="260"/>
      <c r="S916" s="218"/>
      <c r="T916" s="219"/>
      <c r="U916" s="30"/>
      <c r="V916" s="31"/>
      <c r="W916" s="30"/>
      <c r="X916" s="220" t="str">
        <f>IFERROR(VLOOKUP(H916,NAICS!$A$4:$B$1072,2,FALSE),"Unknown")</f>
        <v>Unknown</v>
      </c>
      <c r="Y916" s="139">
        <f t="shared" si="26"/>
        <v>0</v>
      </c>
      <c r="Z916" s="9">
        <f t="shared" si="27"/>
        <v>1</v>
      </c>
    </row>
    <row r="917" spans="1:26">
      <c r="A917"/>
      <c r="E917" s="262"/>
      <c r="F917" s="262"/>
      <c r="G917" s="238"/>
      <c r="H917" s="263"/>
      <c r="I917" s="248"/>
      <c r="J917" s="9"/>
      <c r="K917" s="217"/>
      <c r="L917" s="217"/>
      <c r="M917" s="256"/>
      <c r="N917" s="223"/>
      <c r="O917" s="257"/>
      <c r="P917" s="235"/>
      <c r="Q917" s="262"/>
      <c r="R917" s="260"/>
      <c r="S917" s="218"/>
      <c r="T917" s="219"/>
      <c r="U917" s="30"/>
      <c r="V917" s="31"/>
      <c r="W917" s="30"/>
      <c r="X917" s="220" t="str">
        <f>IFERROR(VLOOKUP(H917,NAICS!$A$4:$B$1072,2,FALSE),"Unknown")</f>
        <v>Unknown</v>
      </c>
      <c r="Y917" s="139">
        <f t="shared" si="26"/>
        <v>0</v>
      </c>
      <c r="Z917" s="9">
        <f t="shared" si="27"/>
        <v>1</v>
      </c>
    </row>
    <row r="918" spans="1:26">
      <c r="A918"/>
      <c r="E918" s="262"/>
      <c r="F918" s="262"/>
      <c r="G918" s="238"/>
      <c r="H918" s="263"/>
      <c r="I918" s="248"/>
      <c r="J918" s="9"/>
      <c r="K918" s="217"/>
      <c r="L918" s="217"/>
      <c r="M918" s="256"/>
      <c r="N918" s="223"/>
      <c r="O918" s="257"/>
      <c r="P918" s="235"/>
      <c r="Q918" s="262"/>
      <c r="R918" s="260"/>
      <c r="S918" s="218"/>
      <c r="T918" s="219"/>
      <c r="U918" s="30"/>
      <c r="V918" s="31"/>
      <c r="W918" s="30"/>
      <c r="X918" s="220" t="str">
        <f>IFERROR(VLOOKUP(H918,NAICS!$A$4:$B$1072,2,FALSE),"Unknown")</f>
        <v>Unknown</v>
      </c>
      <c r="Y918" s="139">
        <f t="shared" si="26"/>
        <v>0</v>
      </c>
      <c r="Z918" s="9">
        <f t="shared" si="27"/>
        <v>1</v>
      </c>
    </row>
    <row r="919" spans="1:26">
      <c r="A919"/>
      <c r="E919" s="262"/>
      <c r="F919" s="262"/>
      <c r="G919" s="238"/>
      <c r="H919" s="263"/>
      <c r="I919" s="248"/>
      <c r="J919" s="9"/>
      <c r="K919" s="217"/>
      <c r="L919" s="217"/>
      <c r="M919" s="256"/>
      <c r="N919" s="223"/>
      <c r="O919" s="257"/>
      <c r="P919" s="235"/>
      <c r="Q919" s="262"/>
      <c r="R919" s="260"/>
      <c r="S919" s="218"/>
      <c r="T919" s="219"/>
      <c r="U919" s="30"/>
      <c r="V919" s="31"/>
      <c r="W919" s="30"/>
      <c r="X919" s="220" t="str">
        <f>IFERROR(VLOOKUP(H919,NAICS!$A$4:$B$1072,2,FALSE),"Unknown")</f>
        <v>Unknown</v>
      </c>
      <c r="Y919" s="139">
        <f t="shared" si="26"/>
        <v>0</v>
      </c>
      <c r="Z919" s="9">
        <f t="shared" si="27"/>
        <v>1</v>
      </c>
    </row>
    <row r="920" spans="1:26">
      <c r="A920"/>
      <c r="E920" s="156"/>
      <c r="F920" s="156"/>
      <c r="G920" s="238"/>
      <c r="H920" s="266"/>
      <c r="I920" s="248"/>
      <c r="J920" s="9"/>
      <c r="K920" s="217"/>
      <c r="L920" s="217"/>
      <c r="M920" s="256"/>
      <c r="N920" s="223"/>
      <c r="O920" s="257"/>
      <c r="P920" s="235"/>
      <c r="Q920" s="262"/>
      <c r="R920" s="260"/>
      <c r="S920" s="218"/>
      <c r="T920" s="219"/>
      <c r="U920" s="30"/>
      <c r="V920" s="31"/>
      <c r="W920" s="30"/>
      <c r="X920" s="220" t="str">
        <f>IFERROR(VLOOKUP(H920,NAICS!$A$4:$B$1072,2,FALSE),"Unknown")</f>
        <v>Unknown</v>
      </c>
      <c r="Y920" s="139">
        <f t="shared" si="26"/>
        <v>0</v>
      </c>
      <c r="Z920" s="9">
        <f t="shared" si="27"/>
        <v>1</v>
      </c>
    </row>
    <row r="921" spans="1:26">
      <c r="A921"/>
      <c r="E921" s="156"/>
      <c r="F921" s="156"/>
      <c r="G921" s="238"/>
      <c r="H921" s="266"/>
      <c r="I921" s="248"/>
      <c r="J921" s="9"/>
      <c r="K921" s="217"/>
      <c r="L921" s="217"/>
      <c r="M921" s="256"/>
      <c r="N921" s="223"/>
      <c r="O921" s="257"/>
      <c r="P921" s="235"/>
      <c r="Q921" s="262"/>
      <c r="R921" s="260"/>
      <c r="S921" s="218"/>
      <c r="T921" s="219"/>
      <c r="U921" s="30"/>
      <c r="V921" s="31"/>
      <c r="W921" s="30"/>
      <c r="X921" s="220" t="str">
        <f>IFERROR(VLOOKUP(H921,NAICS!$A$4:$B$1072,2,FALSE),"Unknown")</f>
        <v>Unknown</v>
      </c>
      <c r="Y921" s="139">
        <f t="shared" si="26"/>
        <v>0</v>
      </c>
      <c r="Z921" s="9">
        <f t="shared" si="27"/>
        <v>1</v>
      </c>
    </row>
    <row r="922" spans="1:26">
      <c r="A922"/>
      <c r="E922" s="156"/>
      <c r="F922" s="156"/>
      <c r="G922" s="238"/>
      <c r="H922" s="266"/>
      <c r="I922" s="248"/>
      <c r="J922" s="9"/>
      <c r="K922" s="217"/>
      <c r="L922" s="217"/>
      <c r="M922" s="256"/>
      <c r="N922" s="223"/>
      <c r="O922" s="257"/>
      <c r="P922" s="235"/>
      <c r="Q922" s="262"/>
      <c r="R922" s="260"/>
      <c r="S922" s="218"/>
      <c r="T922" s="219"/>
      <c r="U922" s="30"/>
      <c r="V922" s="31"/>
      <c r="W922" s="30"/>
      <c r="X922" s="220" t="str">
        <f>IFERROR(VLOOKUP(H922,NAICS!$A$4:$B$1072,2,FALSE),"Unknown")</f>
        <v>Unknown</v>
      </c>
      <c r="Y922" s="139">
        <f t="shared" si="26"/>
        <v>0</v>
      </c>
      <c r="Z922" s="9">
        <f t="shared" si="27"/>
        <v>1</v>
      </c>
    </row>
    <row r="923" spans="1:26">
      <c r="A923"/>
      <c r="E923" s="156"/>
      <c r="F923" s="156"/>
      <c r="G923" s="238"/>
      <c r="H923" s="266"/>
      <c r="I923" s="248"/>
      <c r="J923" s="9"/>
      <c r="K923" s="217"/>
      <c r="L923" s="217"/>
      <c r="M923" s="256"/>
      <c r="N923" s="223"/>
      <c r="O923" s="257"/>
      <c r="P923" s="235"/>
      <c r="Q923" s="262"/>
      <c r="R923" s="260"/>
      <c r="S923" s="218"/>
      <c r="T923" s="219"/>
      <c r="U923" s="30"/>
      <c r="V923" s="31"/>
      <c r="W923" s="30"/>
      <c r="X923" s="220" t="str">
        <f>IFERROR(VLOOKUP(H923,NAICS!$A$4:$B$1072,2,FALSE),"Unknown")</f>
        <v>Unknown</v>
      </c>
      <c r="Y923" s="139">
        <f t="shared" si="26"/>
        <v>0</v>
      </c>
      <c r="Z923" s="9">
        <f t="shared" si="27"/>
        <v>1</v>
      </c>
    </row>
    <row r="924" spans="1:26">
      <c r="A924"/>
      <c r="E924" s="156"/>
      <c r="F924" s="156"/>
      <c r="G924" s="238"/>
      <c r="H924" s="266"/>
      <c r="I924" s="248"/>
      <c r="J924" s="9"/>
      <c r="K924" s="217"/>
      <c r="L924" s="217"/>
      <c r="M924" s="256"/>
      <c r="N924" s="223"/>
      <c r="O924" s="257"/>
      <c r="P924" s="235"/>
      <c r="Q924" s="262"/>
      <c r="R924" s="260"/>
      <c r="S924" s="218"/>
      <c r="T924" s="219"/>
      <c r="U924" s="30"/>
      <c r="V924" s="31"/>
      <c r="W924" s="30"/>
      <c r="X924" s="220" t="str">
        <f>IFERROR(VLOOKUP(H924,NAICS!$A$4:$B$1072,2,FALSE),"Unknown")</f>
        <v>Unknown</v>
      </c>
      <c r="Y924" s="139">
        <f t="shared" si="26"/>
        <v>0</v>
      </c>
      <c r="Z924" s="9">
        <f t="shared" si="27"/>
        <v>1</v>
      </c>
    </row>
    <row r="925" spans="1:26">
      <c r="A925"/>
      <c r="E925" s="156"/>
      <c r="F925" s="156"/>
      <c r="G925" s="238"/>
      <c r="H925" s="266"/>
      <c r="I925" s="248"/>
      <c r="J925" s="9"/>
      <c r="K925" s="217"/>
      <c r="L925" s="217"/>
      <c r="M925" s="256"/>
      <c r="N925" s="223"/>
      <c r="O925" s="257"/>
      <c r="P925" s="235"/>
      <c r="Q925" s="262"/>
      <c r="R925" s="260"/>
      <c r="S925" s="218"/>
      <c r="T925" s="219"/>
      <c r="U925" s="30"/>
      <c r="V925" s="31"/>
      <c r="W925" s="30"/>
      <c r="X925" s="220" t="str">
        <f>IFERROR(VLOOKUP(H925,NAICS!$A$4:$B$1072,2,FALSE),"Unknown")</f>
        <v>Unknown</v>
      </c>
      <c r="Y925" s="139">
        <f t="shared" si="26"/>
        <v>0</v>
      </c>
      <c r="Z925" s="9">
        <f t="shared" si="27"/>
        <v>1</v>
      </c>
    </row>
    <row r="926" spans="1:26">
      <c r="A926"/>
      <c r="E926" s="156"/>
      <c r="F926" s="156"/>
      <c r="G926" s="238"/>
      <c r="H926" s="266"/>
      <c r="I926" s="248"/>
      <c r="J926" s="9"/>
      <c r="K926" s="217"/>
      <c r="L926" s="217"/>
      <c r="M926" s="256"/>
      <c r="N926" s="223"/>
      <c r="O926" s="257"/>
      <c r="P926" s="235"/>
      <c r="Q926" s="262"/>
      <c r="R926" s="260"/>
      <c r="S926" s="218"/>
      <c r="T926" s="219"/>
      <c r="U926" s="30"/>
      <c r="V926" s="31"/>
      <c r="W926" s="30"/>
      <c r="X926" s="220" t="str">
        <f>IFERROR(VLOOKUP(H926,NAICS!$A$4:$B$1072,2,FALSE),"Unknown")</f>
        <v>Unknown</v>
      </c>
      <c r="Y926" s="139">
        <f t="shared" si="26"/>
        <v>0</v>
      </c>
      <c r="Z926" s="9">
        <f t="shared" si="27"/>
        <v>1</v>
      </c>
    </row>
    <row r="927" spans="1:26">
      <c r="A927"/>
      <c r="E927" s="156"/>
      <c r="F927" s="156"/>
      <c r="G927" s="238"/>
      <c r="H927" s="266"/>
      <c r="I927" s="248"/>
      <c r="J927" s="9"/>
      <c r="K927" s="217"/>
      <c r="L927" s="217"/>
      <c r="M927" s="256"/>
      <c r="N927" s="223"/>
      <c r="O927" s="257"/>
      <c r="P927" s="235"/>
      <c r="Q927" s="262"/>
      <c r="R927" s="260"/>
      <c r="S927" s="218"/>
      <c r="T927" s="219"/>
      <c r="U927" s="30"/>
      <c r="V927" s="31"/>
      <c r="W927" s="30"/>
      <c r="X927" s="220" t="str">
        <f>IFERROR(VLOOKUP(H927,NAICS!$A$4:$B$1072,2,FALSE),"Unknown")</f>
        <v>Unknown</v>
      </c>
      <c r="Y927" s="139">
        <f t="shared" si="26"/>
        <v>0</v>
      </c>
      <c r="Z927" s="9">
        <f t="shared" si="27"/>
        <v>1</v>
      </c>
    </row>
    <row r="928" spans="1:26">
      <c r="A928"/>
      <c r="E928" s="156"/>
      <c r="F928" s="156"/>
      <c r="G928" s="238"/>
      <c r="H928" s="266"/>
      <c r="I928" s="248"/>
      <c r="J928" s="9"/>
      <c r="K928" s="217"/>
      <c r="L928" s="217"/>
      <c r="M928" s="256"/>
      <c r="N928" s="223"/>
      <c r="O928" s="257"/>
      <c r="P928" s="235"/>
      <c r="Q928" s="262"/>
      <c r="R928" s="260"/>
      <c r="S928" s="218"/>
      <c r="T928" s="219"/>
      <c r="U928" s="30"/>
      <c r="V928" s="31"/>
      <c r="W928" s="30"/>
      <c r="X928" s="220" t="str">
        <f>IFERROR(VLOOKUP(H928,NAICS!$A$4:$B$1072,2,FALSE),"Unknown")</f>
        <v>Unknown</v>
      </c>
      <c r="Y928" s="139">
        <f t="shared" si="26"/>
        <v>0</v>
      </c>
      <c r="Z928" s="9">
        <f t="shared" si="27"/>
        <v>1</v>
      </c>
    </row>
    <row r="929" spans="1:26">
      <c r="A929"/>
      <c r="E929" s="156"/>
      <c r="F929" s="156"/>
      <c r="G929" s="238"/>
      <c r="H929" s="266"/>
      <c r="I929" s="248"/>
      <c r="J929" s="9"/>
      <c r="K929" s="217"/>
      <c r="L929" s="217"/>
      <c r="M929" s="256"/>
      <c r="N929" s="223"/>
      <c r="O929" s="257"/>
      <c r="P929" s="235"/>
      <c r="Q929" s="262"/>
      <c r="R929" s="260"/>
      <c r="S929" s="218"/>
      <c r="T929" s="219"/>
      <c r="U929" s="30"/>
      <c r="V929" s="31"/>
      <c r="W929" s="30"/>
      <c r="X929" s="220" t="str">
        <f>IFERROR(VLOOKUP(H929,NAICS!$A$4:$B$1072,2,FALSE),"Unknown")</f>
        <v>Unknown</v>
      </c>
      <c r="Y929" s="139">
        <f t="shared" si="26"/>
        <v>0</v>
      </c>
      <c r="Z929" s="9">
        <f t="shared" si="27"/>
        <v>1</v>
      </c>
    </row>
    <row r="930" spans="1:26">
      <c r="A930"/>
      <c r="E930" s="156"/>
      <c r="F930" s="156"/>
      <c r="G930" s="238"/>
      <c r="H930" s="266"/>
      <c r="I930" s="248"/>
      <c r="J930" s="9"/>
      <c r="K930" s="217"/>
      <c r="L930" s="217"/>
      <c r="M930" s="256"/>
      <c r="N930" s="223"/>
      <c r="O930" s="257"/>
      <c r="P930" s="235"/>
      <c r="Q930" s="262"/>
      <c r="R930" s="260"/>
      <c r="S930" s="218"/>
      <c r="T930" s="219"/>
      <c r="U930" s="30"/>
      <c r="V930" s="31"/>
      <c r="W930" s="30"/>
      <c r="X930" s="220" t="str">
        <f>IFERROR(VLOOKUP(H930,NAICS!$A$4:$B$1072,2,FALSE),"Unknown")</f>
        <v>Unknown</v>
      </c>
      <c r="Y930" s="139">
        <f t="shared" si="26"/>
        <v>0</v>
      </c>
      <c r="Z930" s="9">
        <f t="shared" si="27"/>
        <v>1</v>
      </c>
    </row>
    <row r="931" spans="1:26">
      <c r="A931"/>
      <c r="E931" s="156"/>
      <c r="F931" s="156"/>
      <c r="G931" s="238"/>
      <c r="H931" s="266"/>
      <c r="I931" s="248"/>
      <c r="J931" s="9"/>
      <c r="K931" s="217"/>
      <c r="L931" s="217"/>
      <c r="M931" s="256"/>
      <c r="N931" s="223"/>
      <c r="O931" s="257"/>
      <c r="P931" s="235"/>
      <c r="Q931" s="262"/>
      <c r="R931" s="260"/>
      <c r="S931" s="218"/>
      <c r="T931" s="219"/>
      <c r="U931" s="30"/>
      <c r="V931" s="31"/>
      <c r="W931" s="30"/>
      <c r="X931" s="220" t="str">
        <f>IFERROR(VLOOKUP(H931,NAICS!$A$4:$B$1072,2,FALSE),"Unknown")</f>
        <v>Unknown</v>
      </c>
      <c r="Y931" s="139">
        <f t="shared" si="26"/>
        <v>0</v>
      </c>
      <c r="Z931" s="9">
        <f t="shared" si="27"/>
        <v>1</v>
      </c>
    </row>
    <row r="932" spans="1:26">
      <c r="A932"/>
      <c r="E932" s="156"/>
      <c r="F932" s="156"/>
      <c r="G932" s="238"/>
      <c r="H932" s="266"/>
      <c r="I932" s="248"/>
      <c r="J932" s="9"/>
      <c r="K932" s="217"/>
      <c r="L932" s="217"/>
      <c r="M932" s="256"/>
      <c r="N932" s="223"/>
      <c r="O932" s="257"/>
      <c r="P932" s="235"/>
      <c r="Q932" s="262"/>
      <c r="R932" s="260"/>
      <c r="S932" s="218"/>
      <c r="T932" s="219"/>
      <c r="U932" s="30"/>
      <c r="V932" s="31"/>
      <c r="W932" s="30"/>
      <c r="X932" s="220" t="str">
        <f>IFERROR(VLOOKUP(H932,NAICS!$A$4:$B$1072,2,FALSE),"Unknown")</f>
        <v>Unknown</v>
      </c>
      <c r="Y932" s="139">
        <f t="shared" si="26"/>
        <v>0</v>
      </c>
      <c r="Z932" s="9">
        <f t="shared" si="27"/>
        <v>1</v>
      </c>
    </row>
    <row r="933" spans="1:26">
      <c r="A933"/>
      <c r="E933" s="156"/>
      <c r="F933" s="156"/>
      <c r="G933" s="238"/>
      <c r="H933" s="266"/>
      <c r="I933" s="248"/>
      <c r="J933" s="9"/>
      <c r="K933" s="217"/>
      <c r="L933" s="217"/>
      <c r="M933" s="256"/>
      <c r="N933" s="223"/>
      <c r="O933" s="257"/>
      <c r="P933" s="235"/>
      <c r="Q933" s="262"/>
      <c r="R933" s="260"/>
      <c r="S933" s="218"/>
      <c r="T933" s="219"/>
      <c r="U933" s="30"/>
      <c r="V933" s="31"/>
      <c r="W933" s="30"/>
      <c r="X933" s="220" t="str">
        <f>IFERROR(VLOOKUP(H933,NAICS!$A$4:$B$1072,2,FALSE),"Unknown")</f>
        <v>Unknown</v>
      </c>
      <c r="Y933" s="139">
        <f t="shared" si="26"/>
        <v>0</v>
      </c>
      <c r="Z933" s="9">
        <f t="shared" si="27"/>
        <v>1</v>
      </c>
    </row>
    <row r="934" spans="1:26">
      <c r="A934"/>
      <c r="E934" s="156"/>
      <c r="F934" s="156"/>
      <c r="G934" s="238"/>
      <c r="H934" s="266"/>
      <c r="I934" s="248"/>
      <c r="J934" s="9"/>
      <c r="K934" s="217"/>
      <c r="L934" s="217"/>
      <c r="M934" s="256"/>
      <c r="N934" s="223"/>
      <c r="O934" s="257"/>
      <c r="P934" s="235"/>
      <c r="Q934" s="262"/>
      <c r="R934" s="260"/>
      <c r="S934" s="218"/>
      <c r="T934" s="219"/>
      <c r="U934" s="30"/>
      <c r="V934" s="31"/>
      <c r="W934" s="30"/>
      <c r="X934" s="220" t="str">
        <f>IFERROR(VLOOKUP(H934,NAICS!$A$4:$B$1072,2,FALSE),"Unknown")</f>
        <v>Unknown</v>
      </c>
      <c r="Y934" s="139">
        <f t="shared" si="26"/>
        <v>0</v>
      </c>
      <c r="Z934" s="9">
        <f t="shared" si="27"/>
        <v>1</v>
      </c>
    </row>
    <row r="935" spans="1:26">
      <c r="A935"/>
      <c r="E935" s="156"/>
      <c r="F935" s="156"/>
      <c r="G935" s="238"/>
      <c r="H935" s="266"/>
      <c r="I935" s="248"/>
      <c r="J935" s="9"/>
      <c r="K935" s="217"/>
      <c r="L935" s="217"/>
      <c r="M935" s="256"/>
      <c r="N935" s="223"/>
      <c r="O935" s="257"/>
      <c r="P935" s="235"/>
      <c r="Q935" s="262"/>
      <c r="R935" s="260"/>
      <c r="S935" s="218"/>
      <c r="T935" s="219"/>
      <c r="U935" s="30"/>
      <c r="V935" s="31"/>
      <c r="W935" s="30"/>
      <c r="X935" s="220" t="str">
        <f>IFERROR(VLOOKUP(H935,NAICS!$A$4:$B$1072,2,FALSE),"Unknown")</f>
        <v>Unknown</v>
      </c>
      <c r="Y935" s="139">
        <f t="shared" si="26"/>
        <v>0</v>
      </c>
      <c r="Z935" s="9">
        <f t="shared" si="27"/>
        <v>1</v>
      </c>
    </row>
    <row r="936" spans="1:26">
      <c r="A936"/>
      <c r="E936" s="156"/>
      <c r="F936" s="156"/>
      <c r="G936" s="238"/>
      <c r="H936" s="266"/>
      <c r="I936" s="248"/>
      <c r="J936" s="9"/>
      <c r="K936" s="217"/>
      <c r="L936" s="217"/>
      <c r="M936" s="256"/>
      <c r="N936" s="223"/>
      <c r="O936" s="257"/>
      <c r="P936" s="235"/>
      <c r="Q936" s="262"/>
      <c r="R936" s="260"/>
      <c r="S936" s="218"/>
      <c r="T936" s="219"/>
      <c r="U936" s="30"/>
      <c r="V936" s="31"/>
      <c r="W936" s="30"/>
      <c r="X936" s="220" t="str">
        <f>IFERROR(VLOOKUP(H936,NAICS!$A$4:$B$1072,2,FALSE),"Unknown")</f>
        <v>Unknown</v>
      </c>
      <c r="Y936" s="139">
        <f t="shared" si="26"/>
        <v>0</v>
      </c>
      <c r="Z936" s="9">
        <f t="shared" si="27"/>
        <v>1</v>
      </c>
    </row>
    <row r="937" spans="1:26">
      <c r="A937"/>
      <c r="E937" s="156"/>
      <c r="F937" s="156"/>
      <c r="G937" s="238"/>
      <c r="H937" s="266"/>
      <c r="I937" s="248"/>
      <c r="J937" s="9"/>
      <c r="K937" s="217"/>
      <c r="L937" s="217"/>
      <c r="M937" s="256"/>
      <c r="N937" s="223"/>
      <c r="O937" s="257"/>
      <c r="P937" s="235"/>
      <c r="Q937" s="262"/>
      <c r="R937" s="260"/>
      <c r="S937" s="218"/>
      <c r="T937" s="219"/>
      <c r="U937" s="30"/>
      <c r="V937" s="31"/>
      <c r="W937" s="30"/>
      <c r="X937" s="220" t="str">
        <f>IFERROR(VLOOKUP(H937,NAICS!$A$4:$B$1072,2,FALSE),"Unknown")</f>
        <v>Unknown</v>
      </c>
      <c r="Y937" s="139">
        <f t="shared" si="26"/>
        <v>0</v>
      </c>
      <c r="Z937" s="9">
        <f t="shared" si="27"/>
        <v>1</v>
      </c>
    </row>
    <row r="938" spans="1:26">
      <c r="A938"/>
      <c r="E938" s="156"/>
      <c r="F938" s="156"/>
      <c r="G938" s="238"/>
      <c r="H938" s="266"/>
      <c r="I938" s="248"/>
      <c r="J938" s="9"/>
      <c r="K938" s="217"/>
      <c r="L938" s="217"/>
      <c r="M938" s="256"/>
      <c r="N938" s="223"/>
      <c r="O938" s="257"/>
      <c r="P938" s="235"/>
      <c r="Q938" s="262"/>
      <c r="R938" s="260"/>
      <c r="S938" s="218"/>
      <c r="T938" s="219"/>
      <c r="U938" s="30"/>
      <c r="V938" s="31"/>
      <c r="W938" s="30"/>
      <c r="X938" s="220" t="str">
        <f>IFERROR(VLOOKUP(H938,NAICS!$A$4:$B$1072,2,FALSE),"Unknown")</f>
        <v>Unknown</v>
      </c>
      <c r="Y938" s="139">
        <f t="shared" si="26"/>
        <v>0</v>
      </c>
      <c r="Z938" s="9">
        <f t="shared" si="27"/>
        <v>1</v>
      </c>
    </row>
    <row r="939" spans="1:26">
      <c r="A939"/>
      <c r="E939" s="156"/>
      <c r="F939" s="156"/>
      <c r="G939" s="238"/>
      <c r="H939" s="266"/>
      <c r="I939" s="248"/>
      <c r="J939" s="9"/>
      <c r="K939" s="217"/>
      <c r="L939" s="217"/>
      <c r="M939" s="256"/>
      <c r="N939" s="223"/>
      <c r="O939" s="257"/>
      <c r="P939" s="235"/>
      <c r="Q939" s="262"/>
      <c r="R939" s="260"/>
      <c r="S939" s="218"/>
      <c r="T939" s="219"/>
      <c r="U939" s="30"/>
      <c r="V939" s="31"/>
      <c r="W939" s="30"/>
      <c r="X939" s="220" t="str">
        <f>IFERROR(VLOOKUP(H939,NAICS!$A$4:$B$1072,2,FALSE),"Unknown")</f>
        <v>Unknown</v>
      </c>
      <c r="Y939" s="139">
        <f t="shared" si="26"/>
        <v>0</v>
      </c>
      <c r="Z939" s="9">
        <f t="shared" si="27"/>
        <v>1</v>
      </c>
    </row>
    <row r="940" spans="1:26">
      <c r="A940"/>
      <c r="E940" s="156"/>
      <c r="F940" s="156"/>
      <c r="G940" s="238"/>
      <c r="H940" s="266"/>
      <c r="I940" s="248"/>
      <c r="J940" s="9"/>
      <c r="K940" s="217"/>
      <c r="L940" s="217"/>
      <c r="M940" s="256"/>
      <c r="N940" s="223"/>
      <c r="O940" s="257"/>
      <c r="P940" s="235"/>
      <c r="Q940" s="262"/>
      <c r="R940" s="260"/>
      <c r="S940" s="218"/>
      <c r="T940" s="219"/>
      <c r="U940" s="30"/>
      <c r="V940" s="31"/>
      <c r="W940" s="30"/>
      <c r="X940" s="220" t="str">
        <f>IFERROR(VLOOKUP(H940,NAICS!$A$4:$B$1072,2,FALSE),"Unknown")</f>
        <v>Unknown</v>
      </c>
      <c r="Y940" s="139">
        <f t="shared" si="26"/>
        <v>0</v>
      </c>
      <c r="Z940" s="9">
        <f t="shared" si="27"/>
        <v>1</v>
      </c>
    </row>
    <row r="941" spans="1:26">
      <c r="A941"/>
      <c r="E941" s="156"/>
      <c r="F941" s="156"/>
      <c r="G941" s="238"/>
      <c r="H941" s="266"/>
      <c r="I941" s="248"/>
      <c r="J941" s="9"/>
      <c r="K941" s="217"/>
      <c r="L941" s="217"/>
      <c r="M941" s="256"/>
      <c r="N941" s="223"/>
      <c r="O941" s="257"/>
      <c r="P941" s="235"/>
      <c r="Q941" s="262"/>
      <c r="R941" s="260"/>
      <c r="S941" s="218"/>
      <c r="T941" s="219"/>
      <c r="U941" s="30"/>
      <c r="V941" s="31"/>
      <c r="W941" s="30"/>
      <c r="X941" s="220" t="str">
        <f>IFERROR(VLOOKUP(H941,NAICS!$A$4:$B$1072,2,FALSE),"Unknown")</f>
        <v>Unknown</v>
      </c>
      <c r="Y941" s="139">
        <f t="shared" si="26"/>
        <v>0</v>
      </c>
      <c r="Z941" s="9">
        <f t="shared" si="27"/>
        <v>1</v>
      </c>
    </row>
    <row r="942" spans="1:26">
      <c r="A942"/>
      <c r="E942" s="156"/>
      <c r="F942" s="156"/>
      <c r="G942" s="238"/>
      <c r="H942" s="266"/>
      <c r="I942" s="248"/>
      <c r="J942" s="9"/>
      <c r="K942" s="217"/>
      <c r="L942" s="217"/>
      <c r="M942" s="256"/>
      <c r="N942" s="223"/>
      <c r="O942" s="257"/>
      <c r="P942" s="235"/>
      <c r="Q942" s="262"/>
      <c r="R942" s="260"/>
      <c r="S942" s="218"/>
      <c r="T942" s="219"/>
      <c r="U942" s="30"/>
      <c r="V942" s="31"/>
      <c r="W942" s="30"/>
      <c r="X942" s="220" t="str">
        <f>IFERROR(VLOOKUP(H942,NAICS!$A$4:$B$1072,2,FALSE),"Unknown")</f>
        <v>Unknown</v>
      </c>
      <c r="Y942" s="139">
        <f t="shared" si="26"/>
        <v>0</v>
      </c>
      <c r="Z942" s="9">
        <f t="shared" si="27"/>
        <v>1</v>
      </c>
    </row>
    <row r="943" spans="1:26">
      <c r="A943"/>
      <c r="E943" s="156"/>
      <c r="F943" s="156"/>
      <c r="G943" s="238"/>
      <c r="H943" s="266"/>
      <c r="I943" s="248"/>
      <c r="J943" s="9"/>
      <c r="K943" s="217"/>
      <c r="L943" s="217"/>
      <c r="M943" s="256"/>
      <c r="N943" s="223"/>
      <c r="O943" s="257"/>
      <c r="P943" s="235"/>
      <c r="Q943" s="262"/>
      <c r="R943" s="260"/>
      <c r="S943" s="218"/>
      <c r="T943" s="219"/>
      <c r="U943" s="30"/>
      <c r="V943" s="31"/>
      <c r="W943" s="30"/>
      <c r="X943" s="220" t="str">
        <f>IFERROR(VLOOKUP(H943,NAICS!$A$4:$B$1072,2,FALSE),"Unknown")</f>
        <v>Unknown</v>
      </c>
      <c r="Y943" s="139">
        <f t="shared" si="26"/>
        <v>0</v>
      </c>
      <c r="Z943" s="9">
        <f t="shared" si="27"/>
        <v>1</v>
      </c>
    </row>
    <row r="944" spans="1:26">
      <c r="A944"/>
      <c r="E944" s="156"/>
      <c r="F944" s="156"/>
      <c r="G944" s="238"/>
      <c r="H944" s="266"/>
      <c r="I944" s="248"/>
      <c r="J944" s="9"/>
      <c r="K944" s="217"/>
      <c r="L944" s="217"/>
      <c r="M944" s="256"/>
      <c r="N944" s="223"/>
      <c r="O944" s="257"/>
      <c r="P944" s="235"/>
      <c r="Q944" s="262"/>
      <c r="R944" s="260"/>
      <c r="S944" s="218"/>
      <c r="T944" s="219"/>
      <c r="U944" s="30"/>
      <c r="V944" s="31"/>
      <c r="W944" s="30"/>
      <c r="X944" s="220" t="str">
        <f>IFERROR(VLOOKUP(H944,NAICS!$A$4:$B$1072,2,FALSE),"Unknown")</f>
        <v>Unknown</v>
      </c>
      <c r="Y944" s="139">
        <f t="shared" si="26"/>
        <v>0</v>
      </c>
      <c r="Z944" s="9">
        <f t="shared" si="27"/>
        <v>1</v>
      </c>
    </row>
    <row r="945" spans="1:26">
      <c r="A945"/>
      <c r="E945" s="156"/>
      <c r="F945" s="156"/>
      <c r="G945" s="238"/>
      <c r="H945" s="266"/>
      <c r="I945" s="248"/>
      <c r="J945" s="9"/>
      <c r="K945" s="217"/>
      <c r="L945" s="217"/>
      <c r="M945" s="256"/>
      <c r="N945" s="223"/>
      <c r="O945" s="257"/>
      <c r="P945" s="235"/>
      <c r="Q945" s="262"/>
      <c r="R945" s="260"/>
      <c r="S945" s="218"/>
      <c r="T945" s="219"/>
      <c r="U945" s="30"/>
      <c r="V945" s="31"/>
      <c r="W945" s="30"/>
      <c r="X945" s="220" t="str">
        <f>IFERROR(VLOOKUP(H945,NAICS!$A$4:$B$1072,2,FALSE),"Unknown")</f>
        <v>Unknown</v>
      </c>
      <c r="Y945" s="139">
        <f t="shared" si="26"/>
        <v>0</v>
      </c>
      <c r="Z945" s="9">
        <f t="shared" si="27"/>
        <v>1</v>
      </c>
    </row>
    <row r="946" spans="1:26">
      <c r="A946"/>
      <c r="E946" s="156"/>
      <c r="F946" s="156"/>
      <c r="G946" s="238"/>
      <c r="H946" s="266"/>
      <c r="I946" s="248"/>
      <c r="J946" s="9"/>
      <c r="K946" s="217"/>
      <c r="L946" s="217"/>
      <c r="M946" s="256"/>
      <c r="N946" s="223"/>
      <c r="O946" s="257"/>
      <c r="P946" s="235"/>
      <c r="Q946" s="262"/>
      <c r="R946" s="260"/>
      <c r="S946" s="218"/>
      <c r="T946" s="219"/>
      <c r="U946" s="30"/>
      <c r="V946" s="31"/>
      <c r="W946" s="30"/>
      <c r="X946" s="220" t="str">
        <f>IFERROR(VLOOKUP(H946,NAICS!$A$4:$B$1072,2,FALSE),"Unknown")</f>
        <v>Unknown</v>
      </c>
      <c r="Y946" s="139">
        <f t="shared" si="26"/>
        <v>0</v>
      </c>
      <c r="Z946" s="9">
        <f t="shared" si="27"/>
        <v>1</v>
      </c>
    </row>
    <row r="947" spans="1:26">
      <c r="A947"/>
      <c r="E947" s="156"/>
      <c r="F947" s="156"/>
      <c r="G947" s="238"/>
      <c r="H947" s="266"/>
      <c r="I947" s="248"/>
      <c r="J947" s="9"/>
      <c r="K947" s="217"/>
      <c r="L947" s="217"/>
      <c r="M947" s="256"/>
      <c r="N947" s="223"/>
      <c r="O947" s="257"/>
      <c r="P947" s="235"/>
      <c r="Q947" s="262"/>
      <c r="R947" s="260"/>
      <c r="S947" s="218"/>
      <c r="T947" s="219"/>
      <c r="U947" s="30"/>
      <c r="V947" s="31"/>
      <c r="W947" s="30"/>
      <c r="X947" s="220" t="str">
        <f>IFERROR(VLOOKUP(H947,NAICS!$A$4:$B$1072,2,FALSE),"Unknown")</f>
        <v>Unknown</v>
      </c>
      <c r="Y947" s="139">
        <f t="shared" si="26"/>
        <v>0</v>
      </c>
      <c r="Z947" s="9">
        <f t="shared" si="27"/>
        <v>1</v>
      </c>
    </row>
    <row r="948" spans="1:26">
      <c r="A948"/>
      <c r="E948" s="156"/>
      <c r="F948" s="156"/>
      <c r="G948" s="238"/>
      <c r="H948" s="266"/>
      <c r="I948" s="248"/>
      <c r="J948" s="9"/>
      <c r="K948" s="217"/>
      <c r="L948" s="217"/>
      <c r="M948" s="256"/>
      <c r="N948" s="223"/>
      <c r="O948" s="257"/>
      <c r="P948" s="235"/>
      <c r="Q948" s="262"/>
      <c r="R948" s="260"/>
      <c r="S948" s="218"/>
      <c r="T948" s="219"/>
      <c r="U948" s="30"/>
      <c r="V948" s="31"/>
      <c r="W948" s="30"/>
      <c r="X948" s="220" t="str">
        <f>IFERROR(VLOOKUP(H948,NAICS!$A$4:$B$1072,2,FALSE),"Unknown")</f>
        <v>Unknown</v>
      </c>
      <c r="Y948" s="139">
        <f t="shared" si="26"/>
        <v>0</v>
      </c>
      <c r="Z948" s="9">
        <f t="shared" si="27"/>
        <v>1</v>
      </c>
    </row>
    <row r="949" spans="1:26">
      <c r="A949"/>
      <c r="E949" s="156"/>
      <c r="F949" s="156"/>
      <c r="G949" s="238"/>
      <c r="H949" s="266"/>
      <c r="I949" s="248"/>
      <c r="J949" s="9"/>
      <c r="K949" s="217"/>
      <c r="L949" s="217"/>
      <c r="M949" s="256"/>
      <c r="N949" s="223"/>
      <c r="O949" s="257"/>
      <c r="P949" s="235"/>
      <c r="Q949" s="262"/>
      <c r="R949" s="260"/>
      <c r="S949" s="218"/>
      <c r="T949" s="219"/>
      <c r="U949" s="30"/>
      <c r="V949" s="31"/>
      <c r="W949" s="30"/>
      <c r="X949" s="220" t="str">
        <f>IFERROR(VLOOKUP(H949,NAICS!$A$4:$B$1072,2,FALSE),"Unknown")</f>
        <v>Unknown</v>
      </c>
      <c r="Y949" s="139">
        <f t="shared" si="26"/>
        <v>0</v>
      </c>
      <c r="Z949" s="9">
        <f t="shared" si="27"/>
        <v>1</v>
      </c>
    </row>
    <row r="950" spans="1:26">
      <c r="A950"/>
      <c r="E950" s="156"/>
      <c r="F950" s="156"/>
      <c r="G950" s="238"/>
      <c r="H950" s="266"/>
      <c r="I950" s="248"/>
      <c r="J950" s="9"/>
      <c r="K950" s="217"/>
      <c r="L950" s="217"/>
      <c r="M950" s="256"/>
      <c r="N950" s="223"/>
      <c r="O950" s="257"/>
      <c r="P950" s="235"/>
      <c r="Q950" s="262"/>
      <c r="R950" s="260"/>
      <c r="S950" s="218"/>
      <c r="T950" s="219"/>
      <c r="U950" s="30"/>
      <c r="V950" s="31"/>
      <c r="W950" s="30"/>
      <c r="X950" s="220" t="str">
        <f>IFERROR(VLOOKUP(H950,NAICS!$A$4:$B$1072,2,FALSE),"Unknown")</f>
        <v>Unknown</v>
      </c>
      <c r="Y950" s="139">
        <f t="shared" si="26"/>
        <v>0</v>
      </c>
      <c r="Z950" s="9">
        <f t="shared" si="27"/>
        <v>1</v>
      </c>
    </row>
    <row r="951" spans="1:26">
      <c r="A951"/>
      <c r="E951" s="156"/>
      <c r="F951" s="156"/>
      <c r="G951" s="238"/>
      <c r="H951" s="266"/>
      <c r="I951" s="248"/>
      <c r="J951" s="9"/>
      <c r="K951" s="217"/>
      <c r="L951" s="217"/>
      <c r="M951" s="256"/>
      <c r="N951" s="223"/>
      <c r="O951" s="257"/>
      <c r="P951" s="235"/>
      <c r="Q951" s="262"/>
      <c r="R951" s="260"/>
      <c r="S951" s="218"/>
      <c r="T951" s="219"/>
      <c r="U951" s="30"/>
      <c r="V951" s="31"/>
      <c r="W951" s="30"/>
      <c r="X951" s="220" t="str">
        <f>IFERROR(VLOOKUP(H951,NAICS!$A$4:$B$1072,2,FALSE),"Unknown")</f>
        <v>Unknown</v>
      </c>
      <c r="Y951" s="139">
        <f t="shared" si="26"/>
        <v>0</v>
      </c>
      <c r="Z951" s="9">
        <f t="shared" si="27"/>
        <v>1</v>
      </c>
    </row>
    <row r="952" spans="1:26">
      <c r="A952"/>
      <c r="E952" s="156"/>
      <c r="F952" s="156"/>
      <c r="G952" s="238"/>
      <c r="H952" s="266"/>
      <c r="I952" s="248"/>
      <c r="J952" s="9"/>
      <c r="K952" s="217"/>
      <c r="L952" s="217"/>
      <c r="M952" s="256"/>
      <c r="N952" s="223"/>
      <c r="O952" s="257"/>
      <c r="P952" s="235"/>
      <c r="Q952" s="262"/>
      <c r="R952" s="260"/>
      <c r="S952" s="218"/>
      <c r="T952" s="219"/>
      <c r="U952" s="30"/>
      <c r="V952" s="31"/>
      <c r="W952" s="30"/>
      <c r="X952" s="220" t="str">
        <f>IFERROR(VLOOKUP(H952,NAICS!$A$4:$B$1072,2,FALSE),"Unknown")</f>
        <v>Unknown</v>
      </c>
      <c r="Y952" s="139">
        <f t="shared" si="26"/>
        <v>0</v>
      </c>
      <c r="Z952" s="9">
        <f t="shared" si="27"/>
        <v>1</v>
      </c>
    </row>
    <row r="953" spans="1:26">
      <c r="A953"/>
      <c r="E953" s="156"/>
      <c r="F953" s="156"/>
      <c r="G953" s="238"/>
      <c r="H953" s="266"/>
      <c r="I953" s="248"/>
      <c r="J953" s="9"/>
      <c r="K953" s="217"/>
      <c r="L953" s="217"/>
      <c r="M953" s="256"/>
      <c r="N953" s="223"/>
      <c r="O953" s="257"/>
      <c r="P953" s="235"/>
      <c r="Q953" s="262"/>
      <c r="R953" s="260"/>
      <c r="S953" s="218"/>
      <c r="T953" s="219"/>
      <c r="U953" s="30"/>
      <c r="V953" s="31"/>
      <c r="W953" s="30"/>
      <c r="X953" s="220" t="str">
        <f>IFERROR(VLOOKUP(H953,NAICS!$A$4:$B$1072,2,FALSE),"Unknown")</f>
        <v>Unknown</v>
      </c>
      <c r="Y953" s="139">
        <f t="shared" si="26"/>
        <v>0</v>
      </c>
      <c r="Z953" s="9">
        <f t="shared" si="27"/>
        <v>1</v>
      </c>
    </row>
    <row r="954" spans="1:26">
      <c r="A954"/>
      <c r="E954" s="156"/>
      <c r="F954" s="156"/>
      <c r="G954" s="238"/>
      <c r="H954" s="266"/>
      <c r="I954" s="248"/>
      <c r="J954" s="9"/>
      <c r="K954" s="217"/>
      <c r="L954" s="217"/>
      <c r="M954" s="256"/>
      <c r="N954" s="223"/>
      <c r="O954" s="257"/>
      <c r="P954" s="235"/>
      <c r="Q954" s="262"/>
      <c r="R954" s="260"/>
      <c r="S954" s="218"/>
      <c r="T954" s="219"/>
      <c r="U954" s="30"/>
      <c r="V954" s="31"/>
      <c r="W954" s="30"/>
      <c r="X954" s="220" t="str">
        <f>IFERROR(VLOOKUP(H954,NAICS!$A$4:$B$1072,2,FALSE),"Unknown")</f>
        <v>Unknown</v>
      </c>
      <c r="Y954" s="139">
        <f t="shared" si="26"/>
        <v>0</v>
      </c>
      <c r="Z954" s="9">
        <f t="shared" si="27"/>
        <v>1</v>
      </c>
    </row>
    <row r="955" spans="1:26">
      <c r="A955"/>
      <c r="E955" s="156"/>
      <c r="F955" s="156"/>
      <c r="G955" s="238"/>
      <c r="H955" s="266"/>
      <c r="I955" s="248"/>
      <c r="J955" s="9"/>
      <c r="K955" s="217"/>
      <c r="L955" s="217"/>
      <c r="M955" s="256"/>
      <c r="N955" s="223"/>
      <c r="O955" s="257"/>
      <c r="P955" s="235"/>
      <c r="Q955" s="262"/>
      <c r="R955" s="260"/>
      <c r="S955" s="218"/>
      <c r="T955" s="219"/>
      <c r="U955" s="30"/>
      <c r="V955" s="31"/>
      <c r="W955" s="30"/>
      <c r="X955" s="220" t="str">
        <f>IFERROR(VLOOKUP(H955,NAICS!$A$4:$B$1072,2,FALSE),"Unknown")</f>
        <v>Unknown</v>
      </c>
      <c r="Y955" s="139">
        <f t="shared" si="26"/>
        <v>0</v>
      </c>
      <c r="Z955" s="9">
        <f t="shared" si="27"/>
        <v>1</v>
      </c>
    </row>
    <row r="956" spans="1:26">
      <c r="A956"/>
      <c r="E956" s="156"/>
      <c r="F956" s="156"/>
      <c r="G956" s="238"/>
      <c r="H956" s="266"/>
      <c r="I956" s="248"/>
      <c r="J956" s="9"/>
      <c r="K956" s="217"/>
      <c r="L956" s="217"/>
      <c r="M956" s="256"/>
      <c r="N956" s="223"/>
      <c r="O956" s="257"/>
      <c r="P956" s="235"/>
      <c r="Q956" s="262"/>
      <c r="R956" s="260"/>
      <c r="S956" s="218"/>
      <c r="T956" s="219"/>
      <c r="U956" s="30"/>
      <c r="V956" s="31"/>
      <c r="W956" s="30"/>
      <c r="X956" s="220" t="str">
        <f>IFERROR(VLOOKUP(H956,NAICS!$A$4:$B$1072,2,FALSE),"Unknown")</f>
        <v>Unknown</v>
      </c>
      <c r="Y956" s="139">
        <f t="shared" si="26"/>
        <v>0</v>
      </c>
      <c r="Z956" s="9">
        <f t="shared" si="27"/>
        <v>1</v>
      </c>
    </row>
    <row r="957" spans="1:26">
      <c r="A957"/>
      <c r="E957" s="156"/>
      <c r="F957" s="156"/>
      <c r="G957" s="238"/>
      <c r="H957" s="266"/>
      <c r="I957" s="248"/>
      <c r="J957" s="9"/>
      <c r="K957" s="217"/>
      <c r="L957" s="217"/>
      <c r="M957" s="256"/>
      <c r="N957" s="223"/>
      <c r="O957" s="257"/>
      <c r="P957" s="235"/>
      <c r="Q957" s="262"/>
      <c r="R957" s="260"/>
      <c r="S957" s="218"/>
      <c r="T957" s="219"/>
      <c r="U957" s="30"/>
      <c r="V957" s="31"/>
      <c r="W957" s="30"/>
      <c r="X957" s="220" t="str">
        <f>IFERROR(VLOOKUP(H957,NAICS!$A$4:$B$1072,2,FALSE),"Unknown")</f>
        <v>Unknown</v>
      </c>
      <c r="Y957" s="139">
        <f t="shared" si="26"/>
        <v>0</v>
      </c>
      <c r="Z957" s="9">
        <f t="shared" si="27"/>
        <v>1</v>
      </c>
    </row>
    <row r="958" spans="1:26">
      <c r="A958"/>
      <c r="E958" s="262"/>
      <c r="F958" s="262"/>
      <c r="G958" s="238"/>
      <c r="H958" s="263"/>
      <c r="I958" s="248"/>
      <c r="J958" s="9"/>
      <c r="K958" s="217"/>
      <c r="L958" s="217"/>
      <c r="M958" s="256"/>
      <c r="N958" s="223"/>
      <c r="O958" s="257"/>
      <c r="P958" s="235"/>
      <c r="Q958" s="262"/>
      <c r="R958" s="260"/>
      <c r="S958" s="218"/>
      <c r="T958" s="219"/>
      <c r="U958" s="30"/>
      <c r="V958" s="31"/>
      <c r="W958" s="30"/>
      <c r="X958" s="220" t="str">
        <f>IFERROR(VLOOKUP(H958,NAICS!$A$4:$B$1072,2,FALSE),"Unknown")</f>
        <v>Unknown</v>
      </c>
      <c r="Y958" s="139">
        <f t="shared" si="26"/>
        <v>0</v>
      </c>
      <c r="Z958" s="9">
        <f t="shared" si="27"/>
        <v>1</v>
      </c>
    </row>
    <row r="959" spans="1:26">
      <c r="A959"/>
      <c r="E959" s="262"/>
      <c r="F959" s="262"/>
      <c r="G959" s="238"/>
      <c r="H959" s="263"/>
      <c r="I959" s="248"/>
      <c r="J959" s="9"/>
      <c r="K959" s="217"/>
      <c r="L959" s="217"/>
      <c r="M959" s="256"/>
      <c r="N959" s="223"/>
      <c r="O959" s="257"/>
      <c r="P959" s="235"/>
      <c r="Q959" s="262"/>
      <c r="R959" s="260"/>
      <c r="S959" s="218"/>
      <c r="T959" s="219"/>
      <c r="U959" s="30"/>
      <c r="V959" s="31"/>
      <c r="W959" s="30"/>
      <c r="X959" s="220" t="str">
        <f>IFERROR(VLOOKUP(H959,NAICS!$A$4:$B$1072,2,FALSE),"Unknown")</f>
        <v>Unknown</v>
      </c>
      <c r="Y959" s="139">
        <f t="shared" si="26"/>
        <v>0</v>
      </c>
      <c r="Z959" s="9">
        <f t="shared" si="27"/>
        <v>1</v>
      </c>
    </row>
    <row r="960" spans="1:26">
      <c r="A960"/>
      <c r="E960" s="262"/>
      <c r="F960" s="262"/>
      <c r="G960" s="238"/>
      <c r="H960" s="263"/>
      <c r="I960" s="248"/>
      <c r="J960" s="9"/>
      <c r="K960" s="217"/>
      <c r="L960" s="217"/>
      <c r="M960" s="256"/>
      <c r="N960" s="223"/>
      <c r="O960" s="257"/>
      <c r="P960" s="235"/>
      <c r="Q960" s="262"/>
      <c r="R960" s="260"/>
      <c r="S960" s="218"/>
      <c r="T960" s="219"/>
      <c r="U960" s="30"/>
      <c r="V960" s="31"/>
      <c r="W960" s="30"/>
      <c r="X960" s="220" t="str">
        <f>IFERROR(VLOOKUP(H960,NAICS!$A$4:$B$1072,2,FALSE),"Unknown")</f>
        <v>Unknown</v>
      </c>
      <c r="Y960" s="139">
        <f t="shared" si="26"/>
        <v>0</v>
      </c>
      <c r="Z960" s="9">
        <f t="shared" si="27"/>
        <v>1</v>
      </c>
    </row>
    <row r="961" spans="1:26">
      <c r="A961"/>
      <c r="E961" s="262"/>
      <c r="F961" s="262"/>
      <c r="G961" s="238"/>
      <c r="H961" s="263"/>
      <c r="I961" s="248"/>
      <c r="J961" s="9"/>
      <c r="K961" s="217"/>
      <c r="L961" s="217"/>
      <c r="M961" s="256"/>
      <c r="N961" s="223"/>
      <c r="O961" s="257"/>
      <c r="P961" s="235"/>
      <c r="Q961" s="262"/>
      <c r="R961" s="260"/>
      <c r="S961" s="218"/>
      <c r="T961" s="219"/>
      <c r="U961" s="30"/>
      <c r="V961" s="31"/>
      <c r="W961" s="30"/>
      <c r="X961" s="220" t="str">
        <f>IFERROR(VLOOKUP(H961,NAICS!$A$4:$B$1072,2,FALSE),"Unknown")</f>
        <v>Unknown</v>
      </c>
      <c r="Y961" s="139">
        <f t="shared" si="26"/>
        <v>0</v>
      </c>
      <c r="Z961" s="9">
        <f t="shared" si="27"/>
        <v>1</v>
      </c>
    </row>
    <row r="962" spans="1:26">
      <c r="A962"/>
      <c r="E962" s="262"/>
      <c r="F962" s="262"/>
      <c r="G962" s="238"/>
      <c r="H962" s="263"/>
      <c r="I962" s="248"/>
      <c r="J962" s="9"/>
      <c r="K962" s="217"/>
      <c r="L962" s="217"/>
      <c r="M962" s="256"/>
      <c r="N962" s="223"/>
      <c r="O962" s="257"/>
      <c r="P962" s="235"/>
      <c r="Q962" s="262"/>
      <c r="R962" s="260"/>
      <c r="S962" s="218"/>
      <c r="T962" s="219"/>
      <c r="U962" s="30"/>
      <c r="V962" s="31"/>
      <c r="W962" s="30"/>
      <c r="X962" s="220" t="str">
        <f>IFERROR(VLOOKUP(H962,NAICS!$A$4:$B$1072,2,FALSE),"Unknown")</f>
        <v>Unknown</v>
      </c>
      <c r="Y962" s="139">
        <f t="shared" si="26"/>
        <v>0</v>
      </c>
      <c r="Z962" s="9">
        <f t="shared" si="27"/>
        <v>1</v>
      </c>
    </row>
    <row r="963" spans="1:26">
      <c r="A963"/>
      <c r="E963" s="262"/>
      <c r="F963" s="262"/>
      <c r="G963" s="238"/>
      <c r="H963" s="263"/>
      <c r="I963" s="248"/>
      <c r="J963" s="9"/>
      <c r="K963" s="217"/>
      <c r="L963" s="217"/>
      <c r="M963" s="256"/>
      <c r="N963" s="223"/>
      <c r="O963" s="257"/>
      <c r="P963" s="235"/>
      <c r="Q963" s="262"/>
      <c r="R963" s="260"/>
      <c r="S963" s="218"/>
      <c r="T963" s="219"/>
      <c r="U963" s="30"/>
      <c r="V963" s="31"/>
      <c r="W963" s="30"/>
      <c r="X963" s="220" t="str">
        <f>IFERROR(VLOOKUP(H963,NAICS!$A$4:$B$1072,2,FALSE),"Unknown")</f>
        <v>Unknown</v>
      </c>
      <c r="Y963" s="139">
        <f t="shared" si="26"/>
        <v>0</v>
      </c>
      <c r="Z963" s="9">
        <f t="shared" si="27"/>
        <v>1</v>
      </c>
    </row>
    <row r="964" spans="1:26">
      <c r="A964"/>
      <c r="E964" s="262"/>
      <c r="F964" s="262"/>
      <c r="G964" s="238"/>
      <c r="H964" s="263"/>
      <c r="I964" s="248"/>
      <c r="J964" s="9"/>
      <c r="K964" s="217"/>
      <c r="L964" s="217"/>
      <c r="M964" s="256"/>
      <c r="N964" s="223"/>
      <c r="O964" s="257"/>
      <c r="P964" s="235"/>
      <c r="Q964" s="262"/>
      <c r="R964" s="260"/>
      <c r="S964" s="218"/>
      <c r="T964" s="219"/>
      <c r="U964" s="30"/>
      <c r="V964" s="31"/>
      <c r="W964" s="30"/>
      <c r="X964" s="220" t="str">
        <f>IFERROR(VLOOKUP(H964,NAICS!$A$4:$B$1072,2,FALSE),"Unknown")</f>
        <v>Unknown</v>
      </c>
      <c r="Y964" s="139">
        <f t="shared" si="26"/>
        <v>0</v>
      </c>
      <c r="Z964" s="9">
        <f t="shared" si="27"/>
        <v>1</v>
      </c>
    </row>
    <row r="965" spans="1:26">
      <c r="A965"/>
      <c r="E965" s="262"/>
      <c r="F965" s="262"/>
      <c r="G965" s="238"/>
      <c r="H965" s="263"/>
      <c r="I965" s="248"/>
      <c r="J965" s="9"/>
      <c r="K965" s="217"/>
      <c r="L965" s="217"/>
      <c r="M965" s="256"/>
      <c r="N965" s="223"/>
      <c r="O965" s="257"/>
      <c r="P965" s="235"/>
      <c r="Q965" s="262"/>
      <c r="R965" s="260"/>
      <c r="S965" s="218"/>
      <c r="T965" s="219"/>
      <c r="U965" s="30"/>
      <c r="V965" s="31"/>
      <c r="W965" s="30"/>
      <c r="X965" s="220" t="str">
        <f>IFERROR(VLOOKUP(H965,NAICS!$A$4:$B$1072,2,FALSE),"Unknown")</f>
        <v>Unknown</v>
      </c>
      <c r="Y965" s="139">
        <f t="shared" si="26"/>
        <v>0</v>
      </c>
      <c r="Z965" s="9">
        <f t="shared" si="27"/>
        <v>1</v>
      </c>
    </row>
    <row r="966" spans="1:26">
      <c r="A966"/>
      <c r="E966" s="262"/>
      <c r="F966" s="262"/>
      <c r="G966" s="238"/>
      <c r="H966" s="263"/>
      <c r="I966" s="248"/>
      <c r="J966" s="9"/>
      <c r="K966" s="217"/>
      <c r="L966" s="217"/>
      <c r="M966" s="256"/>
      <c r="N966" s="223"/>
      <c r="O966" s="257"/>
      <c r="P966" s="235"/>
      <c r="Q966" s="262"/>
      <c r="R966" s="260"/>
      <c r="S966" s="218"/>
      <c r="T966" s="219"/>
      <c r="U966" s="30"/>
      <c r="V966" s="31"/>
      <c r="W966" s="30"/>
      <c r="X966" s="220" t="str">
        <f>IFERROR(VLOOKUP(H966,NAICS!$A$4:$B$1072,2,FALSE),"Unknown")</f>
        <v>Unknown</v>
      </c>
      <c r="Y966" s="139">
        <f t="shared" si="26"/>
        <v>0</v>
      </c>
      <c r="Z966" s="9">
        <f t="shared" si="27"/>
        <v>1</v>
      </c>
    </row>
    <row r="967" spans="1:26">
      <c r="A967"/>
      <c r="E967" s="156"/>
      <c r="F967" s="156"/>
      <c r="G967" s="238"/>
      <c r="H967" s="266"/>
      <c r="I967" s="248"/>
      <c r="J967" s="9"/>
      <c r="K967" s="217"/>
      <c r="L967" s="217"/>
      <c r="M967" s="256"/>
      <c r="N967" s="223"/>
      <c r="O967" s="257"/>
      <c r="P967" s="235"/>
      <c r="Q967" s="262"/>
      <c r="R967" s="260"/>
      <c r="S967" s="218"/>
      <c r="T967" s="219"/>
      <c r="U967" s="30"/>
      <c r="V967" s="31"/>
      <c r="W967" s="30"/>
      <c r="X967" s="220" t="str">
        <f>IFERROR(VLOOKUP(H967,NAICS!$A$4:$B$1072,2,FALSE),"Unknown")</f>
        <v>Unknown</v>
      </c>
      <c r="Y967" s="139">
        <f t="shared" si="26"/>
        <v>0</v>
      </c>
      <c r="Z967" s="9">
        <f t="shared" si="27"/>
        <v>1</v>
      </c>
    </row>
    <row r="968" spans="1:26">
      <c r="A968"/>
      <c r="E968" s="156"/>
      <c r="F968" s="156"/>
      <c r="G968" s="238"/>
      <c r="H968" s="266"/>
      <c r="I968" s="248"/>
      <c r="J968" s="9"/>
      <c r="K968" s="217"/>
      <c r="L968" s="217"/>
      <c r="M968" s="256"/>
      <c r="N968" s="223"/>
      <c r="O968" s="257"/>
      <c r="P968" s="235"/>
      <c r="Q968" s="262"/>
      <c r="R968" s="260"/>
      <c r="S968" s="218"/>
      <c r="T968" s="219"/>
      <c r="U968" s="30"/>
      <c r="V968" s="31"/>
      <c r="W968" s="30"/>
      <c r="X968" s="220" t="str">
        <f>IFERROR(VLOOKUP(H968,NAICS!$A$4:$B$1072,2,FALSE),"Unknown")</f>
        <v>Unknown</v>
      </c>
      <c r="Y968" s="139">
        <f t="shared" si="26"/>
        <v>0</v>
      </c>
      <c r="Z968" s="9">
        <f t="shared" si="27"/>
        <v>1</v>
      </c>
    </row>
    <row r="969" spans="1:26">
      <c r="A969"/>
      <c r="E969" s="156"/>
      <c r="F969" s="156"/>
      <c r="G969" s="238"/>
      <c r="H969" s="266"/>
      <c r="I969" s="248"/>
      <c r="J969" s="9"/>
      <c r="K969" s="217"/>
      <c r="L969" s="217"/>
      <c r="M969" s="256"/>
      <c r="N969" s="223"/>
      <c r="O969" s="257"/>
      <c r="P969" s="235"/>
      <c r="Q969" s="262"/>
      <c r="R969" s="260"/>
      <c r="S969" s="218"/>
      <c r="T969" s="219"/>
      <c r="U969" s="30"/>
      <c r="V969" s="31"/>
      <c r="W969" s="30"/>
      <c r="X969" s="220" t="str">
        <f>IFERROR(VLOOKUP(H969,NAICS!$A$4:$B$1072,2,FALSE),"Unknown")</f>
        <v>Unknown</v>
      </c>
      <c r="Y969" s="139">
        <f t="shared" si="26"/>
        <v>0</v>
      </c>
      <c r="Z969" s="9">
        <f t="shared" si="27"/>
        <v>1</v>
      </c>
    </row>
    <row r="970" spans="1:26">
      <c r="A970"/>
      <c r="E970" s="156"/>
      <c r="F970" s="156"/>
      <c r="G970" s="238"/>
      <c r="H970" s="266"/>
      <c r="I970" s="248"/>
      <c r="J970" s="9"/>
      <c r="K970" s="217"/>
      <c r="L970" s="217"/>
      <c r="M970" s="256"/>
      <c r="N970" s="223"/>
      <c r="O970" s="257"/>
      <c r="P970" s="235"/>
      <c r="Q970" s="262"/>
      <c r="R970" s="260"/>
      <c r="S970" s="218"/>
      <c r="T970" s="219"/>
      <c r="U970" s="30"/>
      <c r="V970" s="31"/>
      <c r="W970" s="30"/>
      <c r="X970" s="220" t="str">
        <f>IFERROR(VLOOKUP(H970,NAICS!$A$4:$B$1072,2,FALSE),"Unknown")</f>
        <v>Unknown</v>
      </c>
      <c r="Y970" s="139">
        <f t="shared" si="26"/>
        <v>0</v>
      </c>
      <c r="Z970" s="9">
        <f t="shared" si="27"/>
        <v>1</v>
      </c>
    </row>
    <row r="971" spans="1:26">
      <c r="A971"/>
      <c r="E971" s="262"/>
      <c r="F971" s="262"/>
      <c r="G971" s="238"/>
      <c r="H971" s="263"/>
      <c r="I971" s="248"/>
      <c r="J971" s="9"/>
      <c r="K971" s="217"/>
      <c r="L971" s="217"/>
      <c r="M971" s="256"/>
      <c r="N971" s="223"/>
      <c r="O971" s="257"/>
      <c r="P971" s="235"/>
      <c r="Q971" s="262"/>
      <c r="R971" s="260"/>
      <c r="S971" s="218"/>
      <c r="T971" s="219"/>
      <c r="U971" s="30"/>
      <c r="V971" s="31"/>
      <c r="W971" s="30"/>
      <c r="X971" s="220" t="str">
        <f>IFERROR(VLOOKUP(H971,NAICS!$A$4:$B$1072,2,FALSE),"Unknown")</f>
        <v>Unknown</v>
      </c>
      <c r="Y971" s="139">
        <f t="shared" si="26"/>
        <v>0</v>
      </c>
      <c r="Z971" s="9">
        <f t="shared" si="27"/>
        <v>1</v>
      </c>
    </row>
    <row r="972" spans="1:26">
      <c r="A972"/>
      <c r="E972" s="262"/>
      <c r="F972" s="262"/>
      <c r="G972" s="238"/>
      <c r="H972" s="263"/>
      <c r="I972" s="248"/>
      <c r="J972" s="9"/>
      <c r="K972" s="217"/>
      <c r="L972" s="217"/>
      <c r="M972" s="256"/>
      <c r="N972" s="223"/>
      <c r="O972" s="257"/>
      <c r="P972" s="235"/>
      <c r="Q972" s="262"/>
      <c r="R972" s="260"/>
      <c r="S972" s="218"/>
      <c r="T972" s="219"/>
      <c r="U972" s="30"/>
      <c r="V972" s="31"/>
      <c r="W972" s="30"/>
      <c r="X972" s="220" t="str">
        <f>IFERROR(VLOOKUP(H972,NAICS!$A$4:$B$1072,2,FALSE),"Unknown")</f>
        <v>Unknown</v>
      </c>
      <c r="Y972" s="139">
        <f t="shared" si="26"/>
        <v>0</v>
      </c>
      <c r="Z972" s="9">
        <f t="shared" si="27"/>
        <v>1</v>
      </c>
    </row>
    <row r="973" spans="1:26">
      <c r="A973"/>
      <c r="E973" s="262"/>
      <c r="F973" s="262"/>
      <c r="G973" s="238"/>
      <c r="H973" s="263"/>
      <c r="I973" s="248"/>
      <c r="J973" s="9"/>
      <c r="K973" s="217"/>
      <c r="L973" s="217"/>
      <c r="M973" s="256"/>
      <c r="N973" s="223"/>
      <c r="O973" s="257"/>
      <c r="P973" s="235"/>
      <c r="Q973" s="262"/>
      <c r="R973" s="260"/>
      <c r="S973" s="218"/>
      <c r="T973" s="219"/>
      <c r="U973" s="30"/>
      <c r="V973" s="31"/>
      <c r="W973" s="30"/>
      <c r="X973" s="220" t="str">
        <f>IFERROR(VLOOKUP(H973,NAICS!$A$4:$B$1072,2,FALSE),"Unknown")</f>
        <v>Unknown</v>
      </c>
      <c r="Y973" s="139">
        <f t="shared" ref="Y973:Y1036" si="28">IF(U973&gt;=180,IF(V973&lt;=12,5%,IF(AND(V973&gt;12,V973&lt;24),3%,IF(AND(V973&gt;24,V973&lt;36),1%,0%))),0%)</f>
        <v>0</v>
      </c>
      <c r="Z973" s="9">
        <f t="shared" ref="Z973:Z1036" si="29">IF(AND(U973&gt;=$AE$2,U973&lt;=$AF$2),1,IF(AND(U973&gt;$AE$3,U973&lt;=$AF$3),2,IF(AND(U973&gt;$AE$4,U973&lt;=$AF$4),3,IF(AND(U973&gt;$AE$5,U973&lt;=$AF$5),4,IF(AND(U973&gt;$AE$6,U973&lt;=$AF$6),5,"")))))</f>
        <v>1</v>
      </c>
    </row>
    <row r="974" spans="1:26">
      <c r="A974"/>
      <c r="E974" s="262"/>
      <c r="F974" s="262"/>
      <c r="G974" s="238"/>
      <c r="H974" s="263"/>
      <c r="I974" s="248"/>
      <c r="J974" s="9"/>
      <c r="K974" s="217"/>
      <c r="L974" s="217"/>
      <c r="M974" s="256"/>
      <c r="N974" s="223"/>
      <c r="O974" s="257"/>
      <c r="P974" s="235"/>
      <c r="Q974" s="262"/>
      <c r="R974" s="260"/>
      <c r="S974" s="218"/>
      <c r="T974" s="219"/>
      <c r="U974" s="30"/>
      <c r="V974" s="31"/>
      <c r="W974" s="30"/>
      <c r="X974" s="220" t="str">
        <f>IFERROR(VLOOKUP(H974,NAICS!$A$4:$B$1072,2,FALSE),"Unknown")</f>
        <v>Unknown</v>
      </c>
      <c r="Y974" s="139">
        <f t="shared" si="28"/>
        <v>0</v>
      </c>
      <c r="Z974" s="9">
        <f t="shared" si="29"/>
        <v>1</v>
      </c>
    </row>
    <row r="975" spans="1:26">
      <c r="A975"/>
      <c r="E975" s="262"/>
      <c r="F975" s="262"/>
      <c r="G975" s="238"/>
      <c r="H975" s="263"/>
      <c r="I975" s="248"/>
      <c r="J975" s="9"/>
      <c r="K975" s="217"/>
      <c r="L975" s="217"/>
      <c r="M975" s="256"/>
      <c r="N975" s="223"/>
      <c r="O975" s="257"/>
      <c r="P975" s="235"/>
      <c r="Q975" s="262"/>
      <c r="R975" s="260"/>
      <c r="S975" s="218"/>
      <c r="T975" s="219"/>
      <c r="U975" s="30"/>
      <c r="V975" s="31"/>
      <c r="W975" s="30"/>
      <c r="X975" s="220" t="str">
        <f>IFERROR(VLOOKUP(H975,NAICS!$A$4:$B$1072,2,FALSE),"Unknown")</f>
        <v>Unknown</v>
      </c>
      <c r="Y975" s="139">
        <f t="shared" si="28"/>
        <v>0</v>
      </c>
      <c r="Z975" s="9">
        <f t="shared" si="29"/>
        <v>1</v>
      </c>
    </row>
    <row r="976" spans="1:26">
      <c r="A976"/>
      <c r="E976" s="262"/>
      <c r="F976" s="262"/>
      <c r="G976" s="238"/>
      <c r="H976" s="263"/>
      <c r="I976" s="248"/>
      <c r="J976" s="9"/>
      <c r="K976" s="217"/>
      <c r="L976" s="217"/>
      <c r="M976" s="256"/>
      <c r="N976" s="223"/>
      <c r="O976" s="257"/>
      <c r="P976" s="235"/>
      <c r="Q976" s="262"/>
      <c r="R976" s="260"/>
      <c r="S976" s="218"/>
      <c r="T976" s="219"/>
      <c r="U976" s="30"/>
      <c r="V976" s="31"/>
      <c r="W976" s="30"/>
      <c r="X976" s="220" t="str">
        <f>IFERROR(VLOOKUP(H976,NAICS!$A$4:$B$1072,2,FALSE),"Unknown")</f>
        <v>Unknown</v>
      </c>
      <c r="Y976" s="139">
        <f t="shared" si="28"/>
        <v>0</v>
      </c>
      <c r="Z976" s="9">
        <f t="shared" si="29"/>
        <v>1</v>
      </c>
    </row>
    <row r="977" spans="1:26">
      <c r="A977"/>
      <c r="E977" s="262"/>
      <c r="F977" s="262"/>
      <c r="G977" s="238"/>
      <c r="H977" s="263"/>
      <c r="I977" s="248"/>
      <c r="J977" s="9"/>
      <c r="K977" s="217"/>
      <c r="L977" s="217"/>
      <c r="M977" s="256"/>
      <c r="N977" s="223"/>
      <c r="O977" s="257"/>
      <c r="P977" s="235"/>
      <c r="Q977" s="262"/>
      <c r="R977" s="260"/>
      <c r="S977" s="218"/>
      <c r="T977" s="219"/>
      <c r="U977" s="30"/>
      <c r="V977" s="31"/>
      <c r="W977" s="30"/>
      <c r="X977" s="220" t="str">
        <f>IFERROR(VLOOKUP(H977,NAICS!$A$4:$B$1072,2,FALSE),"Unknown")</f>
        <v>Unknown</v>
      </c>
      <c r="Y977" s="139">
        <f t="shared" si="28"/>
        <v>0</v>
      </c>
      <c r="Z977" s="9">
        <f t="shared" si="29"/>
        <v>1</v>
      </c>
    </row>
    <row r="978" spans="1:26">
      <c r="A978"/>
      <c r="E978" s="262"/>
      <c r="F978" s="262"/>
      <c r="G978" s="238"/>
      <c r="H978" s="263"/>
      <c r="I978" s="248"/>
      <c r="J978" s="9"/>
      <c r="K978" s="217"/>
      <c r="L978" s="217"/>
      <c r="M978" s="256"/>
      <c r="N978" s="223"/>
      <c r="O978" s="257"/>
      <c r="P978" s="235"/>
      <c r="Q978" s="262"/>
      <c r="R978" s="260"/>
      <c r="S978" s="218"/>
      <c r="T978" s="219"/>
      <c r="U978" s="30"/>
      <c r="V978" s="31"/>
      <c r="W978" s="30"/>
      <c r="X978" s="220" t="str">
        <f>IFERROR(VLOOKUP(H978,NAICS!$A$4:$B$1072,2,FALSE),"Unknown")</f>
        <v>Unknown</v>
      </c>
      <c r="Y978" s="139">
        <f t="shared" si="28"/>
        <v>0</v>
      </c>
      <c r="Z978" s="9">
        <f t="shared" si="29"/>
        <v>1</v>
      </c>
    </row>
    <row r="979" spans="1:26">
      <c r="A979"/>
      <c r="E979" s="262"/>
      <c r="F979" s="262"/>
      <c r="G979" s="238"/>
      <c r="H979" s="263"/>
      <c r="I979" s="248"/>
      <c r="J979" s="9"/>
      <c r="K979" s="217"/>
      <c r="L979" s="217"/>
      <c r="M979" s="256"/>
      <c r="N979" s="223"/>
      <c r="O979" s="257"/>
      <c r="P979" s="235"/>
      <c r="Q979" s="262"/>
      <c r="R979" s="260"/>
      <c r="S979" s="218"/>
      <c r="T979" s="219"/>
      <c r="U979" s="30"/>
      <c r="V979" s="31"/>
      <c r="W979" s="30"/>
      <c r="X979" s="220" t="str">
        <f>IFERROR(VLOOKUP(H979,NAICS!$A$4:$B$1072,2,FALSE),"Unknown")</f>
        <v>Unknown</v>
      </c>
      <c r="Y979" s="139">
        <f t="shared" si="28"/>
        <v>0</v>
      </c>
      <c r="Z979" s="9">
        <f t="shared" si="29"/>
        <v>1</v>
      </c>
    </row>
    <row r="980" spans="1:26">
      <c r="A980"/>
      <c r="E980" s="156"/>
      <c r="F980" s="156"/>
      <c r="G980" s="238"/>
      <c r="H980" s="266"/>
      <c r="I980" s="248"/>
      <c r="J980" s="9"/>
      <c r="K980" s="217"/>
      <c r="L980" s="217"/>
      <c r="M980" s="256"/>
      <c r="N980" s="223"/>
      <c r="O980" s="257"/>
      <c r="P980" s="235"/>
      <c r="Q980" s="262"/>
      <c r="R980" s="260"/>
      <c r="S980" s="218"/>
      <c r="T980" s="219"/>
      <c r="U980" s="30"/>
      <c r="V980" s="31"/>
      <c r="W980" s="30"/>
      <c r="X980" s="220" t="str">
        <f>IFERROR(VLOOKUP(H980,NAICS!$A$4:$B$1072,2,FALSE),"Unknown")</f>
        <v>Unknown</v>
      </c>
      <c r="Y980" s="139">
        <f t="shared" si="28"/>
        <v>0</v>
      </c>
      <c r="Z980" s="9">
        <f t="shared" si="29"/>
        <v>1</v>
      </c>
    </row>
    <row r="981" spans="1:26">
      <c r="A981"/>
      <c r="E981" s="156"/>
      <c r="F981" s="156"/>
      <c r="G981" s="238"/>
      <c r="H981" s="266"/>
      <c r="I981" s="248"/>
      <c r="J981" s="9"/>
      <c r="K981" s="217"/>
      <c r="L981" s="217"/>
      <c r="M981" s="256"/>
      <c r="N981" s="223"/>
      <c r="O981" s="257"/>
      <c r="P981" s="235"/>
      <c r="Q981" s="262"/>
      <c r="R981" s="260"/>
      <c r="S981" s="218"/>
      <c r="T981" s="219"/>
      <c r="U981" s="30"/>
      <c r="V981" s="31"/>
      <c r="W981" s="30"/>
      <c r="X981" s="220" t="str">
        <f>IFERROR(VLOOKUP(H981,NAICS!$A$4:$B$1072,2,FALSE),"Unknown")</f>
        <v>Unknown</v>
      </c>
      <c r="Y981" s="139">
        <f t="shared" si="28"/>
        <v>0</v>
      </c>
      <c r="Z981" s="9">
        <f t="shared" si="29"/>
        <v>1</v>
      </c>
    </row>
    <row r="982" spans="1:26">
      <c r="A982"/>
      <c r="E982" s="262"/>
      <c r="F982" s="262"/>
      <c r="G982" s="238"/>
      <c r="H982" s="263"/>
      <c r="I982" s="248"/>
      <c r="J982" s="9"/>
      <c r="K982" s="217"/>
      <c r="L982" s="217"/>
      <c r="M982" s="256"/>
      <c r="N982" s="223"/>
      <c r="O982" s="257"/>
      <c r="P982" s="235"/>
      <c r="Q982" s="262"/>
      <c r="R982" s="260"/>
      <c r="S982" s="218"/>
      <c r="T982" s="219"/>
      <c r="U982" s="30"/>
      <c r="V982" s="31"/>
      <c r="W982" s="30"/>
      <c r="X982" s="220" t="str">
        <f>IFERROR(VLOOKUP(H982,NAICS!$A$4:$B$1072,2,FALSE),"Unknown")</f>
        <v>Unknown</v>
      </c>
      <c r="Y982" s="139">
        <f t="shared" si="28"/>
        <v>0</v>
      </c>
      <c r="Z982" s="9">
        <f t="shared" si="29"/>
        <v>1</v>
      </c>
    </row>
    <row r="983" spans="1:26">
      <c r="A983"/>
      <c r="E983" s="262"/>
      <c r="F983" s="262"/>
      <c r="G983" s="238"/>
      <c r="H983" s="263"/>
      <c r="I983" s="248"/>
      <c r="J983" s="9"/>
      <c r="K983" s="217"/>
      <c r="L983" s="217"/>
      <c r="M983" s="256"/>
      <c r="N983" s="223"/>
      <c r="O983" s="257"/>
      <c r="P983" s="235"/>
      <c r="Q983" s="262"/>
      <c r="R983" s="260"/>
      <c r="S983" s="218"/>
      <c r="T983" s="219"/>
      <c r="U983" s="30"/>
      <c r="V983" s="31"/>
      <c r="W983" s="30"/>
      <c r="X983" s="220" t="str">
        <f>IFERROR(VLOOKUP(H983,NAICS!$A$4:$B$1072,2,FALSE),"Unknown")</f>
        <v>Unknown</v>
      </c>
      <c r="Y983" s="139">
        <f t="shared" si="28"/>
        <v>0</v>
      </c>
      <c r="Z983" s="9">
        <f t="shared" si="29"/>
        <v>1</v>
      </c>
    </row>
    <row r="984" spans="1:26">
      <c r="A984"/>
      <c r="E984" s="156"/>
      <c r="F984" s="156"/>
      <c r="G984" s="238"/>
      <c r="H984" s="266"/>
      <c r="I984" s="248"/>
      <c r="J984" s="9"/>
      <c r="K984" s="217"/>
      <c r="L984" s="217"/>
      <c r="M984" s="256"/>
      <c r="N984" s="223"/>
      <c r="O984" s="257"/>
      <c r="P984" s="235"/>
      <c r="Q984" s="262"/>
      <c r="R984" s="260"/>
      <c r="S984" s="218"/>
      <c r="T984" s="219"/>
      <c r="U984" s="30"/>
      <c r="V984" s="31"/>
      <c r="W984" s="30"/>
      <c r="X984" s="220" t="str">
        <f>IFERROR(VLOOKUP(H984,NAICS!$A$4:$B$1072,2,FALSE),"Unknown")</f>
        <v>Unknown</v>
      </c>
      <c r="Y984" s="139">
        <f t="shared" si="28"/>
        <v>0</v>
      </c>
      <c r="Z984" s="9">
        <f t="shared" si="29"/>
        <v>1</v>
      </c>
    </row>
    <row r="985" spans="1:26">
      <c r="A985"/>
      <c r="E985" s="156"/>
      <c r="F985" s="156"/>
      <c r="G985" s="238"/>
      <c r="H985" s="266"/>
      <c r="I985" s="248"/>
      <c r="J985" s="9"/>
      <c r="K985" s="217"/>
      <c r="L985" s="217"/>
      <c r="M985" s="256"/>
      <c r="N985" s="223"/>
      <c r="O985" s="257"/>
      <c r="P985" s="235"/>
      <c r="Q985" s="262"/>
      <c r="R985" s="260"/>
      <c r="S985" s="218"/>
      <c r="T985" s="219"/>
      <c r="U985" s="30"/>
      <c r="V985" s="31"/>
      <c r="W985" s="30"/>
      <c r="X985" s="220" t="str">
        <f>IFERROR(VLOOKUP(H985,NAICS!$A$4:$B$1072,2,FALSE),"Unknown")</f>
        <v>Unknown</v>
      </c>
      <c r="Y985" s="139">
        <f t="shared" si="28"/>
        <v>0</v>
      </c>
      <c r="Z985" s="9">
        <f t="shared" si="29"/>
        <v>1</v>
      </c>
    </row>
    <row r="986" spans="1:26">
      <c r="A986"/>
      <c r="E986" s="262"/>
      <c r="F986" s="262"/>
      <c r="G986" s="238"/>
      <c r="H986" s="263"/>
      <c r="I986" s="248"/>
      <c r="J986" s="9"/>
      <c r="K986" s="217"/>
      <c r="L986" s="217"/>
      <c r="M986" s="256"/>
      <c r="N986" s="223"/>
      <c r="O986" s="257"/>
      <c r="P986" s="235"/>
      <c r="Q986" s="262"/>
      <c r="R986" s="260"/>
      <c r="S986" s="218"/>
      <c r="T986" s="219"/>
      <c r="U986" s="30"/>
      <c r="V986" s="31"/>
      <c r="W986" s="30"/>
      <c r="X986" s="220" t="str">
        <f>IFERROR(VLOOKUP(H986,NAICS!$A$4:$B$1072,2,FALSE),"Unknown")</f>
        <v>Unknown</v>
      </c>
      <c r="Y986" s="139">
        <f t="shared" si="28"/>
        <v>0</v>
      </c>
      <c r="Z986" s="9">
        <f t="shared" si="29"/>
        <v>1</v>
      </c>
    </row>
    <row r="987" spans="1:26">
      <c r="A987"/>
      <c r="E987" s="262"/>
      <c r="F987" s="262"/>
      <c r="G987" s="238"/>
      <c r="H987" s="263"/>
      <c r="I987" s="248"/>
      <c r="J987" s="9"/>
      <c r="K987" s="217"/>
      <c r="L987" s="217"/>
      <c r="M987" s="256"/>
      <c r="N987" s="223"/>
      <c r="O987" s="257"/>
      <c r="P987" s="235"/>
      <c r="Q987" s="262"/>
      <c r="R987" s="260"/>
      <c r="S987" s="218"/>
      <c r="T987" s="219"/>
      <c r="U987" s="30"/>
      <c r="V987" s="31"/>
      <c r="W987" s="30"/>
      <c r="X987" s="220" t="str">
        <f>IFERROR(VLOOKUP(H987,NAICS!$A$4:$B$1072,2,FALSE),"Unknown")</f>
        <v>Unknown</v>
      </c>
      <c r="Y987" s="139">
        <f t="shared" si="28"/>
        <v>0</v>
      </c>
      <c r="Z987" s="9">
        <f t="shared" si="29"/>
        <v>1</v>
      </c>
    </row>
    <row r="988" spans="1:26">
      <c r="A988"/>
      <c r="E988" s="156"/>
      <c r="F988" s="156"/>
      <c r="G988" s="238"/>
      <c r="H988" s="266"/>
      <c r="I988" s="248"/>
      <c r="J988" s="9"/>
      <c r="K988" s="217"/>
      <c r="L988" s="217"/>
      <c r="M988" s="256"/>
      <c r="N988" s="223"/>
      <c r="O988" s="257"/>
      <c r="P988" s="235"/>
      <c r="Q988" s="262"/>
      <c r="R988" s="260"/>
      <c r="S988" s="218"/>
      <c r="T988" s="219"/>
      <c r="U988" s="30"/>
      <c r="V988" s="31"/>
      <c r="W988" s="30"/>
      <c r="X988" s="220" t="str">
        <f>IFERROR(VLOOKUP(H988,NAICS!$A$4:$B$1072,2,FALSE),"Unknown")</f>
        <v>Unknown</v>
      </c>
      <c r="Y988" s="139">
        <f t="shared" si="28"/>
        <v>0</v>
      </c>
      <c r="Z988" s="9">
        <f t="shared" si="29"/>
        <v>1</v>
      </c>
    </row>
    <row r="989" spans="1:26">
      <c r="A989"/>
      <c r="E989" s="156"/>
      <c r="F989" s="156"/>
      <c r="G989" s="238"/>
      <c r="H989" s="266"/>
      <c r="I989" s="248"/>
      <c r="J989" s="9"/>
      <c r="K989" s="217"/>
      <c r="L989" s="217"/>
      <c r="M989" s="256"/>
      <c r="N989" s="223"/>
      <c r="O989" s="257"/>
      <c r="P989" s="235"/>
      <c r="Q989" s="262"/>
      <c r="R989" s="260"/>
      <c r="S989" s="218"/>
      <c r="T989" s="219"/>
      <c r="U989" s="30"/>
      <c r="V989" s="31"/>
      <c r="W989" s="30"/>
      <c r="X989" s="220" t="str">
        <f>IFERROR(VLOOKUP(H989,NAICS!$A$4:$B$1072,2,FALSE),"Unknown")</f>
        <v>Unknown</v>
      </c>
      <c r="Y989" s="139">
        <f t="shared" si="28"/>
        <v>0</v>
      </c>
      <c r="Z989" s="9">
        <f t="shared" si="29"/>
        <v>1</v>
      </c>
    </row>
    <row r="990" spans="1:26">
      <c r="A990"/>
      <c r="E990" s="156"/>
      <c r="F990" s="156"/>
      <c r="G990" s="238"/>
      <c r="H990" s="266"/>
      <c r="I990" s="248"/>
      <c r="J990" s="9"/>
      <c r="K990" s="217"/>
      <c r="L990" s="217"/>
      <c r="M990" s="256"/>
      <c r="N990" s="223"/>
      <c r="O990" s="257"/>
      <c r="P990" s="235"/>
      <c r="Q990" s="262"/>
      <c r="R990" s="260"/>
      <c r="S990" s="218"/>
      <c r="T990" s="219"/>
      <c r="U990" s="30"/>
      <c r="V990" s="31"/>
      <c r="W990" s="30"/>
      <c r="X990" s="220" t="str">
        <f>IFERROR(VLOOKUP(H990,NAICS!$A$4:$B$1072,2,FALSE),"Unknown")</f>
        <v>Unknown</v>
      </c>
      <c r="Y990" s="139">
        <f t="shared" si="28"/>
        <v>0</v>
      </c>
      <c r="Z990" s="9">
        <f t="shared" si="29"/>
        <v>1</v>
      </c>
    </row>
    <row r="991" spans="1:26">
      <c r="A991"/>
      <c r="E991" s="262"/>
      <c r="F991" s="262"/>
      <c r="G991" s="238"/>
      <c r="H991" s="263"/>
      <c r="I991" s="248"/>
      <c r="J991" s="9"/>
      <c r="K991" s="217"/>
      <c r="L991" s="217"/>
      <c r="M991" s="256"/>
      <c r="N991" s="223"/>
      <c r="O991" s="257"/>
      <c r="P991" s="235"/>
      <c r="Q991" s="262"/>
      <c r="R991" s="260"/>
      <c r="S991" s="218"/>
      <c r="T991" s="219"/>
      <c r="U991" s="30"/>
      <c r="V991" s="31"/>
      <c r="W991" s="30"/>
      <c r="X991" s="220" t="str">
        <f>IFERROR(VLOOKUP(H991,NAICS!$A$4:$B$1072,2,FALSE),"Unknown")</f>
        <v>Unknown</v>
      </c>
      <c r="Y991" s="139">
        <f t="shared" si="28"/>
        <v>0</v>
      </c>
      <c r="Z991" s="9">
        <f t="shared" si="29"/>
        <v>1</v>
      </c>
    </row>
    <row r="992" spans="1:26">
      <c r="A992"/>
      <c r="E992" s="262"/>
      <c r="F992" s="262"/>
      <c r="G992" s="238"/>
      <c r="H992" s="263"/>
      <c r="I992" s="248"/>
      <c r="J992" s="9"/>
      <c r="K992" s="217"/>
      <c r="L992" s="217"/>
      <c r="M992" s="256"/>
      <c r="N992" s="223"/>
      <c r="O992" s="257"/>
      <c r="P992" s="235"/>
      <c r="Q992" s="262"/>
      <c r="R992" s="260"/>
      <c r="S992" s="218"/>
      <c r="T992" s="219"/>
      <c r="U992" s="30"/>
      <c r="V992" s="31"/>
      <c r="W992" s="30"/>
      <c r="X992" s="220" t="str">
        <f>IFERROR(VLOOKUP(H992,NAICS!$A$4:$B$1072,2,FALSE),"Unknown")</f>
        <v>Unknown</v>
      </c>
      <c r="Y992" s="139">
        <f t="shared" si="28"/>
        <v>0</v>
      </c>
      <c r="Z992" s="9">
        <f t="shared" si="29"/>
        <v>1</v>
      </c>
    </row>
    <row r="993" spans="1:26">
      <c r="A993"/>
      <c r="E993" s="262"/>
      <c r="F993" s="262"/>
      <c r="G993" s="238"/>
      <c r="H993" s="263"/>
      <c r="I993" s="248"/>
      <c r="J993" s="9"/>
      <c r="K993" s="217"/>
      <c r="L993" s="217"/>
      <c r="M993" s="256"/>
      <c r="N993" s="223"/>
      <c r="O993" s="257"/>
      <c r="P993" s="235"/>
      <c r="Q993" s="262"/>
      <c r="R993" s="260"/>
      <c r="S993" s="218"/>
      <c r="T993" s="219"/>
      <c r="U993" s="30"/>
      <c r="V993" s="31"/>
      <c r="W993" s="30"/>
      <c r="X993" s="220" t="str">
        <f>IFERROR(VLOOKUP(H993,NAICS!$A$4:$B$1072,2,FALSE),"Unknown")</f>
        <v>Unknown</v>
      </c>
      <c r="Y993" s="139">
        <f t="shared" si="28"/>
        <v>0</v>
      </c>
      <c r="Z993" s="9">
        <f t="shared" si="29"/>
        <v>1</v>
      </c>
    </row>
    <row r="994" spans="1:26">
      <c r="A994"/>
      <c r="E994" s="156"/>
      <c r="F994" s="156"/>
      <c r="G994" s="238"/>
      <c r="H994" s="266"/>
      <c r="I994" s="248"/>
      <c r="J994" s="9"/>
      <c r="K994" s="217"/>
      <c r="L994" s="217"/>
      <c r="M994" s="256"/>
      <c r="N994" s="223"/>
      <c r="O994" s="257"/>
      <c r="P994" s="235"/>
      <c r="Q994" s="262"/>
      <c r="R994" s="260"/>
      <c r="S994" s="218"/>
      <c r="T994" s="219"/>
      <c r="U994" s="30"/>
      <c r="V994" s="31"/>
      <c r="W994" s="30"/>
      <c r="X994" s="220" t="str">
        <f>IFERROR(VLOOKUP(H994,NAICS!$A$4:$B$1072,2,FALSE),"Unknown")</f>
        <v>Unknown</v>
      </c>
      <c r="Y994" s="139">
        <f t="shared" si="28"/>
        <v>0</v>
      </c>
      <c r="Z994" s="9">
        <f t="shared" si="29"/>
        <v>1</v>
      </c>
    </row>
    <row r="995" spans="1:26">
      <c r="A995"/>
      <c r="E995" s="156"/>
      <c r="F995" s="156"/>
      <c r="G995" s="238"/>
      <c r="H995" s="266"/>
      <c r="I995" s="248"/>
      <c r="J995" s="9"/>
      <c r="K995" s="217"/>
      <c r="L995" s="217"/>
      <c r="M995" s="256"/>
      <c r="N995" s="223"/>
      <c r="O995" s="257"/>
      <c r="P995" s="235"/>
      <c r="Q995" s="262"/>
      <c r="R995" s="260"/>
      <c r="S995" s="218"/>
      <c r="T995" s="219"/>
      <c r="U995" s="30"/>
      <c r="V995" s="31"/>
      <c r="W995" s="30"/>
      <c r="X995" s="220" t="str">
        <f>IFERROR(VLOOKUP(H995,NAICS!$A$4:$B$1072,2,FALSE),"Unknown")</f>
        <v>Unknown</v>
      </c>
      <c r="Y995" s="139">
        <f t="shared" si="28"/>
        <v>0</v>
      </c>
      <c r="Z995" s="9">
        <f t="shared" si="29"/>
        <v>1</v>
      </c>
    </row>
    <row r="996" spans="1:26">
      <c r="A996"/>
      <c r="E996" s="262"/>
      <c r="F996" s="262"/>
      <c r="G996" s="238"/>
      <c r="H996" s="263"/>
      <c r="I996" s="248"/>
      <c r="J996" s="9"/>
      <c r="K996" s="217"/>
      <c r="L996" s="217"/>
      <c r="M996" s="256"/>
      <c r="N996" s="223"/>
      <c r="O996" s="257"/>
      <c r="P996" s="235"/>
      <c r="Q996" s="262"/>
      <c r="R996" s="260"/>
      <c r="S996" s="218"/>
      <c r="T996" s="219"/>
      <c r="U996" s="30"/>
      <c r="V996" s="31"/>
      <c r="W996" s="30"/>
      <c r="X996" s="220" t="str">
        <f>IFERROR(VLOOKUP(H996,NAICS!$A$4:$B$1072,2,FALSE),"Unknown")</f>
        <v>Unknown</v>
      </c>
      <c r="Y996" s="139">
        <f t="shared" si="28"/>
        <v>0</v>
      </c>
      <c r="Z996" s="9">
        <f t="shared" si="29"/>
        <v>1</v>
      </c>
    </row>
    <row r="997" spans="1:26">
      <c r="A997"/>
      <c r="E997" s="262"/>
      <c r="F997" s="262"/>
      <c r="G997" s="238"/>
      <c r="H997" s="263"/>
      <c r="I997" s="248"/>
      <c r="J997" s="9"/>
      <c r="K997" s="217"/>
      <c r="L997" s="217"/>
      <c r="M997" s="256"/>
      <c r="N997" s="223"/>
      <c r="O997" s="257"/>
      <c r="P997" s="235"/>
      <c r="Q997" s="262"/>
      <c r="R997" s="260"/>
      <c r="S997" s="218"/>
      <c r="T997" s="219"/>
      <c r="U997" s="30"/>
      <c r="V997" s="31"/>
      <c r="W997" s="30"/>
      <c r="X997" s="220" t="str">
        <f>IFERROR(VLOOKUP(H997,NAICS!$A$4:$B$1072,2,FALSE),"Unknown")</f>
        <v>Unknown</v>
      </c>
      <c r="Y997" s="139">
        <f t="shared" si="28"/>
        <v>0</v>
      </c>
      <c r="Z997" s="9">
        <f t="shared" si="29"/>
        <v>1</v>
      </c>
    </row>
    <row r="998" spans="1:26">
      <c r="A998"/>
      <c r="E998" s="262"/>
      <c r="F998" s="262"/>
      <c r="G998" s="238"/>
      <c r="H998" s="263"/>
      <c r="I998" s="248"/>
      <c r="J998" s="9"/>
      <c r="K998" s="217"/>
      <c r="L998" s="217"/>
      <c r="M998" s="256"/>
      <c r="N998" s="223"/>
      <c r="O998" s="257"/>
      <c r="P998" s="235"/>
      <c r="Q998" s="262"/>
      <c r="R998" s="260"/>
      <c r="S998" s="218"/>
      <c r="T998" s="219"/>
      <c r="U998" s="30"/>
      <c r="V998" s="31"/>
      <c r="W998" s="30"/>
      <c r="X998" s="220" t="str">
        <f>IFERROR(VLOOKUP(H998,NAICS!$A$4:$B$1072,2,FALSE),"Unknown")</f>
        <v>Unknown</v>
      </c>
      <c r="Y998" s="139">
        <f t="shared" si="28"/>
        <v>0</v>
      </c>
      <c r="Z998" s="9">
        <f t="shared" si="29"/>
        <v>1</v>
      </c>
    </row>
    <row r="999" spans="1:26">
      <c r="A999"/>
      <c r="E999" s="262"/>
      <c r="F999" s="262"/>
      <c r="G999" s="238"/>
      <c r="H999" s="263"/>
      <c r="I999" s="248"/>
      <c r="J999" s="9"/>
      <c r="K999" s="217"/>
      <c r="L999" s="217"/>
      <c r="M999" s="256"/>
      <c r="N999" s="223"/>
      <c r="O999" s="257"/>
      <c r="P999" s="235"/>
      <c r="Q999" s="262"/>
      <c r="R999" s="260"/>
      <c r="S999" s="218"/>
      <c r="T999" s="219"/>
      <c r="U999" s="30"/>
      <c r="V999" s="31"/>
      <c r="W999" s="30"/>
      <c r="X999" s="220" t="str">
        <f>IFERROR(VLOOKUP(H999,NAICS!$A$4:$B$1072,2,FALSE),"Unknown")</f>
        <v>Unknown</v>
      </c>
      <c r="Y999" s="139">
        <f t="shared" si="28"/>
        <v>0</v>
      </c>
      <c r="Z999" s="9">
        <f t="shared" si="29"/>
        <v>1</v>
      </c>
    </row>
    <row r="1000" spans="1:26">
      <c r="A1000"/>
      <c r="E1000" s="262"/>
      <c r="F1000" s="262"/>
      <c r="G1000" s="238"/>
      <c r="H1000" s="263"/>
      <c r="I1000" s="248"/>
      <c r="J1000" s="9"/>
      <c r="K1000" s="217"/>
      <c r="L1000" s="217"/>
      <c r="M1000" s="256"/>
      <c r="N1000" s="223"/>
      <c r="O1000" s="257"/>
      <c r="P1000" s="235"/>
      <c r="Q1000" s="262"/>
      <c r="R1000" s="260"/>
      <c r="S1000" s="218"/>
      <c r="T1000" s="219"/>
      <c r="U1000" s="30"/>
      <c r="V1000" s="31"/>
      <c r="W1000" s="30"/>
      <c r="X1000" s="220" t="str">
        <f>IFERROR(VLOOKUP(H1000,NAICS!$A$4:$B$1072,2,FALSE),"Unknown")</f>
        <v>Unknown</v>
      </c>
      <c r="Y1000" s="139">
        <f t="shared" si="28"/>
        <v>0</v>
      </c>
      <c r="Z1000" s="9">
        <f t="shared" si="29"/>
        <v>1</v>
      </c>
    </row>
    <row r="1001" spans="1:26">
      <c r="A1001"/>
      <c r="E1001" s="156"/>
      <c r="F1001" s="156"/>
      <c r="G1001" s="238"/>
      <c r="H1001" s="266"/>
      <c r="I1001" s="248"/>
      <c r="J1001" s="9"/>
      <c r="K1001" s="217"/>
      <c r="L1001" s="217"/>
      <c r="M1001" s="256"/>
      <c r="N1001" s="223"/>
      <c r="O1001" s="257"/>
      <c r="P1001" s="235"/>
      <c r="Q1001" s="262"/>
      <c r="R1001" s="260"/>
      <c r="S1001" s="218"/>
      <c r="T1001" s="219"/>
      <c r="U1001" s="30"/>
      <c r="V1001" s="31"/>
      <c r="W1001" s="30"/>
      <c r="X1001" s="220" t="str">
        <f>IFERROR(VLOOKUP(H1001,NAICS!$A$4:$B$1072,2,FALSE),"Unknown")</f>
        <v>Unknown</v>
      </c>
      <c r="Y1001" s="139">
        <f t="shared" si="28"/>
        <v>0</v>
      </c>
      <c r="Z1001" s="9">
        <f t="shared" si="29"/>
        <v>1</v>
      </c>
    </row>
    <row r="1002" spans="1:26">
      <c r="A1002"/>
      <c r="E1002" s="156"/>
      <c r="F1002" s="156"/>
      <c r="G1002" s="238"/>
      <c r="H1002" s="266"/>
      <c r="I1002" s="248"/>
      <c r="J1002" s="9"/>
      <c r="K1002" s="217"/>
      <c r="L1002" s="217"/>
      <c r="M1002" s="256"/>
      <c r="N1002" s="223"/>
      <c r="O1002" s="257"/>
      <c r="P1002" s="235"/>
      <c r="Q1002" s="262"/>
      <c r="R1002" s="260"/>
      <c r="S1002" s="218"/>
      <c r="T1002" s="219"/>
      <c r="U1002" s="30"/>
      <c r="V1002" s="31"/>
      <c r="W1002" s="30"/>
      <c r="X1002" s="220" t="str">
        <f>IFERROR(VLOOKUP(H1002,NAICS!$A$4:$B$1072,2,FALSE),"Unknown")</f>
        <v>Unknown</v>
      </c>
      <c r="Y1002" s="139">
        <f t="shared" si="28"/>
        <v>0</v>
      </c>
      <c r="Z1002" s="9">
        <f t="shared" si="29"/>
        <v>1</v>
      </c>
    </row>
    <row r="1003" spans="1:26">
      <c r="A1003"/>
      <c r="E1003" s="262"/>
      <c r="F1003" s="262"/>
      <c r="G1003" s="238"/>
      <c r="H1003" s="263"/>
      <c r="I1003" s="248"/>
      <c r="J1003" s="9"/>
      <c r="K1003" s="217"/>
      <c r="L1003" s="217"/>
      <c r="M1003" s="256"/>
      <c r="N1003" s="223"/>
      <c r="O1003" s="257"/>
      <c r="P1003" s="235"/>
      <c r="Q1003" s="262"/>
      <c r="R1003" s="260"/>
      <c r="S1003" s="218"/>
      <c r="T1003" s="219"/>
      <c r="U1003" s="30"/>
      <c r="V1003" s="31"/>
      <c r="W1003" s="30"/>
      <c r="X1003" s="220" t="str">
        <f>IFERROR(VLOOKUP(H1003,NAICS!$A$4:$B$1072,2,FALSE),"Unknown")</f>
        <v>Unknown</v>
      </c>
      <c r="Y1003" s="139">
        <f t="shared" si="28"/>
        <v>0</v>
      </c>
      <c r="Z1003" s="9">
        <f t="shared" si="29"/>
        <v>1</v>
      </c>
    </row>
    <row r="1004" spans="1:26">
      <c r="A1004"/>
      <c r="E1004" s="262"/>
      <c r="F1004" s="262"/>
      <c r="G1004" s="238"/>
      <c r="H1004" s="263"/>
      <c r="I1004" s="248"/>
      <c r="J1004" s="9"/>
      <c r="K1004" s="217"/>
      <c r="L1004" s="217"/>
      <c r="M1004" s="256"/>
      <c r="N1004" s="223"/>
      <c r="O1004" s="257"/>
      <c r="P1004" s="235"/>
      <c r="Q1004" s="262"/>
      <c r="R1004" s="260"/>
      <c r="S1004" s="218"/>
      <c r="T1004" s="219"/>
      <c r="U1004" s="30"/>
      <c r="V1004" s="31"/>
      <c r="W1004" s="30"/>
      <c r="X1004" s="220" t="str">
        <f>IFERROR(VLOOKUP(H1004,NAICS!$A$4:$B$1072,2,FALSE),"Unknown")</f>
        <v>Unknown</v>
      </c>
      <c r="Y1004" s="139">
        <f t="shared" si="28"/>
        <v>0</v>
      </c>
      <c r="Z1004" s="9">
        <f t="shared" si="29"/>
        <v>1</v>
      </c>
    </row>
    <row r="1005" spans="1:26">
      <c r="A1005"/>
      <c r="E1005" s="156"/>
      <c r="F1005" s="156"/>
      <c r="G1005" s="238"/>
      <c r="H1005" s="266"/>
      <c r="I1005" s="248"/>
      <c r="J1005" s="9"/>
      <c r="K1005" s="217"/>
      <c r="L1005" s="217"/>
      <c r="M1005" s="256"/>
      <c r="N1005" s="223"/>
      <c r="O1005" s="257"/>
      <c r="P1005" s="235"/>
      <c r="Q1005" s="262"/>
      <c r="R1005" s="260"/>
      <c r="S1005" s="218"/>
      <c r="T1005" s="219"/>
      <c r="U1005" s="30"/>
      <c r="V1005" s="31"/>
      <c r="W1005" s="30"/>
      <c r="X1005" s="220" t="str">
        <f>IFERROR(VLOOKUP(H1005,NAICS!$A$4:$B$1072,2,FALSE),"Unknown")</f>
        <v>Unknown</v>
      </c>
      <c r="Y1005" s="139">
        <f t="shared" si="28"/>
        <v>0</v>
      </c>
      <c r="Z1005" s="9">
        <f t="shared" si="29"/>
        <v>1</v>
      </c>
    </row>
    <row r="1006" spans="1:26">
      <c r="A1006"/>
      <c r="E1006" s="156"/>
      <c r="F1006" s="156"/>
      <c r="G1006" s="238"/>
      <c r="H1006" s="266"/>
      <c r="I1006" s="248"/>
      <c r="J1006" s="9"/>
      <c r="K1006" s="217"/>
      <c r="L1006" s="217"/>
      <c r="M1006" s="256"/>
      <c r="N1006" s="223"/>
      <c r="O1006" s="257"/>
      <c r="P1006" s="235"/>
      <c r="Q1006" s="262"/>
      <c r="R1006" s="260"/>
      <c r="S1006" s="218"/>
      <c r="T1006" s="219"/>
      <c r="U1006" s="30"/>
      <c r="V1006" s="31"/>
      <c r="W1006" s="30"/>
      <c r="X1006" s="220" t="str">
        <f>IFERROR(VLOOKUP(H1006,NAICS!$A$4:$B$1072,2,FALSE),"Unknown")</f>
        <v>Unknown</v>
      </c>
      <c r="Y1006" s="139">
        <f t="shared" si="28"/>
        <v>0</v>
      </c>
      <c r="Z1006" s="9">
        <f t="shared" si="29"/>
        <v>1</v>
      </c>
    </row>
    <row r="1007" spans="1:26">
      <c r="A1007"/>
      <c r="E1007" s="262"/>
      <c r="F1007" s="262"/>
      <c r="G1007" s="238"/>
      <c r="H1007" s="263"/>
      <c r="I1007" s="248"/>
      <c r="J1007" s="9"/>
      <c r="K1007" s="217"/>
      <c r="L1007" s="217"/>
      <c r="M1007" s="256"/>
      <c r="N1007" s="223"/>
      <c r="O1007" s="257"/>
      <c r="P1007" s="235"/>
      <c r="Q1007" s="262"/>
      <c r="R1007" s="260"/>
      <c r="S1007" s="218"/>
      <c r="T1007" s="219"/>
      <c r="U1007" s="30"/>
      <c r="V1007" s="31"/>
      <c r="W1007" s="30"/>
      <c r="X1007" s="220" t="str">
        <f>IFERROR(VLOOKUP(H1007,NAICS!$A$4:$B$1072,2,FALSE),"Unknown")</f>
        <v>Unknown</v>
      </c>
      <c r="Y1007" s="139">
        <f t="shared" si="28"/>
        <v>0</v>
      </c>
      <c r="Z1007" s="9">
        <f t="shared" si="29"/>
        <v>1</v>
      </c>
    </row>
    <row r="1008" spans="1:26">
      <c r="A1008"/>
      <c r="E1008" s="262"/>
      <c r="F1008" s="262"/>
      <c r="G1008" s="238"/>
      <c r="H1008" s="263"/>
      <c r="I1008" s="248"/>
      <c r="J1008" s="9"/>
      <c r="K1008" s="217"/>
      <c r="L1008" s="217"/>
      <c r="M1008" s="256"/>
      <c r="N1008" s="223"/>
      <c r="O1008" s="257"/>
      <c r="P1008" s="235"/>
      <c r="Q1008" s="262"/>
      <c r="R1008" s="260"/>
      <c r="S1008" s="218"/>
      <c r="T1008" s="219"/>
      <c r="U1008" s="30"/>
      <c r="V1008" s="31"/>
      <c r="W1008" s="30"/>
      <c r="X1008" s="220" t="str">
        <f>IFERROR(VLOOKUP(H1008,NAICS!$A$4:$B$1072,2,FALSE),"Unknown")</f>
        <v>Unknown</v>
      </c>
      <c r="Y1008" s="139">
        <f t="shared" si="28"/>
        <v>0</v>
      </c>
      <c r="Z1008" s="9">
        <f t="shared" si="29"/>
        <v>1</v>
      </c>
    </row>
    <row r="1009" spans="1:26">
      <c r="A1009"/>
      <c r="E1009" s="262"/>
      <c r="F1009" s="262"/>
      <c r="G1009" s="238"/>
      <c r="H1009" s="263"/>
      <c r="I1009" s="248"/>
      <c r="J1009" s="9"/>
      <c r="K1009" s="217"/>
      <c r="L1009" s="217"/>
      <c r="M1009" s="256"/>
      <c r="N1009" s="223"/>
      <c r="O1009" s="257"/>
      <c r="P1009" s="235"/>
      <c r="Q1009" s="262"/>
      <c r="R1009" s="260"/>
      <c r="S1009" s="218"/>
      <c r="T1009" s="219"/>
      <c r="U1009" s="30"/>
      <c r="V1009" s="31"/>
      <c r="W1009" s="30"/>
      <c r="X1009" s="220" t="str">
        <f>IFERROR(VLOOKUP(H1009,NAICS!$A$4:$B$1072,2,FALSE),"Unknown")</f>
        <v>Unknown</v>
      </c>
      <c r="Y1009" s="139">
        <f t="shared" si="28"/>
        <v>0</v>
      </c>
      <c r="Z1009" s="9">
        <f t="shared" si="29"/>
        <v>1</v>
      </c>
    </row>
    <row r="1010" spans="1:26">
      <c r="A1010"/>
      <c r="E1010" s="262"/>
      <c r="F1010" s="262"/>
      <c r="G1010" s="238"/>
      <c r="H1010" s="263"/>
      <c r="I1010" s="248"/>
      <c r="J1010" s="9"/>
      <c r="K1010" s="217"/>
      <c r="L1010" s="217"/>
      <c r="M1010" s="256"/>
      <c r="N1010" s="223"/>
      <c r="O1010" s="257"/>
      <c r="P1010" s="235"/>
      <c r="Q1010" s="262"/>
      <c r="R1010" s="260"/>
      <c r="S1010" s="218"/>
      <c r="T1010" s="219"/>
      <c r="U1010" s="30"/>
      <c r="V1010" s="31"/>
      <c r="W1010" s="30"/>
      <c r="X1010" s="220" t="str">
        <f>IFERROR(VLOOKUP(H1010,NAICS!$A$4:$B$1072,2,FALSE),"Unknown")</f>
        <v>Unknown</v>
      </c>
      <c r="Y1010" s="139">
        <f t="shared" si="28"/>
        <v>0</v>
      </c>
      <c r="Z1010" s="9">
        <f t="shared" si="29"/>
        <v>1</v>
      </c>
    </row>
    <row r="1011" spans="1:26">
      <c r="A1011"/>
      <c r="E1011" s="262"/>
      <c r="F1011" s="262"/>
      <c r="G1011" s="238"/>
      <c r="H1011" s="263"/>
      <c r="I1011" s="248"/>
      <c r="J1011" s="9"/>
      <c r="K1011" s="217"/>
      <c r="L1011" s="217"/>
      <c r="M1011" s="256"/>
      <c r="N1011" s="223"/>
      <c r="O1011" s="257"/>
      <c r="P1011" s="235"/>
      <c r="Q1011" s="262"/>
      <c r="R1011" s="260"/>
      <c r="S1011" s="218"/>
      <c r="T1011" s="219"/>
      <c r="U1011" s="30"/>
      <c r="V1011" s="31"/>
      <c r="W1011" s="30"/>
      <c r="X1011" s="220" t="str">
        <f>IFERROR(VLOOKUP(H1011,NAICS!$A$4:$B$1072,2,FALSE),"Unknown")</f>
        <v>Unknown</v>
      </c>
      <c r="Y1011" s="139">
        <f t="shared" si="28"/>
        <v>0</v>
      </c>
      <c r="Z1011" s="9">
        <f t="shared" si="29"/>
        <v>1</v>
      </c>
    </row>
    <row r="1012" spans="1:26">
      <c r="A1012"/>
      <c r="E1012" s="262"/>
      <c r="F1012" s="262"/>
      <c r="G1012" s="238"/>
      <c r="H1012" s="263"/>
      <c r="I1012" s="248"/>
      <c r="J1012" s="9"/>
      <c r="K1012" s="217"/>
      <c r="L1012" s="217"/>
      <c r="M1012" s="256"/>
      <c r="N1012" s="223"/>
      <c r="O1012" s="257"/>
      <c r="P1012" s="235"/>
      <c r="Q1012" s="262"/>
      <c r="R1012" s="260"/>
      <c r="S1012" s="218"/>
      <c r="T1012" s="219"/>
      <c r="U1012" s="30"/>
      <c r="V1012" s="31"/>
      <c r="W1012" s="30"/>
      <c r="X1012" s="220" t="str">
        <f>IFERROR(VLOOKUP(H1012,NAICS!$A$4:$B$1072,2,FALSE),"Unknown")</f>
        <v>Unknown</v>
      </c>
      <c r="Y1012" s="139">
        <f t="shared" si="28"/>
        <v>0</v>
      </c>
      <c r="Z1012" s="9">
        <f t="shared" si="29"/>
        <v>1</v>
      </c>
    </row>
    <row r="1013" spans="1:26">
      <c r="A1013"/>
      <c r="E1013" s="262"/>
      <c r="F1013" s="262"/>
      <c r="G1013" s="238"/>
      <c r="H1013" s="263"/>
      <c r="I1013" s="248"/>
      <c r="J1013" s="9"/>
      <c r="K1013" s="217"/>
      <c r="L1013" s="217"/>
      <c r="M1013" s="256"/>
      <c r="N1013" s="223"/>
      <c r="O1013" s="257"/>
      <c r="P1013" s="235"/>
      <c r="Q1013" s="262"/>
      <c r="R1013" s="260"/>
      <c r="S1013" s="218"/>
      <c r="T1013" s="219"/>
      <c r="U1013" s="30"/>
      <c r="V1013" s="31"/>
      <c r="W1013" s="30"/>
      <c r="X1013" s="220" t="str">
        <f>IFERROR(VLOOKUP(H1013,NAICS!$A$4:$B$1072,2,FALSE),"Unknown")</f>
        <v>Unknown</v>
      </c>
      <c r="Y1013" s="139">
        <f t="shared" si="28"/>
        <v>0</v>
      </c>
      <c r="Z1013" s="9">
        <f t="shared" si="29"/>
        <v>1</v>
      </c>
    </row>
    <row r="1014" spans="1:26">
      <c r="A1014"/>
      <c r="E1014" s="156"/>
      <c r="F1014" s="156"/>
      <c r="G1014" s="238"/>
      <c r="H1014" s="266"/>
      <c r="I1014" s="248"/>
      <c r="J1014" s="9"/>
      <c r="K1014" s="217"/>
      <c r="L1014" s="217"/>
      <c r="M1014" s="256"/>
      <c r="N1014" s="223"/>
      <c r="O1014" s="257"/>
      <c r="P1014" s="235"/>
      <c r="Q1014" s="262"/>
      <c r="R1014" s="260"/>
      <c r="S1014" s="218"/>
      <c r="T1014" s="219"/>
      <c r="U1014" s="30"/>
      <c r="V1014" s="31"/>
      <c r="W1014" s="30"/>
      <c r="X1014" s="220" t="str">
        <f>IFERROR(VLOOKUP(H1014,NAICS!$A$4:$B$1072,2,FALSE),"Unknown")</f>
        <v>Unknown</v>
      </c>
      <c r="Y1014" s="139">
        <f t="shared" si="28"/>
        <v>0</v>
      </c>
      <c r="Z1014" s="9">
        <f t="shared" si="29"/>
        <v>1</v>
      </c>
    </row>
    <row r="1015" spans="1:26">
      <c r="A1015"/>
      <c r="E1015" s="262"/>
      <c r="F1015" s="262"/>
      <c r="G1015" s="238"/>
      <c r="H1015" s="263"/>
      <c r="I1015" s="248"/>
      <c r="J1015" s="9"/>
      <c r="K1015" s="217"/>
      <c r="L1015" s="217"/>
      <c r="M1015" s="256"/>
      <c r="N1015" s="223"/>
      <c r="O1015" s="257"/>
      <c r="P1015" s="235"/>
      <c r="Q1015" s="262"/>
      <c r="R1015" s="260"/>
      <c r="S1015" s="218"/>
      <c r="T1015" s="219"/>
      <c r="U1015" s="30"/>
      <c r="V1015" s="31"/>
      <c r="W1015" s="30"/>
      <c r="X1015" s="220" t="str">
        <f>IFERROR(VLOOKUP(H1015,NAICS!$A$4:$B$1072,2,FALSE),"Unknown")</f>
        <v>Unknown</v>
      </c>
      <c r="Y1015" s="139">
        <f t="shared" si="28"/>
        <v>0</v>
      </c>
      <c r="Z1015" s="9">
        <f t="shared" si="29"/>
        <v>1</v>
      </c>
    </row>
    <row r="1016" spans="1:26">
      <c r="A1016"/>
      <c r="E1016" s="156"/>
      <c r="F1016" s="156"/>
      <c r="G1016" s="238"/>
      <c r="H1016" s="266"/>
      <c r="I1016" s="248"/>
      <c r="J1016" s="9"/>
      <c r="K1016" s="217"/>
      <c r="L1016" s="217"/>
      <c r="M1016" s="256"/>
      <c r="N1016" s="223"/>
      <c r="O1016" s="257"/>
      <c r="P1016" s="235"/>
      <c r="Q1016" s="262"/>
      <c r="R1016" s="260"/>
      <c r="S1016" s="218"/>
      <c r="T1016" s="219"/>
      <c r="U1016" s="30"/>
      <c r="V1016" s="31"/>
      <c r="W1016" s="30"/>
      <c r="X1016" s="220" t="str">
        <f>IFERROR(VLOOKUP(H1016,NAICS!$A$4:$B$1072,2,FALSE),"Unknown")</f>
        <v>Unknown</v>
      </c>
      <c r="Y1016" s="139">
        <f t="shared" si="28"/>
        <v>0</v>
      </c>
      <c r="Z1016" s="9">
        <f t="shared" si="29"/>
        <v>1</v>
      </c>
    </row>
    <row r="1017" spans="1:26">
      <c r="A1017"/>
      <c r="E1017" s="156"/>
      <c r="F1017" s="156"/>
      <c r="G1017" s="238"/>
      <c r="H1017" s="266"/>
      <c r="I1017" s="248"/>
      <c r="J1017" s="9"/>
      <c r="K1017" s="217"/>
      <c r="L1017" s="217"/>
      <c r="M1017" s="256"/>
      <c r="N1017" s="223"/>
      <c r="O1017" s="257"/>
      <c r="P1017" s="235"/>
      <c r="Q1017" s="262"/>
      <c r="R1017" s="260"/>
      <c r="S1017" s="218"/>
      <c r="T1017" s="219"/>
      <c r="U1017" s="30"/>
      <c r="V1017" s="31"/>
      <c r="W1017" s="30"/>
      <c r="X1017" s="220" t="str">
        <f>IFERROR(VLOOKUP(H1017,NAICS!$A$4:$B$1072,2,FALSE),"Unknown")</f>
        <v>Unknown</v>
      </c>
      <c r="Y1017" s="139">
        <f t="shared" si="28"/>
        <v>0</v>
      </c>
      <c r="Z1017" s="9">
        <f t="shared" si="29"/>
        <v>1</v>
      </c>
    </row>
    <row r="1018" spans="1:26">
      <c r="A1018"/>
      <c r="E1018" s="156"/>
      <c r="F1018" s="156"/>
      <c r="G1018" s="238"/>
      <c r="H1018" s="266"/>
      <c r="I1018" s="248"/>
      <c r="J1018" s="9"/>
      <c r="K1018" s="217"/>
      <c r="L1018" s="217"/>
      <c r="M1018" s="256"/>
      <c r="N1018" s="223"/>
      <c r="O1018" s="257"/>
      <c r="P1018" s="235"/>
      <c r="Q1018" s="262"/>
      <c r="R1018" s="260"/>
      <c r="S1018" s="218"/>
      <c r="T1018" s="219"/>
      <c r="U1018" s="30"/>
      <c r="V1018" s="31"/>
      <c r="W1018" s="30"/>
      <c r="X1018" s="220" t="str">
        <f>IFERROR(VLOOKUP(H1018,NAICS!$A$4:$B$1072,2,FALSE),"Unknown")</f>
        <v>Unknown</v>
      </c>
      <c r="Y1018" s="139">
        <f t="shared" si="28"/>
        <v>0</v>
      </c>
      <c r="Z1018" s="9">
        <f t="shared" si="29"/>
        <v>1</v>
      </c>
    </row>
    <row r="1019" spans="1:26">
      <c r="A1019"/>
      <c r="E1019" s="262"/>
      <c r="F1019" s="262"/>
      <c r="G1019" s="238"/>
      <c r="H1019" s="263"/>
      <c r="I1019" s="248"/>
      <c r="J1019" s="9"/>
      <c r="K1019" s="217"/>
      <c r="L1019" s="217"/>
      <c r="M1019" s="256"/>
      <c r="N1019" s="223"/>
      <c r="O1019" s="257"/>
      <c r="P1019" s="235"/>
      <c r="Q1019" s="262"/>
      <c r="R1019" s="260"/>
      <c r="S1019" s="218"/>
      <c r="T1019" s="219"/>
      <c r="U1019" s="30"/>
      <c r="V1019" s="31"/>
      <c r="W1019" s="30"/>
      <c r="X1019" s="220" t="str">
        <f>IFERROR(VLOOKUP(H1019,NAICS!$A$4:$B$1072,2,FALSE),"Unknown")</f>
        <v>Unknown</v>
      </c>
      <c r="Y1019" s="139">
        <f t="shared" si="28"/>
        <v>0</v>
      </c>
      <c r="Z1019" s="9">
        <f t="shared" si="29"/>
        <v>1</v>
      </c>
    </row>
    <row r="1020" spans="1:26">
      <c r="A1020"/>
      <c r="E1020" s="262"/>
      <c r="F1020" s="262"/>
      <c r="G1020" s="238"/>
      <c r="H1020" s="263"/>
      <c r="I1020" s="248"/>
      <c r="J1020" s="9"/>
      <c r="K1020" s="217"/>
      <c r="L1020" s="217"/>
      <c r="M1020" s="256"/>
      <c r="N1020" s="223"/>
      <c r="O1020" s="257"/>
      <c r="P1020" s="235"/>
      <c r="Q1020" s="262"/>
      <c r="R1020" s="260"/>
      <c r="S1020" s="218"/>
      <c r="T1020" s="219"/>
      <c r="U1020" s="30"/>
      <c r="V1020" s="31"/>
      <c r="W1020" s="30"/>
      <c r="X1020" s="220" t="str">
        <f>IFERROR(VLOOKUP(H1020,NAICS!$A$4:$B$1072,2,FALSE),"Unknown")</f>
        <v>Unknown</v>
      </c>
      <c r="Y1020" s="139">
        <f t="shared" si="28"/>
        <v>0</v>
      </c>
      <c r="Z1020" s="9">
        <f t="shared" si="29"/>
        <v>1</v>
      </c>
    </row>
    <row r="1021" spans="1:26">
      <c r="A1021"/>
      <c r="E1021" s="262"/>
      <c r="F1021" s="262"/>
      <c r="G1021" s="238"/>
      <c r="H1021" s="263"/>
      <c r="I1021" s="248"/>
      <c r="J1021" s="9"/>
      <c r="K1021" s="217"/>
      <c r="L1021" s="217"/>
      <c r="M1021" s="256"/>
      <c r="N1021" s="223"/>
      <c r="O1021" s="257"/>
      <c r="P1021" s="235"/>
      <c r="Q1021" s="262"/>
      <c r="R1021" s="260"/>
      <c r="S1021" s="218"/>
      <c r="T1021" s="219"/>
      <c r="U1021" s="30"/>
      <c r="V1021" s="31"/>
      <c r="W1021" s="30"/>
      <c r="X1021" s="220" t="str">
        <f>IFERROR(VLOOKUP(H1021,NAICS!$A$4:$B$1072,2,FALSE),"Unknown")</f>
        <v>Unknown</v>
      </c>
      <c r="Y1021" s="139">
        <f t="shared" si="28"/>
        <v>0</v>
      </c>
      <c r="Z1021" s="9">
        <f t="shared" si="29"/>
        <v>1</v>
      </c>
    </row>
    <row r="1022" spans="1:26">
      <c r="A1022"/>
      <c r="E1022" s="262"/>
      <c r="F1022" s="262"/>
      <c r="G1022" s="238"/>
      <c r="H1022" s="263"/>
      <c r="I1022" s="248"/>
      <c r="J1022" s="9"/>
      <c r="K1022" s="217"/>
      <c r="L1022" s="217"/>
      <c r="M1022" s="256"/>
      <c r="N1022" s="223"/>
      <c r="O1022" s="257"/>
      <c r="P1022" s="235"/>
      <c r="Q1022" s="262"/>
      <c r="R1022" s="260"/>
      <c r="S1022" s="218"/>
      <c r="T1022" s="219"/>
      <c r="U1022" s="30"/>
      <c r="V1022" s="31"/>
      <c r="W1022" s="30"/>
      <c r="X1022" s="220" t="str">
        <f>IFERROR(VLOOKUP(H1022,NAICS!$A$4:$B$1072,2,FALSE),"Unknown")</f>
        <v>Unknown</v>
      </c>
      <c r="Y1022" s="139">
        <f t="shared" si="28"/>
        <v>0</v>
      </c>
      <c r="Z1022" s="9">
        <f t="shared" si="29"/>
        <v>1</v>
      </c>
    </row>
    <row r="1023" spans="1:26">
      <c r="A1023"/>
      <c r="E1023" s="262"/>
      <c r="F1023" s="262"/>
      <c r="G1023" s="238"/>
      <c r="H1023" s="263"/>
      <c r="I1023" s="248"/>
      <c r="J1023" s="9"/>
      <c r="K1023" s="217"/>
      <c r="L1023" s="217"/>
      <c r="M1023" s="256"/>
      <c r="N1023" s="223"/>
      <c r="O1023" s="257"/>
      <c r="P1023" s="235"/>
      <c r="Q1023" s="262"/>
      <c r="R1023" s="260"/>
      <c r="S1023" s="218"/>
      <c r="T1023" s="219"/>
      <c r="U1023" s="30"/>
      <c r="V1023" s="31"/>
      <c r="W1023" s="30"/>
      <c r="X1023" s="220" t="str">
        <f>IFERROR(VLOOKUP(H1023,NAICS!$A$4:$B$1072,2,FALSE),"Unknown")</f>
        <v>Unknown</v>
      </c>
      <c r="Y1023" s="139">
        <f t="shared" si="28"/>
        <v>0</v>
      </c>
      <c r="Z1023" s="9">
        <f t="shared" si="29"/>
        <v>1</v>
      </c>
    </row>
    <row r="1024" spans="1:26">
      <c r="A1024"/>
      <c r="E1024" s="156"/>
      <c r="F1024" s="156"/>
      <c r="G1024" s="238"/>
      <c r="H1024" s="266"/>
      <c r="I1024" s="248"/>
      <c r="J1024" s="9"/>
      <c r="K1024" s="217"/>
      <c r="L1024" s="217"/>
      <c r="M1024" s="256"/>
      <c r="N1024" s="223"/>
      <c r="O1024" s="257"/>
      <c r="P1024" s="235"/>
      <c r="Q1024" s="262"/>
      <c r="R1024" s="260"/>
      <c r="S1024" s="218"/>
      <c r="T1024" s="219"/>
      <c r="U1024" s="30"/>
      <c r="V1024" s="31"/>
      <c r="W1024" s="30"/>
      <c r="X1024" s="220" t="str">
        <f>IFERROR(VLOOKUP(H1024,NAICS!$A$4:$B$1072,2,FALSE),"Unknown")</f>
        <v>Unknown</v>
      </c>
      <c r="Y1024" s="139">
        <f t="shared" si="28"/>
        <v>0</v>
      </c>
      <c r="Z1024" s="9">
        <f t="shared" si="29"/>
        <v>1</v>
      </c>
    </row>
    <row r="1025" spans="1:26">
      <c r="A1025"/>
      <c r="E1025" s="156"/>
      <c r="F1025" s="156"/>
      <c r="G1025" s="238"/>
      <c r="H1025" s="266"/>
      <c r="I1025" s="248"/>
      <c r="J1025" s="9"/>
      <c r="K1025" s="217"/>
      <c r="L1025" s="217"/>
      <c r="M1025" s="256"/>
      <c r="N1025" s="223"/>
      <c r="O1025" s="257"/>
      <c r="P1025" s="235"/>
      <c r="Q1025" s="262"/>
      <c r="R1025" s="260"/>
      <c r="S1025" s="218"/>
      <c r="T1025" s="219"/>
      <c r="U1025" s="30"/>
      <c r="V1025" s="31"/>
      <c r="W1025" s="30"/>
      <c r="X1025" s="220" t="str">
        <f>IFERROR(VLOOKUP(H1025,NAICS!$A$4:$B$1072,2,FALSE),"Unknown")</f>
        <v>Unknown</v>
      </c>
      <c r="Y1025" s="139">
        <f t="shared" si="28"/>
        <v>0</v>
      </c>
      <c r="Z1025" s="9">
        <f t="shared" si="29"/>
        <v>1</v>
      </c>
    </row>
    <row r="1026" spans="1:26">
      <c r="A1026"/>
      <c r="E1026" s="262"/>
      <c r="F1026" s="262"/>
      <c r="G1026" s="238"/>
      <c r="H1026" s="263"/>
      <c r="I1026" s="248"/>
      <c r="J1026" s="9"/>
      <c r="K1026" s="217"/>
      <c r="L1026" s="217"/>
      <c r="M1026" s="256"/>
      <c r="N1026" s="223"/>
      <c r="O1026" s="257"/>
      <c r="P1026" s="235"/>
      <c r="Q1026" s="262"/>
      <c r="R1026" s="260"/>
      <c r="S1026" s="218"/>
      <c r="T1026" s="219"/>
      <c r="U1026" s="30"/>
      <c r="V1026" s="31"/>
      <c r="W1026" s="30"/>
      <c r="X1026" s="220" t="str">
        <f>IFERROR(VLOOKUP(H1026,NAICS!$A$4:$B$1072,2,FALSE),"Unknown")</f>
        <v>Unknown</v>
      </c>
      <c r="Y1026" s="139">
        <f t="shared" si="28"/>
        <v>0</v>
      </c>
      <c r="Z1026" s="9">
        <f t="shared" si="29"/>
        <v>1</v>
      </c>
    </row>
    <row r="1027" spans="1:26">
      <c r="A1027"/>
      <c r="E1027" s="262"/>
      <c r="F1027" s="262"/>
      <c r="G1027" s="238"/>
      <c r="H1027" s="263"/>
      <c r="I1027" s="248"/>
      <c r="J1027" s="9"/>
      <c r="K1027" s="217"/>
      <c r="L1027" s="217"/>
      <c r="M1027" s="256"/>
      <c r="N1027" s="223"/>
      <c r="O1027" s="257"/>
      <c r="P1027" s="235"/>
      <c r="Q1027" s="262"/>
      <c r="R1027" s="260"/>
      <c r="S1027" s="218"/>
      <c r="T1027" s="219"/>
      <c r="U1027" s="30"/>
      <c r="V1027" s="31"/>
      <c r="W1027" s="30"/>
      <c r="X1027" s="220" t="str">
        <f>IFERROR(VLOOKUP(H1027,NAICS!$A$4:$B$1072,2,FALSE),"Unknown")</f>
        <v>Unknown</v>
      </c>
      <c r="Y1027" s="139">
        <f t="shared" si="28"/>
        <v>0</v>
      </c>
      <c r="Z1027" s="9">
        <f t="shared" si="29"/>
        <v>1</v>
      </c>
    </row>
    <row r="1028" spans="1:26">
      <c r="A1028"/>
      <c r="E1028" s="262"/>
      <c r="F1028" s="262"/>
      <c r="G1028" s="238"/>
      <c r="H1028" s="263"/>
      <c r="I1028" s="248"/>
      <c r="J1028" s="9"/>
      <c r="K1028" s="217"/>
      <c r="L1028" s="217"/>
      <c r="M1028" s="256"/>
      <c r="N1028" s="223"/>
      <c r="O1028" s="257"/>
      <c r="P1028" s="235"/>
      <c r="Q1028" s="262"/>
      <c r="R1028" s="260"/>
      <c r="S1028" s="218"/>
      <c r="T1028" s="219"/>
      <c r="U1028" s="30"/>
      <c r="V1028" s="31"/>
      <c r="W1028" s="30"/>
      <c r="X1028" s="220" t="str">
        <f>IFERROR(VLOOKUP(H1028,NAICS!$A$4:$B$1072,2,FALSE),"Unknown")</f>
        <v>Unknown</v>
      </c>
      <c r="Y1028" s="139">
        <f t="shared" si="28"/>
        <v>0</v>
      </c>
      <c r="Z1028" s="9">
        <f t="shared" si="29"/>
        <v>1</v>
      </c>
    </row>
    <row r="1029" spans="1:26">
      <c r="A1029"/>
      <c r="E1029" s="156"/>
      <c r="F1029" s="156"/>
      <c r="G1029" s="238"/>
      <c r="H1029" s="266"/>
      <c r="I1029" s="248"/>
      <c r="J1029" s="9"/>
      <c r="K1029" s="217"/>
      <c r="L1029" s="217"/>
      <c r="M1029" s="256"/>
      <c r="N1029" s="223"/>
      <c r="O1029" s="257"/>
      <c r="P1029" s="235"/>
      <c r="Q1029" s="262"/>
      <c r="R1029" s="260"/>
      <c r="S1029" s="218"/>
      <c r="T1029" s="219"/>
      <c r="U1029" s="30"/>
      <c r="V1029" s="31"/>
      <c r="W1029" s="30"/>
      <c r="X1029" s="220" t="str">
        <f>IFERROR(VLOOKUP(H1029,NAICS!$A$4:$B$1072,2,FALSE),"Unknown")</f>
        <v>Unknown</v>
      </c>
      <c r="Y1029" s="139">
        <f t="shared" si="28"/>
        <v>0</v>
      </c>
      <c r="Z1029" s="9">
        <f t="shared" si="29"/>
        <v>1</v>
      </c>
    </row>
    <row r="1030" spans="1:26">
      <c r="A1030"/>
      <c r="E1030" s="156"/>
      <c r="F1030" s="156"/>
      <c r="G1030" s="238"/>
      <c r="H1030" s="266"/>
      <c r="I1030" s="248"/>
      <c r="J1030" s="9"/>
      <c r="K1030" s="217"/>
      <c r="L1030" s="217"/>
      <c r="M1030" s="256"/>
      <c r="N1030" s="223"/>
      <c r="O1030" s="257"/>
      <c r="P1030" s="235"/>
      <c r="Q1030" s="262"/>
      <c r="R1030" s="260"/>
      <c r="S1030" s="218"/>
      <c r="T1030" s="219"/>
      <c r="U1030" s="30"/>
      <c r="V1030" s="31"/>
      <c r="W1030" s="30"/>
      <c r="X1030" s="220" t="str">
        <f>IFERROR(VLOOKUP(H1030,NAICS!$A$4:$B$1072,2,FALSE),"Unknown")</f>
        <v>Unknown</v>
      </c>
      <c r="Y1030" s="139">
        <f t="shared" si="28"/>
        <v>0</v>
      </c>
      <c r="Z1030" s="9">
        <f t="shared" si="29"/>
        <v>1</v>
      </c>
    </row>
    <row r="1031" spans="1:26">
      <c r="A1031"/>
      <c r="E1031" s="262"/>
      <c r="F1031" s="262"/>
      <c r="G1031" s="238"/>
      <c r="H1031" s="263"/>
      <c r="I1031" s="248"/>
      <c r="J1031" s="9"/>
      <c r="K1031" s="217"/>
      <c r="L1031" s="217"/>
      <c r="M1031" s="256"/>
      <c r="N1031" s="223"/>
      <c r="O1031" s="257"/>
      <c r="P1031" s="235"/>
      <c r="Q1031" s="262"/>
      <c r="R1031" s="260"/>
      <c r="S1031" s="218"/>
      <c r="T1031" s="219"/>
      <c r="U1031" s="30"/>
      <c r="V1031" s="31"/>
      <c r="W1031" s="30"/>
      <c r="X1031" s="220" t="str">
        <f>IFERROR(VLOOKUP(H1031,NAICS!$A$4:$B$1072,2,FALSE),"Unknown")</f>
        <v>Unknown</v>
      </c>
      <c r="Y1031" s="139">
        <f t="shared" si="28"/>
        <v>0</v>
      </c>
      <c r="Z1031" s="9">
        <f t="shared" si="29"/>
        <v>1</v>
      </c>
    </row>
    <row r="1032" spans="1:26">
      <c r="A1032"/>
      <c r="E1032" s="262"/>
      <c r="F1032" s="262"/>
      <c r="G1032" s="238"/>
      <c r="H1032" s="263"/>
      <c r="I1032" s="248"/>
      <c r="J1032" s="9"/>
      <c r="K1032" s="217"/>
      <c r="L1032" s="217"/>
      <c r="M1032" s="256"/>
      <c r="N1032" s="223"/>
      <c r="O1032" s="257"/>
      <c r="P1032" s="235"/>
      <c r="Q1032" s="262"/>
      <c r="R1032" s="260"/>
      <c r="S1032" s="218"/>
      <c r="T1032" s="219"/>
      <c r="U1032" s="30"/>
      <c r="V1032" s="31"/>
      <c r="W1032" s="30"/>
      <c r="X1032" s="220" t="str">
        <f>IFERROR(VLOOKUP(H1032,NAICS!$A$4:$B$1072,2,FALSE),"Unknown")</f>
        <v>Unknown</v>
      </c>
      <c r="Y1032" s="139">
        <f t="shared" si="28"/>
        <v>0</v>
      </c>
      <c r="Z1032" s="9">
        <f t="shared" si="29"/>
        <v>1</v>
      </c>
    </row>
    <row r="1033" spans="1:26">
      <c r="A1033"/>
      <c r="E1033" s="262"/>
      <c r="F1033" s="262"/>
      <c r="G1033" s="238"/>
      <c r="H1033" s="263"/>
      <c r="I1033" s="248"/>
      <c r="J1033" s="9"/>
      <c r="K1033" s="217"/>
      <c r="L1033" s="217"/>
      <c r="M1033" s="256"/>
      <c r="N1033" s="223"/>
      <c r="O1033" s="257"/>
      <c r="P1033" s="235"/>
      <c r="Q1033" s="262"/>
      <c r="R1033" s="260"/>
      <c r="S1033" s="218"/>
      <c r="T1033" s="219"/>
      <c r="U1033" s="30"/>
      <c r="V1033" s="31"/>
      <c r="W1033" s="30"/>
      <c r="X1033" s="220" t="str">
        <f>IFERROR(VLOOKUP(H1033,NAICS!$A$4:$B$1072,2,FALSE),"Unknown")</f>
        <v>Unknown</v>
      </c>
      <c r="Y1033" s="139">
        <f t="shared" si="28"/>
        <v>0</v>
      </c>
      <c r="Z1033" s="9">
        <f t="shared" si="29"/>
        <v>1</v>
      </c>
    </row>
    <row r="1034" spans="1:26">
      <c r="A1034"/>
      <c r="E1034" s="262"/>
      <c r="F1034" s="262"/>
      <c r="G1034" s="238"/>
      <c r="H1034" s="263"/>
      <c r="I1034" s="248"/>
      <c r="J1034" s="9"/>
      <c r="K1034" s="217"/>
      <c r="L1034" s="217"/>
      <c r="M1034" s="256"/>
      <c r="N1034" s="223"/>
      <c r="O1034" s="257"/>
      <c r="P1034" s="235"/>
      <c r="Q1034" s="262"/>
      <c r="R1034" s="260"/>
      <c r="S1034" s="218"/>
      <c r="T1034" s="219"/>
      <c r="U1034" s="30"/>
      <c r="V1034" s="31"/>
      <c r="W1034" s="30"/>
      <c r="X1034" s="220" t="str">
        <f>IFERROR(VLOOKUP(H1034,NAICS!$A$4:$B$1072,2,FALSE),"Unknown")</f>
        <v>Unknown</v>
      </c>
      <c r="Y1034" s="139">
        <f t="shared" si="28"/>
        <v>0</v>
      </c>
      <c r="Z1034" s="9">
        <f t="shared" si="29"/>
        <v>1</v>
      </c>
    </row>
    <row r="1035" spans="1:26">
      <c r="A1035"/>
      <c r="E1035" s="156"/>
      <c r="F1035" s="156"/>
      <c r="G1035" s="238"/>
      <c r="H1035" s="266"/>
      <c r="I1035" s="248"/>
      <c r="J1035" s="9"/>
      <c r="K1035" s="217"/>
      <c r="L1035" s="217"/>
      <c r="M1035" s="256"/>
      <c r="N1035" s="223"/>
      <c r="O1035" s="257"/>
      <c r="P1035" s="235"/>
      <c r="Q1035" s="262"/>
      <c r="R1035" s="260"/>
      <c r="S1035" s="218"/>
      <c r="T1035" s="219"/>
      <c r="U1035" s="30"/>
      <c r="V1035" s="31"/>
      <c r="W1035" s="30"/>
      <c r="X1035" s="220" t="str">
        <f>IFERROR(VLOOKUP(H1035,NAICS!$A$4:$B$1072,2,FALSE),"Unknown")</f>
        <v>Unknown</v>
      </c>
      <c r="Y1035" s="139">
        <f t="shared" si="28"/>
        <v>0</v>
      </c>
      <c r="Z1035" s="9">
        <f t="shared" si="29"/>
        <v>1</v>
      </c>
    </row>
    <row r="1036" spans="1:26">
      <c r="A1036"/>
      <c r="E1036" s="156"/>
      <c r="F1036" s="156"/>
      <c r="G1036" s="238"/>
      <c r="H1036" s="266"/>
      <c r="I1036" s="248"/>
      <c r="J1036" s="9"/>
      <c r="K1036" s="217"/>
      <c r="L1036" s="217"/>
      <c r="M1036" s="256"/>
      <c r="N1036" s="223"/>
      <c r="O1036" s="257"/>
      <c r="P1036" s="235"/>
      <c r="Q1036" s="262"/>
      <c r="R1036" s="260"/>
      <c r="S1036" s="218"/>
      <c r="T1036" s="219"/>
      <c r="U1036" s="30"/>
      <c r="V1036" s="31"/>
      <c r="W1036" s="30"/>
      <c r="X1036" s="220" t="str">
        <f>IFERROR(VLOOKUP(H1036,NAICS!$A$4:$B$1072,2,FALSE),"Unknown")</f>
        <v>Unknown</v>
      </c>
      <c r="Y1036" s="139">
        <f t="shared" si="28"/>
        <v>0</v>
      </c>
      <c r="Z1036" s="9">
        <f t="shared" si="29"/>
        <v>1</v>
      </c>
    </row>
    <row r="1037" spans="1:26">
      <c r="A1037"/>
      <c r="E1037" s="156"/>
      <c r="F1037" s="156"/>
      <c r="G1037" s="238"/>
      <c r="H1037" s="266"/>
      <c r="I1037" s="248"/>
      <c r="J1037" s="9"/>
      <c r="K1037" s="217"/>
      <c r="L1037" s="217"/>
      <c r="M1037" s="256"/>
      <c r="N1037" s="223"/>
      <c r="O1037" s="257"/>
      <c r="P1037" s="235"/>
      <c r="Q1037" s="262"/>
      <c r="R1037" s="260"/>
      <c r="S1037" s="218"/>
      <c r="T1037" s="219"/>
      <c r="U1037" s="30"/>
      <c r="V1037" s="31"/>
      <c r="W1037" s="30"/>
      <c r="X1037" s="220" t="str">
        <f>IFERROR(VLOOKUP(H1037,NAICS!$A$4:$B$1072,2,FALSE),"Unknown")</f>
        <v>Unknown</v>
      </c>
      <c r="Y1037" s="139">
        <f t="shared" ref="Y1037:Y1100" si="30">IF(U1037&gt;=180,IF(V1037&lt;=12,5%,IF(AND(V1037&gt;12,V1037&lt;24),3%,IF(AND(V1037&gt;24,V1037&lt;36),1%,0%))),0%)</f>
        <v>0</v>
      </c>
      <c r="Z1037" s="9">
        <f t="shared" ref="Z1037:Z1100" si="31">IF(AND(U1037&gt;=$AE$2,U1037&lt;=$AF$2),1,IF(AND(U1037&gt;$AE$3,U1037&lt;=$AF$3),2,IF(AND(U1037&gt;$AE$4,U1037&lt;=$AF$4),3,IF(AND(U1037&gt;$AE$5,U1037&lt;=$AF$5),4,IF(AND(U1037&gt;$AE$6,U1037&lt;=$AF$6),5,"")))))</f>
        <v>1</v>
      </c>
    </row>
    <row r="1038" spans="1:26">
      <c r="A1038"/>
      <c r="E1038" s="156"/>
      <c r="F1038" s="156"/>
      <c r="G1038" s="238"/>
      <c r="H1038" s="266"/>
      <c r="I1038" s="248"/>
      <c r="J1038" s="9"/>
      <c r="K1038" s="217"/>
      <c r="L1038" s="217"/>
      <c r="M1038" s="256"/>
      <c r="N1038" s="223"/>
      <c r="O1038" s="257"/>
      <c r="P1038" s="235"/>
      <c r="Q1038" s="262"/>
      <c r="R1038" s="260"/>
      <c r="S1038" s="218"/>
      <c r="T1038" s="219"/>
      <c r="U1038" s="30"/>
      <c r="V1038" s="31"/>
      <c r="W1038" s="30"/>
      <c r="X1038" s="220" t="str">
        <f>IFERROR(VLOOKUP(H1038,NAICS!$A$4:$B$1072,2,FALSE),"Unknown")</f>
        <v>Unknown</v>
      </c>
      <c r="Y1038" s="139">
        <f t="shared" si="30"/>
        <v>0</v>
      </c>
      <c r="Z1038" s="9">
        <f t="shared" si="31"/>
        <v>1</v>
      </c>
    </row>
    <row r="1039" spans="1:26">
      <c r="A1039"/>
      <c r="E1039" s="156"/>
      <c r="F1039" s="156"/>
      <c r="G1039" s="238"/>
      <c r="H1039" s="266"/>
      <c r="I1039" s="248"/>
      <c r="J1039" s="9"/>
      <c r="K1039" s="217"/>
      <c r="L1039" s="217"/>
      <c r="M1039" s="256"/>
      <c r="N1039" s="223"/>
      <c r="O1039" s="257"/>
      <c r="P1039" s="235"/>
      <c r="Q1039" s="262"/>
      <c r="R1039" s="260"/>
      <c r="S1039" s="218"/>
      <c r="T1039" s="219"/>
      <c r="U1039" s="30"/>
      <c r="V1039" s="31"/>
      <c r="W1039" s="30"/>
      <c r="X1039" s="220" t="str">
        <f>IFERROR(VLOOKUP(H1039,NAICS!$A$4:$B$1072,2,FALSE),"Unknown")</f>
        <v>Unknown</v>
      </c>
      <c r="Y1039" s="139">
        <f t="shared" si="30"/>
        <v>0</v>
      </c>
      <c r="Z1039" s="9">
        <f t="shared" si="31"/>
        <v>1</v>
      </c>
    </row>
    <row r="1040" spans="1:26">
      <c r="A1040"/>
      <c r="E1040" s="262"/>
      <c r="F1040" s="262"/>
      <c r="G1040" s="238"/>
      <c r="H1040" s="263"/>
      <c r="I1040" s="248"/>
      <c r="J1040" s="9"/>
      <c r="K1040" s="217"/>
      <c r="L1040" s="217"/>
      <c r="M1040" s="256"/>
      <c r="N1040" s="223"/>
      <c r="O1040" s="257"/>
      <c r="P1040" s="235"/>
      <c r="Q1040" s="262"/>
      <c r="R1040" s="260"/>
      <c r="S1040" s="218"/>
      <c r="T1040" s="219"/>
      <c r="U1040" s="30"/>
      <c r="V1040" s="31"/>
      <c r="W1040" s="30"/>
      <c r="X1040" s="220" t="str">
        <f>IFERROR(VLOOKUP(H1040,NAICS!$A$4:$B$1072,2,FALSE),"Unknown")</f>
        <v>Unknown</v>
      </c>
      <c r="Y1040" s="139">
        <f t="shared" si="30"/>
        <v>0</v>
      </c>
      <c r="Z1040" s="9">
        <f t="shared" si="31"/>
        <v>1</v>
      </c>
    </row>
    <row r="1041" spans="1:26">
      <c r="A1041"/>
      <c r="E1041" s="262"/>
      <c r="F1041" s="262"/>
      <c r="G1041" s="238"/>
      <c r="H1041" s="263"/>
      <c r="I1041" s="248"/>
      <c r="J1041" s="9"/>
      <c r="K1041" s="217"/>
      <c r="L1041" s="217"/>
      <c r="M1041" s="256"/>
      <c r="N1041" s="223"/>
      <c r="O1041" s="257"/>
      <c r="P1041" s="235"/>
      <c r="Q1041" s="262"/>
      <c r="R1041" s="260"/>
      <c r="S1041" s="218"/>
      <c r="T1041" s="219"/>
      <c r="U1041" s="30"/>
      <c r="V1041" s="31"/>
      <c r="W1041" s="30"/>
      <c r="X1041" s="220" t="str">
        <f>IFERROR(VLOOKUP(H1041,NAICS!$A$4:$B$1072,2,FALSE),"Unknown")</f>
        <v>Unknown</v>
      </c>
      <c r="Y1041" s="139">
        <f t="shared" si="30"/>
        <v>0</v>
      </c>
      <c r="Z1041" s="9">
        <f t="shared" si="31"/>
        <v>1</v>
      </c>
    </row>
    <row r="1042" spans="1:26">
      <c r="A1042"/>
      <c r="E1042" s="262"/>
      <c r="F1042" s="262"/>
      <c r="G1042" s="238"/>
      <c r="H1042" s="263"/>
      <c r="I1042" s="248"/>
      <c r="J1042" s="9"/>
      <c r="K1042" s="217"/>
      <c r="L1042" s="217"/>
      <c r="M1042" s="256"/>
      <c r="N1042" s="223"/>
      <c r="O1042" s="257"/>
      <c r="P1042" s="235"/>
      <c r="Q1042" s="262"/>
      <c r="R1042" s="260"/>
      <c r="S1042" s="218"/>
      <c r="T1042" s="219"/>
      <c r="U1042" s="30"/>
      <c r="V1042" s="31"/>
      <c r="W1042" s="30"/>
      <c r="X1042" s="220" t="str">
        <f>IFERROR(VLOOKUP(H1042,NAICS!$A$4:$B$1072,2,FALSE),"Unknown")</f>
        <v>Unknown</v>
      </c>
      <c r="Y1042" s="139">
        <f t="shared" si="30"/>
        <v>0</v>
      </c>
      <c r="Z1042" s="9">
        <f t="shared" si="31"/>
        <v>1</v>
      </c>
    </row>
    <row r="1043" spans="1:26">
      <c r="A1043"/>
      <c r="E1043" s="262"/>
      <c r="F1043" s="262"/>
      <c r="G1043" s="238"/>
      <c r="H1043" s="263"/>
      <c r="I1043" s="248"/>
      <c r="J1043" s="9"/>
      <c r="K1043" s="217"/>
      <c r="L1043" s="217"/>
      <c r="M1043" s="256"/>
      <c r="N1043" s="223"/>
      <c r="O1043" s="257"/>
      <c r="P1043" s="235"/>
      <c r="Q1043" s="262"/>
      <c r="R1043" s="260"/>
      <c r="S1043" s="218"/>
      <c r="T1043" s="219"/>
      <c r="U1043" s="30"/>
      <c r="V1043" s="31"/>
      <c r="W1043" s="30"/>
      <c r="X1043" s="220" t="str">
        <f>IFERROR(VLOOKUP(H1043,NAICS!$A$4:$B$1072,2,FALSE),"Unknown")</f>
        <v>Unknown</v>
      </c>
      <c r="Y1043" s="139">
        <f t="shared" si="30"/>
        <v>0</v>
      </c>
      <c r="Z1043" s="9">
        <f t="shared" si="31"/>
        <v>1</v>
      </c>
    </row>
    <row r="1044" spans="1:26">
      <c r="A1044"/>
      <c r="E1044" s="262"/>
      <c r="F1044" s="262"/>
      <c r="G1044" s="238"/>
      <c r="H1044" s="263"/>
      <c r="I1044" s="248"/>
      <c r="J1044" s="9"/>
      <c r="K1044" s="217"/>
      <c r="L1044" s="217"/>
      <c r="M1044" s="256"/>
      <c r="N1044" s="223"/>
      <c r="O1044" s="257"/>
      <c r="P1044" s="235"/>
      <c r="Q1044" s="262"/>
      <c r="R1044" s="260"/>
      <c r="S1044" s="218"/>
      <c r="T1044" s="219"/>
      <c r="U1044" s="30"/>
      <c r="V1044" s="31"/>
      <c r="W1044" s="30"/>
      <c r="X1044" s="220" t="str">
        <f>IFERROR(VLOOKUP(H1044,NAICS!$A$4:$B$1072,2,FALSE),"Unknown")</f>
        <v>Unknown</v>
      </c>
      <c r="Y1044" s="139">
        <f t="shared" si="30"/>
        <v>0</v>
      </c>
      <c r="Z1044" s="9">
        <f t="shared" si="31"/>
        <v>1</v>
      </c>
    </row>
    <row r="1045" spans="1:26">
      <c r="A1045"/>
      <c r="E1045" s="262"/>
      <c r="F1045" s="262"/>
      <c r="G1045" s="238"/>
      <c r="H1045" s="263"/>
      <c r="I1045" s="248"/>
      <c r="J1045" s="9"/>
      <c r="K1045" s="217"/>
      <c r="L1045" s="217"/>
      <c r="M1045" s="256"/>
      <c r="N1045" s="223"/>
      <c r="O1045" s="257"/>
      <c r="P1045" s="235"/>
      <c r="Q1045" s="262"/>
      <c r="R1045" s="260"/>
      <c r="S1045" s="218"/>
      <c r="T1045" s="219"/>
      <c r="U1045" s="30"/>
      <c r="V1045" s="31"/>
      <c r="W1045" s="30"/>
      <c r="X1045" s="220" t="str">
        <f>IFERROR(VLOOKUP(H1045,NAICS!$A$4:$B$1072,2,FALSE),"Unknown")</f>
        <v>Unknown</v>
      </c>
      <c r="Y1045" s="139">
        <f t="shared" si="30"/>
        <v>0</v>
      </c>
      <c r="Z1045" s="9">
        <f t="shared" si="31"/>
        <v>1</v>
      </c>
    </row>
    <row r="1046" spans="1:26">
      <c r="A1046"/>
      <c r="E1046" s="262"/>
      <c r="F1046" s="262"/>
      <c r="G1046" s="238"/>
      <c r="H1046" s="263"/>
      <c r="I1046" s="248"/>
      <c r="J1046" s="9"/>
      <c r="K1046" s="217"/>
      <c r="L1046" s="217"/>
      <c r="M1046" s="256"/>
      <c r="N1046" s="223"/>
      <c r="O1046" s="257"/>
      <c r="P1046" s="235"/>
      <c r="Q1046" s="262"/>
      <c r="R1046" s="260"/>
      <c r="S1046" s="218"/>
      <c r="T1046" s="219"/>
      <c r="U1046" s="30"/>
      <c r="V1046" s="31"/>
      <c r="W1046" s="30"/>
      <c r="X1046" s="220" t="str">
        <f>IFERROR(VLOOKUP(H1046,NAICS!$A$4:$B$1072,2,FALSE),"Unknown")</f>
        <v>Unknown</v>
      </c>
      <c r="Y1046" s="139">
        <f t="shared" si="30"/>
        <v>0</v>
      </c>
      <c r="Z1046" s="9">
        <f t="shared" si="31"/>
        <v>1</v>
      </c>
    </row>
    <row r="1047" spans="1:26">
      <c r="A1047"/>
      <c r="E1047" s="262"/>
      <c r="F1047" s="262"/>
      <c r="G1047" s="238"/>
      <c r="H1047" s="263"/>
      <c r="I1047" s="248"/>
      <c r="J1047" s="9"/>
      <c r="K1047" s="217"/>
      <c r="L1047" s="217"/>
      <c r="M1047" s="256"/>
      <c r="N1047" s="223"/>
      <c r="O1047" s="257"/>
      <c r="P1047" s="235"/>
      <c r="Q1047" s="262"/>
      <c r="R1047" s="260"/>
      <c r="S1047" s="218"/>
      <c r="T1047" s="219"/>
      <c r="U1047" s="30"/>
      <c r="V1047" s="31"/>
      <c r="W1047" s="30"/>
      <c r="X1047" s="220" t="str">
        <f>IFERROR(VLOOKUP(H1047,NAICS!$A$4:$B$1072,2,FALSE),"Unknown")</f>
        <v>Unknown</v>
      </c>
      <c r="Y1047" s="139">
        <f t="shared" si="30"/>
        <v>0</v>
      </c>
      <c r="Z1047" s="9">
        <f t="shared" si="31"/>
        <v>1</v>
      </c>
    </row>
    <row r="1048" spans="1:26">
      <c r="A1048"/>
      <c r="E1048" s="262"/>
      <c r="F1048" s="262"/>
      <c r="G1048" s="238"/>
      <c r="H1048" s="263"/>
      <c r="I1048" s="248"/>
      <c r="J1048" s="9"/>
      <c r="K1048" s="217"/>
      <c r="L1048" s="217"/>
      <c r="M1048" s="256"/>
      <c r="N1048" s="223"/>
      <c r="O1048" s="257"/>
      <c r="P1048" s="235"/>
      <c r="Q1048" s="262"/>
      <c r="R1048" s="260"/>
      <c r="S1048" s="218"/>
      <c r="T1048" s="219"/>
      <c r="U1048" s="30"/>
      <c r="V1048" s="31"/>
      <c r="W1048" s="30"/>
      <c r="X1048" s="220" t="str">
        <f>IFERROR(VLOOKUP(H1048,NAICS!$A$4:$B$1072,2,FALSE),"Unknown")</f>
        <v>Unknown</v>
      </c>
      <c r="Y1048" s="139">
        <f t="shared" si="30"/>
        <v>0</v>
      </c>
      <c r="Z1048" s="9">
        <f t="shared" si="31"/>
        <v>1</v>
      </c>
    </row>
    <row r="1049" spans="1:26">
      <c r="A1049"/>
      <c r="E1049" s="156"/>
      <c r="F1049" s="156"/>
      <c r="G1049" s="238"/>
      <c r="H1049" s="266"/>
      <c r="I1049" s="248"/>
      <c r="J1049" s="9"/>
      <c r="K1049" s="217"/>
      <c r="L1049" s="217"/>
      <c r="M1049" s="256"/>
      <c r="N1049" s="223"/>
      <c r="O1049" s="257"/>
      <c r="P1049" s="235"/>
      <c r="Q1049" s="262"/>
      <c r="R1049" s="260"/>
      <c r="S1049" s="218"/>
      <c r="T1049" s="219"/>
      <c r="U1049" s="30"/>
      <c r="V1049" s="31"/>
      <c r="W1049" s="30"/>
      <c r="X1049" s="220" t="str">
        <f>IFERROR(VLOOKUP(H1049,NAICS!$A$4:$B$1072,2,FALSE),"Unknown")</f>
        <v>Unknown</v>
      </c>
      <c r="Y1049" s="139">
        <f t="shared" si="30"/>
        <v>0</v>
      </c>
      <c r="Z1049" s="9">
        <f t="shared" si="31"/>
        <v>1</v>
      </c>
    </row>
    <row r="1050" spans="1:26">
      <c r="A1050"/>
      <c r="E1050" s="156"/>
      <c r="F1050" s="156"/>
      <c r="G1050" s="238"/>
      <c r="H1050" s="266"/>
      <c r="I1050" s="248"/>
      <c r="J1050" s="9"/>
      <c r="K1050" s="217"/>
      <c r="L1050" s="217"/>
      <c r="M1050" s="256"/>
      <c r="N1050" s="223"/>
      <c r="O1050" s="257"/>
      <c r="P1050" s="235"/>
      <c r="Q1050" s="262"/>
      <c r="R1050" s="260"/>
      <c r="S1050" s="218"/>
      <c r="T1050" s="219"/>
      <c r="U1050" s="30"/>
      <c r="V1050" s="31"/>
      <c r="W1050" s="30"/>
      <c r="X1050" s="220" t="str">
        <f>IFERROR(VLOOKUP(H1050,NAICS!$A$4:$B$1072,2,FALSE),"Unknown")</f>
        <v>Unknown</v>
      </c>
      <c r="Y1050" s="139">
        <f t="shared" si="30"/>
        <v>0</v>
      </c>
      <c r="Z1050" s="9">
        <f t="shared" si="31"/>
        <v>1</v>
      </c>
    </row>
    <row r="1051" spans="1:26">
      <c r="A1051"/>
      <c r="E1051" s="262"/>
      <c r="F1051" s="262"/>
      <c r="G1051" s="238"/>
      <c r="H1051" s="263"/>
      <c r="I1051" s="248"/>
      <c r="J1051" s="9"/>
      <c r="K1051" s="217"/>
      <c r="L1051" s="217"/>
      <c r="M1051" s="256"/>
      <c r="N1051" s="223"/>
      <c r="O1051" s="257"/>
      <c r="P1051" s="235"/>
      <c r="Q1051" s="262"/>
      <c r="R1051" s="260"/>
      <c r="S1051" s="218"/>
      <c r="T1051" s="219"/>
      <c r="U1051" s="30"/>
      <c r="V1051" s="31"/>
      <c r="W1051" s="30"/>
      <c r="X1051" s="220" t="str">
        <f>IFERROR(VLOOKUP(H1051,NAICS!$A$4:$B$1072,2,FALSE),"Unknown")</f>
        <v>Unknown</v>
      </c>
      <c r="Y1051" s="139">
        <f t="shared" si="30"/>
        <v>0</v>
      </c>
      <c r="Z1051" s="9">
        <f t="shared" si="31"/>
        <v>1</v>
      </c>
    </row>
    <row r="1052" spans="1:26">
      <c r="A1052"/>
      <c r="E1052" s="262"/>
      <c r="F1052" s="262"/>
      <c r="G1052" s="238"/>
      <c r="H1052" s="263"/>
      <c r="I1052" s="248"/>
      <c r="J1052" s="9"/>
      <c r="K1052" s="217"/>
      <c r="L1052" s="217"/>
      <c r="M1052" s="256"/>
      <c r="N1052" s="223"/>
      <c r="O1052" s="257"/>
      <c r="P1052" s="235"/>
      <c r="Q1052" s="262"/>
      <c r="R1052" s="260"/>
      <c r="S1052" s="218"/>
      <c r="T1052" s="219"/>
      <c r="U1052" s="30"/>
      <c r="V1052" s="31"/>
      <c r="W1052" s="30"/>
      <c r="X1052" s="220" t="str">
        <f>IFERROR(VLOOKUP(H1052,NAICS!$A$4:$B$1072,2,FALSE),"Unknown")</f>
        <v>Unknown</v>
      </c>
      <c r="Y1052" s="139">
        <f t="shared" si="30"/>
        <v>0</v>
      </c>
      <c r="Z1052" s="9">
        <f t="shared" si="31"/>
        <v>1</v>
      </c>
    </row>
    <row r="1053" spans="1:26">
      <c r="A1053"/>
      <c r="E1053" s="262"/>
      <c r="F1053" s="262"/>
      <c r="G1053" s="238"/>
      <c r="H1053" s="263"/>
      <c r="I1053" s="248"/>
      <c r="J1053" s="9"/>
      <c r="K1053" s="217"/>
      <c r="L1053" s="217"/>
      <c r="M1053" s="256"/>
      <c r="N1053" s="223"/>
      <c r="O1053" s="257"/>
      <c r="P1053" s="235"/>
      <c r="Q1053" s="262"/>
      <c r="R1053" s="260"/>
      <c r="S1053" s="218"/>
      <c r="T1053" s="219"/>
      <c r="U1053" s="30"/>
      <c r="V1053" s="31"/>
      <c r="W1053" s="30"/>
      <c r="X1053" s="220" t="str">
        <f>IFERROR(VLOOKUP(H1053,NAICS!$A$4:$B$1072,2,FALSE),"Unknown")</f>
        <v>Unknown</v>
      </c>
      <c r="Y1053" s="139">
        <f t="shared" si="30"/>
        <v>0</v>
      </c>
      <c r="Z1053" s="9">
        <f t="shared" si="31"/>
        <v>1</v>
      </c>
    </row>
    <row r="1054" spans="1:26">
      <c r="A1054"/>
      <c r="E1054" s="262"/>
      <c r="F1054" s="262"/>
      <c r="G1054" s="238"/>
      <c r="H1054" s="263"/>
      <c r="I1054" s="248"/>
      <c r="J1054" s="9"/>
      <c r="K1054" s="217"/>
      <c r="L1054" s="217"/>
      <c r="M1054" s="256"/>
      <c r="N1054" s="223"/>
      <c r="O1054" s="257"/>
      <c r="P1054" s="235"/>
      <c r="Q1054" s="262"/>
      <c r="R1054" s="260"/>
      <c r="S1054" s="218"/>
      <c r="T1054" s="219"/>
      <c r="U1054" s="30"/>
      <c r="V1054" s="31"/>
      <c r="W1054" s="30"/>
      <c r="X1054" s="220" t="str">
        <f>IFERROR(VLOOKUP(H1054,NAICS!$A$4:$B$1072,2,FALSE),"Unknown")</f>
        <v>Unknown</v>
      </c>
      <c r="Y1054" s="139">
        <f t="shared" si="30"/>
        <v>0</v>
      </c>
      <c r="Z1054" s="9">
        <f t="shared" si="31"/>
        <v>1</v>
      </c>
    </row>
    <row r="1055" spans="1:26">
      <c r="A1055"/>
      <c r="E1055" s="156"/>
      <c r="F1055" s="156"/>
      <c r="G1055" s="238"/>
      <c r="H1055" s="266"/>
      <c r="I1055" s="248"/>
      <c r="J1055" s="9"/>
      <c r="K1055" s="217"/>
      <c r="L1055" s="217"/>
      <c r="M1055" s="256"/>
      <c r="N1055" s="223"/>
      <c r="O1055" s="257"/>
      <c r="P1055" s="235"/>
      <c r="Q1055" s="262"/>
      <c r="R1055" s="260"/>
      <c r="S1055" s="218"/>
      <c r="T1055" s="219"/>
      <c r="U1055" s="30"/>
      <c r="V1055" s="31"/>
      <c r="W1055" s="30"/>
      <c r="X1055" s="220" t="str">
        <f>IFERROR(VLOOKUP(H1055,NAICS!$A$4:$B$1072,2,FALSE),"Unknown")</f>
        <v>Unknown</v>
      </c>
      <c r="Y1055" s="139">
        <f t="shared" si="30"/>
        <v>0</v>
      </c>
      <c r="Z1055" s="9">
        <f t="shared" si="31"/>
        <v>1</v>
      </c>
    </row>
    <row r="1056" spans="1:26">
      <c r="A1056"/>
      <c r="E1056" s="262"/>
      <c r="F1056" s="262"/>
      <c r="G1056" s="238"/>
      <c r="H1056" s="263"/>
      <c r="I1056" s="248"/>
      <c r="J1056" s="9"/>
      <c r="K1056" s="217"/>
      <c r="L1056" s="217"/>
      <c r="M1056" s="256"/>
      <c r="N1056" s="223"/>
      <c r="O1056" s="257"/>
      <c r="P1056" s="235"/>
      <c r="Q1056" s="262"/>
      <c r="R1056" s="260"/>
      <c r="S1056" s="218"/>
      <c r="T1056" s="219"/>
      <c r="U1056" s="30"/>
      <c r="V1056" s="31"/>
      <c r="W1056" s="30"/>
      <c r="X1056" s="220" t="str">
        <f>IFERROR(VLOOKUP(H1056,NAICS!$A$4:$B$1072,2,FALSE),"Unknown")</f>
        <v>Unknown</v>
      </c>
      <c r="Y1056" s="139">
        <f t="shared" si="30"/>
        <v>0</v>
      </c>
      <c r="Z1056" s="9">
        <f t="shared" si="31"/>
        <v>1</v>
      </c>
    </row>
    <row r="1057" spans="1:26">
      <c r="A1057"/>
      <c r="E1057" s="262"/>
      <c r="F1057" s="262"/>
      <c r="G1057" s="238"/>
      <c r="H1057" s="263"/>
      <c r="I1057" s="248"/>
      <c r="J1057" s="9"/>
      <c r="K1057" s="217"/>
      <c r="L1057" s="217"/>
      <c r="M1057" s="256"/>
      <c r="N1057" s="223"/>
      <c r="O1057" s="257"/>
      <c r="P1057" s="235"/>
      <c r="Q1057" s="262"/>
      <c r="R1057" s="260"/>
      <c r="S1057" s="218"/>
      <c r="T1057" s="219"/>
      <c r="U1057" s="30"/>
      <c r="V1057" s="31"/>
      <c r="W1057" s="30"/>
      <c r="X1057" s="220" t="str">
        <f>IFERROR(VLOOKUP(H1057,NAICS!$A$4:$B$1072,2,FALSE),"Unknown")</f>
        <v>Unknown</v>
      </c>
      <c r="Y1057" s="139">
        <f t="shared" si="30"/>
        <v>0</v>
      </c>
      <c r="Z1057" s="9">
        <f t="shared" si="31"/>
        <v>1</v>
      </c>
    </row>
    <row r="1058" spans="1:26">
      <c r="A1058"/>
      <c r="E1058" s="262"/>
      <c r="F1058" s="262"/>
      <c r="G1058" s="238"/>
      <c r="H1058" s="263"/>
      <c r="I1058" s="248"/>
      <c r="J1058" s="9"/>
      <c r="K1058" s="217"/>
      <c r="L1058" s="217"/>
      <c r="M1058" s="256"/>
      <c r="N1058" s="223"/>
      <c r="O1058" s="257"/>
      <c r="P1058" s="235"/>
      <c r="Q1058" s="262"/>
      <c r="R1058" s="260"/>
      <c r="S1058" s="218"/>
      <c r="T1058" s="219"/>
      <c r="U1058" s="30"/>
      <c r="V1058" s="31"/>
      <c r="W1058" s="30"/>
      <c r="X1058" s="220" t="str">
        <f>IFERROR(VLOOKUP(H1058,NAICS!$A$4:$B$1072,2,FALSE),"Unknown")</f>
        <v>Unknown</v>
      </c>
      <c r="Y1058" s="139">
        <f t="shared" si="30"/>
        <v>0</v>
      </c>
      <c r="Z1058" s="9">
        <f t="shared" si="31"/>
        <v>1</v>
      </c>
    </row>
    <row r="1059" spans="1:26">
      <c r="A1059"/>
      <c r="E1059" s="262"/>
      <c r="F1059" s="262"/>
      <c r="G1059" s="238"/>
      <c r="H1059" s="263"/>
      <c r="I1059" s="248"/>
      <c r="J1059" s="9"/>
      <c r="K1059" s="217"/>
      <c r="L1059" s="217"/>
      <c r="M1059" s="256"/>
      <c r="N1059" s="223"/>
      <c r="O1059" s="257"/>
      <c r="P1059" s="235"/>
      <c r="Q1059" s="262"/>
      <c r="R1059" s="260"/>
      <c r="S1059" s="218"/>
      <c r="T1059" s="219"/>
      <c r="U1059" s="30"/>
      <c r="V1059" s="31"/>
      <c r="W1059" s="30"/>
      <c r="X1059" s="220" t="str">
        <f>IFERROR(VLOOKUP(H1059,NAICS!$A$4:$B$1072,2,FALSE),"Unknown")</f>
        <v>Unknown</v>
      </c>
      <c r="Y1059" s="139">
        <f t="shared" si="30"/>
        <v>0</v>
      </c>
      <c r="Z1059" s="9">
        <f t="shared" si="31"/>
        <v>1</v>
      </c>
    </row>
    <row r="1060" spans="1:26">
      <c r="A1060"/>
      <c r="E1060" s="262"/>
      <c r="F1060" s="262"/>
      <c r="G1060" s="238"/>
      <c r="H1060" s="263"/>
      <c r="I1060" s="248"/>
      <c r="J1060" s="9"/>
      <c r="K1060" s="217"/>
      <c r="L1060" s="217"/>
      <c r="M1060" s="256"/>
      <c r="N1060" s="223"/>
      <c r="O1060" s="257"/>
      <c r="P1060" s="235"/>
      <c r="Q1060" s="262"/>
      <c r="R1060" s="260"/>
      <c r="S1060" s="218"/>
      <c r="T1060" s="219"/>
      <c r="U1060" s="30"/>
      <c r="V1060" s="31"/>
      <c r="W1060" s="30"/>
      <c r="X1060" s="220" t="str">
        <f>IFERROR(VLOOKUP(H1060,NAICS!$A$4:$B$1072,2,FALSE),"Unknown")</f>
        <v>Unknown</v>
      </c>
      <c r="Y1060" s="139">
        <f t="shared" si="30"/>
        <v>0</v>
      </c>
      <c r="Z1060" s="9">
        <f t="shared" si="31"/>
        <v>1</v>
      </c>
    </row>
    <row r="1061" spans="1:26">
      <c r="A1061"/>
      <c r="E1061" s="156"/>
      <c r="F1061" s="156"/>
      <c r="G1061" s="238"/>
      <c r="H1061" s="266"/>
      <c r="I1061" s="248"/>
      <c r="J1061" s="9"/>
      <c r="K1061" s="217"/>
      <c r="L1061" s="217"/>
      <c r="M1061" s="256"/>
      <c r="N1061" s="223"/>
      <c r="O1061" s="257"/>
      <c r="P1061" s="235"/>
      <c r="Q1061" s="262"/>
      <c r="R1061" s="260"/>
      <c r="S1061" s="218"/>
      <c r="T1061" s="219"/>
      <c r="U1061" s="30"/>
      <c r="V1061" s="31"/>
      <c r="W1061" s="30"/>
      <c r="X1061" s="220" t="str">
        <f>IFERROR(VLOOKUP(H1061,NAICS!$A$4:$B$1072,2,FALSE),"Unknown")</f>
        <v>Unknown</v>
      </c>
      <c r="Y1061" s="139">
        <f t="shared" si="30"/>
        <v>0</v>
      </c>
      <c r="Z1061" s="9">
        <f t="shared" si="31"/>
        <v>1</v>
      </c>
    </row>
    <row r="1062" spans="1:26">
      <c r="A1062"/>
      <c r="E1062" s="262"/>
      <c r="F1062" s="262"/>
      <c r="G1062" s="238"/>
      <c r="H1062" s="263"/>
      <c r="I1062" s="248"/>
      <c r="J1062" s="9"/>
      <c r="K1062" s="217"/>
      <c r="L1062" s="217"/>
      <c r="M1062" s="256"/>
      <c r="N1062" s="223"/>
      <c r="O1062" s="257"/>
      <c r="P1062" s="235"/>
      <c r="Q1062" s="262"/>
      <c r="R1062" s="260"/>
      <c r="S1062" s="218"/>
      <c r="T1062" s="219"/>
      <c r="U1062" s="30"/>
      <c r="V1062" s="31"/>
      <c r="W1062" s="30"/>
      <c r="X1062" s="220" t="str">
        <f>IFERROR(VLOOKUP(H1062,NAICS!$A$4:$B$1072,2,FALSE),"Unknown")</f>
        <v>Unknown</v>
      </c>
      <c r="Y1062" s="139">
        <f t="shared" si="30"/>
        <v>0</v>
      </c>
      <c r="Z1062" s="9">
        <f t="shared" si="31"/>
        <v>1</v>
      </c>
    </row>
    <row r="1063" spans="1:26">
      <c r="A1063"/>
      <c r="E1063" s="262"/>
      <c r="F1063" s="262"/>
      <c r="G1063" s="238"/>
      <c r="H1063" s="263"/>
      <c r="I1063" s="248"/>
      <c r="J1063" s="9"/>
      <c r="K1063" s="217"/>
      <c r="L1063" s="217"/>
      <c r="M1063" s="256"/>
      <c r="N1063" s="223"/>
      <c r="O1063" s="257"/>
      <c r="P1063" s="235"/>
      <c r="Q1063" s="262"/>
      <c r="R1063" s="260"/>
      <c r="S1063" s="218"/>
      <c r="T1063" s="219"/>
      <c r="U1063" s="30"/>
      <c r="V1063" s="31"/>
      <c r="W1063" s="30"/>
      <c r="X1063" s="220" t="str">
        <f>IFERROR(VLOOKUP(H1063,NAICS!$A$4:$B$1072,2,FALSE),"Unknown")</f>
        <v>Unknown</v>
      </c>
      <c r="Y1063" s="139">
        <f t="shared" si="30"/>
        <v>0</v>
      </c>
      <c r="Z1063" s="9">
        <f t="shared" si="31"/>
        <v>1</v>
      </c>
    </row>
    <row r="1064" spans="1:26">
      <c r="A1064"/>
      <c r="E1064" s="156"/>
      <c r="F1064" s="156"/>
      <c r="G1064" s="238"/>
      <c r="H1064" s="266"/>
      <c r="I1064" s="248"/>
      <c r="J1064" s="9"/>
      <c r="K1064" s="217"/>
      <c r="L1064" s="217"/>
      <c r="M1064" s="256"/>
      <c r="N1064" s="223"/>
      <c r="O1064" s="257"/>
      <c r="P1064" s="235"/>
      <c r="Q1064" s="262"/>
      <c r="R1064" s="260"/>
      <c r="S1064" s="218"/>
      <c r="T1064" s="219"/>
      <c r="U1064" s="30"/>
      <c r="V1064" s="31"/>
      <c r="W1064" s="30"/>
      <c r="X1064" s="220" t="str">
        <f>IFERROR(VLOOKUP(H1064,NAICS!$A$4:$B$1072,2,FALSE),"Unknown")</f>
        <v>Unknown</v>
      </c>
      <c r="Y1064" s="139">
        <f t="shared" si="30"/>
        <v>0</v>
      </c>
      <c r="Z1064" s="9">
        <f t="shared" si="31"/>
        <v>1</v>
      </c>
    </row>
    <row r="1065" spans="1:26">
      <c r="A1065"/>
      <c r="E1065" s="262"/>
      <c r="F1065" s="262"/>
      <c r="G1065" s="238"/>
      <c r="H1065" s="263"/>
      <c r="I1065" s="248"/>
      <c r="J1065" s="9"/>
      <c r="K1065" s="217"/>
      <c r="L1065" s="217"/>
      <c r="M1065" s="256"/>
      <c r="N1065" s="223"/>
      <c r="O1065" s="257"/>
      <c r="P1065" s="235"/>
      <c r="Q1065" s="262"/>
      <c r="R1065" s="260"/>
      <c r="S1065" s="218"/>
      <c r="T1065" s="219"/>
      <c r="U1065" s="30"/>
      <c r="V1065" s="31"/>
      <c r="W1065" s="30"/>
      <c r="X1065" s="220" t="str">
        <f>IFERROR(VLOOKUP(H1065,NAICS!$A$4:$B$1072,2,FALSE),"Unknown")</f>
        <v>Unknown</v>
      </c>
      <c r="Y1065" s="139">
        <f t="shared" si="30"/>
        <v>0</v>
      </c>
      <c r="Z1065" s="9">
        <f t="shared" si="31"/>
        <v>1</v>
      </c>
    </row>
    <row r="1066" spans="1:26">
      <c r="A1066"/>
      <c r="E1066" s="262"/>
      <c r="F1066" s="262"/>
      <c r="G1066" s="238"/>
      <c r="H1066" s="263"/>
      <c r="I1066" s="248"/>
      <c r="J1066" s="9"/>
      <c r="K1066" s="217"/>
      <c r="L1066" s="217"/>
      <c r="M1066" s="256"/>
      <c r="N1066" s="223"/>
      <c r="O1066" s="257"/>
      <c r="P1066" s="235"/>
      <c r="Q1066" s="262"/>
      <c r="R1066" s="260"/>
      <c r="S1066" s="218"/>
      <c r="T1066" s="219"/>
      <c r="U1066" s="30"/>
      <c r="V1066" s="31"/>
      <c r="W1066" s="30"/>
      <c r="X1066" s="220" t="str">
        <f>IFERROR(VLOOKUP(H1066,NAICS!$A$4:$B$1072,2,FALSE),"Unknown")</f>
        <v>Unknown</v>
      </c>
      <c r="Y1066" s="139">
        <f t="shared" si="30"/>
        <v>0</v>
      </c>
      <c r="Z1066" s="9">
        <f t="shared" si="31"/>
        <v>1</v>
      </c>
    </row>
    <row r="1067" spans="1:26">
      <c r="A1067"/>
      <c r="E1067" s="262"/>
      <c r="F1067" s="262"/>
      <c r="G1067" s="238"/>
      <c r="H1067" s="263"/>
      <c r="I1067" s="248"/>
      <c r="J1067" s="9"/>
      <c r="K1067" s="217"/>
      <c r="L1067" s="217"/>
      <c r="M1067" s="256"/>
      <c r="N1067" s="223"/>
      <c r="O1067" s="257"/>
      <c r="P1067" s="235"/>
      <c r="Q1067" s="262"/>
      <c r="R1067" s="260"/>
      <c r="S1067" s="218"/>
      <c r="T1067" s="219"/>
      <c r="U1067" s="30"/>
      <c r="V1067" s="31"/>
      <c r="W1067" s="30"/>
      <c r="X1067" s="220" t="str">
        <f>IFERROR(VLOOKUP(H1067,NAICS!$A$4:$B$1072,2,FALSE),"Unknown")</f>
        <v>Unknown</v>
      </c>
      <c r="Y1067" s="139">
        <f t="shared" si="30"/>
        <v>0</v>
      </c>
      <c r="Z1067" s="9">
        <f t="shared" si="31"/>
        <v>1</v>
      </c>
    </row>
    <row r="1068" spans="1:26">
      <c r="A1068"/>
      <c r="E1068" s="156"/>
      <c r="F1068" s="156"/>
      <c r="G1068" s="238"/>
      <c r="H1068" s="266"/>
      <c r="I1068" s="248"/>
      <c r="J1068" s="9"/>
      <c r="K1068" s="217"/>
      <c r="L1068" s="217"/>
      <c r="M1068" s="256"/>
      <c r="N1068" s="223"/>
      <c r="O1068" s="257"/>
      <c r="P1068" s="235"/>
      <c r="Q1068" s="262"/>
      <c r="R1068" s="260"/>
      <c r="S1068" s="218"/>
      <c r="T1068" s="219"/>
      <c r="U1068" s="30"/>
      <c r="V1068" s="31"/>
      <c r="W1068" s="30"/>
      <c r="X1068" s="220" t="str">
        <f>IFERROR(VLOOKUP(H1068,NAICS!$A$4:$B$1072,2,FALSE),"Unknown")</f>
        <v>Unknown</v>
      </c>
      <c r="Y1068" s="139">
        <f t="shared" si="30"/>
        <v>0</v>
      </c>
      <c r="Z1068" s="9">
        <f t="shared" si="31"/>
        <v>1</v>
      </c>
    </row>
    <row r="1069" spans="1:26">
      <c r="A1069"/>
      <c r="E1069" s="262"/>
      <c r="F1069" s="262"/>
      <c r="G1069" s="238"/>
      <c r="H1069" s="263"/>
      <c r="I1069" s="248"/>
      <c r="J1069" s="9"/>
      <c r="K1069" s="217"/>
      <c r="L1069" s="217"/>
      <c r="M1069" s="256"/>
      <c r="N1069" s="223"/>
      <c r="O1069" s="257"/>
      <c r="P1069" s="235"/>
      <c r="Q1069" s="262"/>
      <c r="R1069" s="260"/>
      <c r="S1069" s="218"/>
      <c r="T1069" s="219"/>
      <c r="U1069" s="30"/>
      <c r="V1069" s="31"/>
      <c r="W1069" s="30"/>
      <c r="X1069" s="220" t="str">
        <f>IFERROR(VLOOKUP(H1069,NAICS!$A$4:$B$1072,2,FALSE),"Unknown")</f>
        <v>Unknown</v>
      </c>
      <c r="Y1069" s="139">
        <f t="shared" si="30"/>
        <v>0</v>
      </c>
      <c r="Z1069" s="9">
        <f t="shared" si="31"/>
        <v>1</v>
      </c>
    </row>
    <row r="1070" spans="1:26">
      <c r="A1070"/>
      <c r="E1070" s="262"/>
      <c r="F1070" s="262"/>
      <c r="G1070" s="238"/>
      <c r="H1070" s="263"/>
      <c r="I1070" s="248"/>
      <c r="J1070" s="9"/>
      <c r="K1070" s="217"/>
      <c r="L1070" s="217"/>
      <c r="M1070" s="256"/>
      <c r="N1070" s="223"/>
      <c r="O1070" s="257"/>
      <c r="P1070" s="235"/>
      <c r="Q1070" s="262"/>
      <c r="R1070" s="260"/>
      <c r="S1070" s="218"/>
      <c r="T1070" s="219"/>
      <c r="U1070" s="30"/>
      <c r="V1070" s="31"/>
      <c r="W1070" s="30"/>
      <c r="X1070" s="220" t="str">
        <f>IFERROR(VLOOKUP(H1070,NAICS!$A$4:$B$1072,2,FALSE),"Unknown")</f>
        <v>Unknown</v>
      </c>
      <c r="Y1070" s="139">
        <f t="shared" si="30"/>
        <v>0</v>
      </c>
      <c r="Z1070" s="9">
        <f t="shared" si="31"/>
        <v>1</v>
      </c>
    </row>
    <row r="1071" spans="1:26">
      <c r="A1071"/>
      <c r="E1071" s="262"/>
      <c r="F1071" s="262"/>
      <c r="G1071" s="238"/>
      <c r="H1071" s="263"/>
      <c r="I1071" s="248"/>
      <c r="J1071" s="9"/>
      <c r="K1071" s="217"/>
      <c r="L1071" s="217"/>
      <c r="M1071" s="256"/>
      <c r="N1071" s="223"/>
      <c r="O1071" s="257"/>
      <c r="P1071" s="235"/>
      <c r="Q1071" s="262"/>
      <c r="R1071" s="260"/>
      <c r="S1071" s="218"/>
      <c r="T1071" s="219"/>
      <c r="U1071" s="30"/>
      <c r="V1071" s="31"/>
      <c r="W1071" s="30"/>
      <c r="X1071" s="220" t="str">
        <f>IFERROR(VLOOKUP(H1071,NAICS!$A$4:$B$1072,2,FALSE),"Unknown")</f>
        <v>Unknown</v>
      </c>
      <c r="Y1071" s="139">
        <f t="shared" si="30"/>
        <v>0</v>
      </c>
      <c r="Z1071" s="9">
        <f t="shared" si="31"/>
        <v>1</v>
      </c>
    </row>
    <row r="1072" spans="1:26">
      <c r="A1072"/>
      <c r="E1072" s="262"/>
      <c r="F1072" s="262"/>
      <c r="G1072" s="238"/>
      <c r="H1072" s="263"/>
      <c r="I1072" s="248"/>
      <c r="J1072" s="9"/>
      <c r="K1072" s="217"/>
      <c r="L1072" s="217"/>
      <c r="M1072" s="256"/>
      <c r="N1072" s="223"/>
      <c r="O1072" s="257"/>
      <c r="P1072" s="235"/>
      <c r="Q1072" s="262"/>
      <c r="R1072" s="260"/>
      <c r="S1072" s="218"/>
      <c r="T1072" s="219"/>
      <c r="U1072" s="30"/>
      <c r="V1072" s="31"/>
      <c r="W1072" s="30"/>
      <c r="X1072" s="220" t="str">
        <f>IFERROR(VLOOKUP(H1072,NAICS!$A$4:$B$1072,2,FALSE),"Unknown")</f>
        <v>Unknown</v>
      </c>
      <c r="Y1072" s="139">
        <f t="shared" si="30"/>
        <v>0</v>
      </c>
      <c r="Z1072" s="9">
        <f t="shared" si="31"/>
        <v>1</v>
      </c>
    </row>
    <row r="1073" spans="1:26">
      <c r="A1073"/>
      <c r="E1073" s="262"/>
      <c r="F1073" s="262"/>
      <c r="G1073" s="238"/>
      <c r="H1073" s="263"/>
      <c r="I1073" s="248"/>
      <c r="J1073" s="9"/>
      <c r="K1073" s="217"/>
      <c r="L1073" s="217"/>
      <c r="M1073" s="256"/>
      <c r="N1073" s="223"/>
      <c r="O1073" s="257"/>
      <c r="P1073" s="235"/>
      <c r="Q1073" s="262"/>
      <c r="R1073" s="260"/>
      <c r="S1073" s="218"/>
      <c r="T1073" s="219"/>
      <c r="U1073" s="30"/>
      <c r="V1073" s="31"/>
      <c r="W1073" s="30"/>
      <c r="X1073" s="220" t="str">
        <f>IFERROR(VLOOKUP(H1073,NAICS!$A$4:$B$1072,2,FALSE),"Unknown")</f>
        <v>Unknown</v>
      </c>
      <c r="Y1073" s="139">
        <f t="shared" si="30"/>
        <v>0</v>
      </c>
      <c r="Z1073" s="9">
        <f t="shared" si="31"/>
        <v>1</v>
      </c>
    </row>
    <row r="1074" spans="1:26">
      <c r="A1074"/>
      <c r="E1074" s="156"/>
      <c r="F1074" s="156"/>
      <c r="G1074" s="238"/>
      <c r="H1074" s="266"/>
      <c r="I1074" s="248"/>
      <c r="J1074" s="9"/>
      <c r="K1074" s="217"/>
      <c r="L1074" s="217"/>
      <c r="M1074" s="256"/>
      <c r="N1074" s="223"/>
      <c r="O1074" s="257"/>
      <c r="P1074" s="235"/>
      <c r="Q1074" s="262"/>
      <c r="R1074" s="260"/>
      <c r="S1074" s="218"/>
      <c r="T1074" s="219"/>
      <c r="U1074" s="30"/>
      <c r="V1074" s="31"/>
      <c r="W1074" s="30"/>
      <c r="X1074" s="220" t="str">
        <f>IFERROR(VLOOKUP(H1074,NAICS!$A$4:$B$1072,2,FALSE),"Unknown")</f>
        <v>Unknown</v>
      </c>
      <c r="Y1074" s="139">
        <f t="shared" si="30"/>
        <v>0</v>
      </c>
      <c r="Z1074" s="9">
        <f t="shared" si="31"/>
        <v>1</v>
      </c>
    </row>
    <row r="1075" spans="1:26">
      <c r="A1075"/>
      <c r="E1075" s="262"/>
      <c r="F1075" s="262"/>
      <c r="G1075" s="238"/>
      <c r="H1075" s="263"/>
      <c r="I1075" s="248"/>
      <c r="J1075" s="9"/>
      <c r="K1075" s="217"/>
      <c r="L1075" s="217"/>
      <c r="M1075" s="256"/>
      <c r="N1075" s="223"/>
      <c r="O1075" s="257"/>
      <c r="P1075" s="235"/>
      <c r="Q1075" s="262"/>
      <c r="R1075" s="260"/>
      <c r="S1075" s="218"/>
      <c r="T1075" s="219"/>
      <c r="U1075" s="30"/>
      <c r="V1075" s="31"/>
      <c r="W1075" s="30"/>
      <c r="X1075" s="220" t="str">
        <f>IFERROR(VLOOKUP(H1075,NAICS!$A$4:$B$1072,2,FALSE),"Unknown")</f>
        <v>Unknown</v>
      </c>
      <c r="Y1075" s="139">
        <f t="shared" si="30"/>
        <v>0</v>
      </c>
      <c r="Z1075" s="9">
        <f t="shared" si="31"/>
        <v>1</v>
      </c>
    </row>
    <row r="1076" spans="1:26">
      <c r="A1076"/>
      <c r="E1076" s="156"/>
      <c r="F1076" s="156"/>
      <c r="G1076" s="238"/>
      <c r="H1076" s="266"/>
      <c r="I1076" s="248"/>
      <c r="J1076" s="9"/>
      <c r="K1076" s="217"/>
      <c r="L1076" s="217"/>
      <c r="M1076" s="256"/>
      <c r="N1076" s="223"/>
      <c r="O1076" s="257"/>
      <c r="P1076" s="235"/>
      <c r="Q1076" s="262"/>
      <c r="R1076" s="260"/>
      <c r="S1076" s="218"/>
      <c r="T1076" s="219"/>
      <c r="U1076" s="30"/>
      <c r="V1076" s="31"/>
      <c r="W1076" s="30"/>
      <c r="X1076" s="220" t="str">
        <f>IFERROR(VLOOKUP(H1076,NAICS!$A$4:$B$1072,2,FALSE),"Unknown")</f>
        <v>Unknown</v>
      </c>
      <c r="Y1076" s="139">
        <f t="shared" si="30"/>
        <v>0</v>
      </c>
      <c r="Z1076" s="9">
        <f t="shared" si="31"/>
        <v>1</v>
      </c>
    </row>
    <row r="1077" spans="1:26">
      <c r="A1077"/>
      <c r="E1077" s="262"/>
      <c r="F1077" s="262"/>
      <c r="G1077" s="238"/>
      <c r="H1077" s="263"/>
      <c r="I1077" s="248"/>
      <c r="J1077" s="9"/>
      <c r="K1077" s="217"/>
      <c r="L1077" s="217"/>
      <c r="M1077" s="256"/>
      <c r="N1077" s="223"/>
      <c r="O1077" s="257"/>
      <c r="P1077" s="235"/>
      <c r="Q1077" s="262"/>
      <c r="R1077" s="260"/>
      <c r="S1077" s="218"/>
      <c r="T1077" s="219"/>
      <c r="U1077" s="30"/>
      <c r="V1077" s="31"/>
      <c r="W1077" s="30"/>
      <c r="X1077" s="220" t="str">
        <f>IFERROR(VLOOKUP(H1077,NAICS!$A$4:$B$1072,2,FALSE),"Unknown")</f>
        <v>Unknown</v>
      </c>
      <c r="Y1077" s="139">
        <f t="shared" si="30"/>
        <v>0</v>
      </c>
      <c r="Z1077" s="9">
        <f t="shared" si="31"/>
        <v>1</v>
      </c>
    </row>
    <row r="1078" spans="1:26">
      <c r="A1078"/>
      <c r="E1078" s="156"/>
      <c r="F1078" s="156"/>
      <c r="G1078" s="238"/>
      <c r="H1078" s="266"/>
      <c r="I1078" s="248"/>
      <c r="J1078" s="9"/>
      <c r="K1078" s="217"/>
      <c r="L1078" s="217"/>
      <c r="M1078" s="256"/>
      <c r="N1078" s="223"/>
      <c r="O1078" s="257"/>
      <c r="P1078" s="235"/>
      <c r="Q1078" s="262"/>
      <c r="R1078" s="260"/>
      <c r="S1078" s="218"/>
      <c r="T1078" s="219"/>
      <c r="U1078" s="30"/>
      <c r="V1078" s="31"/>
      <c r="W1078" s="30"/>
      <c r="X1078" s="220" t="str">
        <f>IFERROR(VLOOKUP(H1078,NAICS!$A$4:$B$1072,2,FALSE),"Unknown")</f>
        <v>Unknown</v>
      </c>
      <c r="Y1078" s="139">
        <f t="shared" si="30"/>
        <v>0</v>
      </c>
      <c r="Z1078" s="9">
        <f t="shared" si="31"/>
        <v>1</v>
      </c>
    </row>
    <row r="1079" spans="1:26">
      <c r="A1079"/>
      <c r="E1079" s="156"/>
      <c r="F1079" s="156"/>
      <c r="G1079" s="238"/>
      <c r="H1079" s="266"/>
      <c r="I1079" s="248"/>
      <c r="J1079" s="9"/>
      <c r="K1079" s="217"/>
      <c r="L1079" s="217"/>
      <c r="M1079" s="256"/>
      <c r="N1079" s="223"/>
      <c r="O1079" s="257"/>
      <c r="P1079" s="235"/>
      <c r="Q1079" s="262"/>
      <c r="R1079" s="260"/>
      <c r="S1079" s="218"/>
      <c r="T1079" s="219"/>
      <c r="U1079" s="30"/>
      <c r="V1079" s="31"/>
      <c r="W1079" s="30"/>
      <c r="X1079" s="220" t="str">
        <f>IFERROR(VLOOKUP(H1079,NAICS!$A$4:$B$1072,2,FALSE),"Unknown")</f>
        <v>Unknown</v>
      </c>
      <c r="Y1079" s="139">
        <f t="shared" si="30"/>
        <v>0</v>
      </c>
      <c r="Z1079" s="9">
        <f t="shared" si="31"/>
        <v>1</v>
      </c>
    </row>
    <row r="1080" spans="1:26">
      <c r="A1080"/>
      <c r="E1080" s="259"/>
      <c r="F1080" s="259"/>
      <c r="G1080" s="238"/>
      <c r="H1080" s="264"/>
      <c r="I1080" s="248"/>
      <c r="J1080" s="9"/>
      <c r="K1080" s="217"/>
      <c r="L1080" s="217"/>
      <c r="M1080" s="256"/>
      <c r="N1080" s="223"/>
      <c r="O1080" s="257"/>
      <c r="P1080" s="235"/>
      <c r="Q1080" s="262"/>
      <c r="R1080" s="260"/>
      <c r="S1080" s="218"/>
      <c r="T1080" s="219"/>
      <c r="U1080" s="30"/>
      <c r="V1080" s="31"/>
      <c r="W1080" s="30"/>
      <c r="X1080" s="220" t="str">
        <f>IFERROR(VLOOKUP(H1080,NAICS!$A$4:$B$1072,2,FALSE),"Unknown")</f>
        <v>Unknown</v>
      </c>
      <c r="Y1080" s="139">
        <f t="shared" si="30"/>
        <v>0</v>
      </c>
      <c r="Z1080" s="9">
        <f t="shared" si="31"/>
        <v>1</v>
      </c>
    </row>
    <row r="1081" spans="1:26">
      <c r="A1081"/>
      <c r="E1081"/>
      <c r="F1081"/>
      <c r="G1081" s="238"/>
      <c r="H1081" s="29"/>
      <c r="I1081" s="248"/>
      <c r="J1081" s="9"/>
      <c r="K1081" s="217"/>
      <c r="L1081" s="217"/>
      <c r="M1081" s="256"/>
      <c r="N1081" s="223"/>
      <c r="O1081" s="257"/>
      <c r="P1081" s="235"/>
      <c r="Q1081" s="262"/>
      <c r="R1081" s="260"/>
      <c r="S1081" s="218"/>
      <c r="T1081" s="219"/>
      <c r="U1081" s="30"/>
      <c r="V1081" s="31"/>
      <c r="W1081" s="30"/>
      <c r="X1081" s="220" t="str">
        <f>IFERROR(VLOOKUP(H1081,NAICS!$A$4:$B$1072,2,FALSE),"Unknown")</f>
        <v>Unknown</v>
      </c>
      <c r="Y1081" s="139">
        <f t="shared" si="30"/>
        <v>0</v>
      </c>
      <c r="Z1081" s="9">
        <f t="shared" si="31"/>
        <v>1</v>
      </c>
    </row>
    <row r="1082" spans="1:26">
      <c r="A1082"/>
      <c r="E1082"/>
      <c r="F1082"/>
      <c r="G1082" s="238"/>
      <c r="H1082" s="29"/>
      <c r="I1082" s="248"/>
      <c r="J1082" s="9"/>
      <c r="K1082" s="217"/>
      <c r="L1082" s="217"/>
      <c r="M1082" s="256"/>
      <c r="N1082" s="223"/>
      <c r="O1082" s="257"/>
      <c r="P1082" s="235"/>
      <c r="Q1082" s="262"/>
      <c r="R1082" s="260"/>
      <c r="S1082" s="218"/>
      <c r="T1082" s="219"/>
      <c r="U1082" s="30"/>
      <c r="V1082" s="31"/>
      <c r="W1082" s="30"/>
      <c r="X1082" s="220" t="str">
        <f>IFERROR(VLOOKUP(H1082,NAICS!$A$4:$B$1072,2,FALSE),"Unknown")</f>
        <v>Unknown</v>
      </c>
      <c r="Y1082" s="139">
        <f t="shared" si="30"/>
        <v>0</v>
      </c>
      <c r="Z1082" s="9">
        <f t="shared" si="31"/>
        <v>1</v>
      </c>
    </row>
    <row r="1083" spans="1:26">
      <c r="A1083"/>
      <c r="E1083"/>
      <c r="F1083"/>
      <c r="G1083" s="238"/>
      <c r="H1083" s="29"/>
      <c r="I1083" s="248"/>
      <c r="J1083" s="9"/>
      <c r="K1083" s="217"/>
      <c r="L1083" s="217"/>
      <c r="M1083" s="256"/>
      <c r="N1083" s="223"/>
      <c r="O1083" s="257"/>
      <c r="P1083" s="235"/>
      <c r="Q1083" s="262"/>
      <c r="R1083" s="260"/>
      <c r="S1083" s="218"/>
      <c r="T1083" s="219"/>
      <c r="U1083" s="30"/>
      <c r="V1083" s="31"/>
      <c r="W1083" s="30"/>
      <c r="X1083" s="220" t="str">
        <f>IFERROR(VLOOKUP(H1083,NAICS!$A$4:$B$1072,2,FALSE),"Unknown")</f>
        <v>Unknown</v>
      </c>
      <c r="Y1083" s="139">
        <f t="shared" si="30"/>
        <v>0</v>
      </c>
      <c r="Z1083" s="9">
        <f t="shared" si="31"/>
        <v>1</v>
      </c>
    </row>
    <row r="1084" spans="1:26">
      <c r="A1084"/>
      <c r="E1084"/>
      <c r="F1084"/>
      <c r="G1084" s="238"/>
      <c r="H1084" s="29"/>
      <c r="I1084" s="248"/>
      <c r="J1084" s="9"/>
      <c r="K1084" s="217"/>
      <c r="L1084" s="217"/>
      <c r="M1084" s="256"/>
      <c r="N1084" s="223"/>
      <c r="O1084" s="257"/>
      <c r="P1084" s="235"/>
      <c r="Q1084" s="262"/>
      <c r="R1084" s="260"/>
      <c r="S1084" s="218"/>
      <c r="T1084" s="219"/>
      <c r="U1084" s="30"/>
      <c r="V1084" s="31"/>
      <c r="W1084" s="30"/>
      <c r="X1084" s="220" t="str">
        <f>IFERROR(VLOOKUP(H1084,NAICS!$A$4:$B$1072,2,FALSE),"Unknown")</f>
        <v>Unknown</v>
      </c>
      <c r="Y1084" s="139">
        <f t="shared" si="30"/>
        <v>0</v>
      </c>
      <c r="Z1084" s="9">
        <f t="shared" si="31"/>
        <v>1</v>
      </c>
    </row>
    <row r="1085" spans="1:26">
      <c r="A1085"/>
      <c r="E1085"/>
      <c r="F1085"/>
      <c r="G1085" s="259"/>
      <c r="H1085" s="29"/>
      <c r="I1085" s="248"/>
      <c r="J1085" s="9"/>
      <c r="K1085" s="217"/>
      <c r="L1085" s="217"/>
      <c r="M1085" s="256"/>
      <c r="N1085" s="223"/>
      <c r="O1085" s="257"/>
      <c r="P1085" s="235"/>
      <c r="Q1085" s="262"/>
      <c r="R1085" s="260"/>
      <c r="S1085" s="218"/>
      <c r="T1085" s="219"/>
      <c r="U1085" s="30"/>
      <c r="V1085" s="31"/>
      <c r="W1085" s="30"/>
      <c r="X1085" s="220" t="str">
        <f>IFERROR(VLOOKUP(H1085,NAICS!$A$4:$B$1072,2,FALSE),"Unknown")</f>
        <v>Unknown</v>
      </c>
      <c r="Y1085" s="139">
        <f t="shared" si="30"/>
        <v>0</v>
      </c>
      <c r="Z1085" s="9">
        <f t="shared" si="31"/>
        <v>1</v>
      </c>
    </row>
    <row r="1086" spans="1:26">
      <c r="A1086"/>
      <c r="E1086" s="156"/>
      <c r="F1086" s="156"/>
      <c r="G1086" s="156"/>
      <c r="H1086" s="266"/>
      <c r="I1086" s="248"/>
      <c r="J1086" s="9"/>
      <c r="K1086" s="217"/>
      <c r="L1086" s="217"/>
      <c r="M1086" s="256"/>
      <c r="N1086" s="223"/>
      <c r="O1086" s="257"/>
      <c r="P1086" s="235"/>
      <c r="Q1086" s="262"/>
      <c r="R1086" s="260"/>
      <c r="S1086" s="218"/>
      <c r="T1086" s="219"/>
      <c r="U1086" s="30"/>
      <c r="V1086" s="31"/>
      <c r="W1086" s="30"/>
      <c r="X1086" s="220" t="str">
        <f>IFERROR(VLOOKUP(H1086,NAICS!$A$4:$B$1072,2,FALSE),"Unknown")</f>
        <v>Unknown</v>
      </c>
      <c r="Y1086" s="139">
        <f t="shared" si="30"/>
        <v>0</v>
      </c>
      <c r="Z1086" s="9">
        <f t="shared" si="31"/>
        <v>1</v>
      </c>
    </row>
    <row r="1087" spans="1:26">
      <c r="A1087"/>
      <c r="E1087" s="156"/>
      <c r="F1087" s="156"/>
      <c r="G1087" s="156"/>
      <c r="H1087" s="266"/>
      <c r="I1087" s="248"/>
      <c r="J1087" s="9"/>
      <c r="K1087" s="217"/>
      <c r="L1087" s="217"/>
      <c r="M1087" s="256"/>
      <c r="N1087" s="223"/>
      <c r="O1087" s="257"/>
      <c r="P1087" s="235"/>
      <c r="Q1087" s="262"/>
      <c r="R1087" s="260"/>
      <c r="S1087" s="218"/>
      <c r="T1087" s="219"/>
      <c r="U1087" s="30"/>
      <c r="V1087" s="31"/>
      <c r="W1087" s="30"/>
      <c r="X1087" s="220" t="str">
        <f>IFERROR(VLOOKUP(H1087,NAICS!$A$4:$B$1072,2,FALSE),"Unknown")</f>
        <v>Unknown</v>
      </c>
      <c r="Y1087" s="139">
        <f t="shared" si="30"/>
        <v>0</v>
      </c>
      <c r="Z1087" s="9">
        <f t="shared" si="31"/>
        <v>1</v>
      </c>
    </row>
    <row r="1088" spans="1:26">
      <c r="A1088"/>
      <c r="E1088" s="156"/>
      <c r="F1088" s="156"/>
      <c r="G1088" s="156"/>
      <c r="H1088" s="266"/>
      <c r="I1088" s="248"/>
      <c r="J1088" s="9"/>
      <c r="K1088" s="217"/>
      <c r="L1088" s="217"/>
      <c r="M1088" s="256"/>
      <c r="N1088" s="223"/>
      <c r="O1088" s="257"/>
      <c r="P1088" s="235"/>
      <c r="Q1088" s="262"/>
      <c r="R1088" s="260"/>
      <c r="S1088" s="218"/>
      <c r="T1088" s="219"/>
      <c r="U1088" s="30"/>
      <c r="V1088" s="31"/>
      <c r="W1088" s="30"/>
      <c r="X1088" s="220" t="str">
        <f>IFERROR(VLOOKUP(H1088,NAICS!$A$4:$B$1072,2,FALSE),"Unknown")</f>
        <v>Unknown</v>
      </c>
      <c r="Y1088" s="139">
        <f t="shared" si="30"/>
        <v>0</v>
      </c>
      <c r="Z1088" s="9">
        <f t="shared" si="31"/>
        <v>1</v>
      </c>
    </row>
    <row r="1089" spans="1:26">
      <c r="A1089"/>
      <c r="E1089" s="156"/>
      <c r="F1089" s="156"/>
      <c r="G1089" s="156"/>
      <c r="H1089" s="266"/>
      <c r="I1089" s="248"/>
      <c r="J1089" s="9"/>
      <c r="K1089" s="217"/>
      <c r="L1089" s="217"/>
      <c r="M1089" s="256"/>
      <c r="N1089" s="223"/>
      <c r="O1089" s="257"/>
      <c r="P1089" s="235"/>
      <c r="Q1089" s="262"/>
      <c r="R1089" s="260"/>
      <c r="S1089" s="218"/>
      <c r="T1089" s="219"/>
      <c r="U1089" s="30"/>
      <c r="V1089" s="31"/>
      <c r="W1089" s="30"/>
      <c r="X1089" s="220" t="str">
        <f>IFERROR(VLOOKUP(H1089,NAICS!$A$4:$B$1072,2,FALSE),"Unknown")</f>
        <v>Unknown</v>
      </c>
      <c r="Y1089" s="139">
        <f t="shared" si="30"/>
        <v>0</v>
      </c>
      <c r="Z1089" s="9">
        <f t="shared" si="31"/>
        <v>1</v>
      </c>
    </row>
    <row r="1090" spans="1:26">
      <c r="A1090"/>
      <c r="E1090" s="156"/>
      <c r="F1090" s="156"/>
      <c r="G1090" s="156"/>
      <c r="H1090" s="266"/>
      <c r="I1090" s="248"/>
      <c r="J1090" s="9"/>
      <c r="K1090" s="217"/>
      <c r="L1090" s="217"/>
      <c r="M1090" s="256"/>
      <c r="N1090" s="223"/>
      <c r="O1090" s="257"/>
      <c r="P1090" s="235"/>
      <c r="Q1090" s="262"/>
      <c r="R1090" s="260"/>
      <c r="S1090" s="218"/>
      <c r="T1090" s="219"/>
      <c r="U1090" s="30"/>
      <c r="V1090" s="31"/>
      <c r="W1090" s="30"/>
      <c r="X1090" s="220" t="str">
        <f>IFERROR(VLOOKUP(H1090,NAICS!$A$4:$B$1072,2,FALSE),"Unknown")</f>
        <v>Unknown</v>
      </c>
      <c r="Y1090" s="139">
        <f t="shared" si="30"/>
        <v>0</v>
      </c>
      <c r="Z1090" s="9">
        <f t="shared" si="31"/>
        <v>1</v>
      </c>
    </row>
    <row r="1091" spans="1:26">
      <c r="A1091"/>
      <c r="E1091" s="156"/>
      <c r="F1091" s="156"/>
      <c r="G1091" s="156"/>
      <c r="H1091" s="266"/>
      <c r="I1091" s="248"/>
      <c r="J1091" s="9"/>
      <c r="K1091" s="217"/>
      <c r="L1091" s="217"/>
      <c r="M1091" s="256"/>
      <c r="N1091" s="223"/>
      <c r="O1091" s="257"/>
      <c r="P1091" s="235"/>
      <c r="Q1091" s="262"/>
      <c r="R1091" s="260"/>
      <c r="S1091" s="218"/>
      <c r="T1091" s="219"/>
      <c r="U1091" s="30"/>
      <c r="V1091" s="31"/>
      <c r="W1091" s="30"/>
      <c r="X1091" s="220" t="str">
        <f>IFERROR(VLOOKUP(H1091,NAICS!$A$4:$B$1072,2,FALSE),"Unknown")</f>
        <v>Unknown</v>
      </c>
      <c r="Y1091" s="139">
        <f t="shared" si="30"/>
        <v>0</v>
      </c>
      <c r="Z1091" s="9">
        <f t="shared" si="31"/>
        <v>1</v>
      </c>
    </row>
    <row r="1092" spans="1:26">
      <c r="A1092"/>
      <c r="E1092" s="156"/>
      <c r="F1092" s="156"/>
      <c r="G1092" s="156"/>
      <c r="H1092" s="266"/>
      <c r="I1092" s="248"/>
      <c r="J1092" s="9"/>
      <c r="K1092" s="217"/>
      <c r="L1092" s="217"/>
      <c r="M1092" s="256"/>
      <c r="N1092" s="223"/>
      <c r="O1092" s="257"/>
      <c r="P1092" s="235"/>
      <c r="Q1092" s="262"/>
      <c r="R1092" s="260"/>
      <c r="S1092" s="218"/>
      <c r="T1092" s="219"/>
      <c r="U1092" s="30"/>
      <c r="V1092" s="31"/>
      <c r="W1092" s="30"/>
      <c r="X1092" s="220" t="str">
        <f>IFERROR(VLOOKUP(H1092,NAICS!$A$4:$B$1072,2,FALSE),"Unknown")</f>
        <v>Unknown</v>
      </c>
      <c r="Y1092" s="139">
        <f t="shared" si="30"/>
        <v>0</v>
      </c>
      <c r="Z1092" s="9">
        <f t="shared" si="31"/>
        <v>1</v>
      </c>
    </row>
    <row r="1093" spans="1:26">
      <c r="A1093"/>
      <c r="E1093" s="156"/>
      <c r="F1093" s="156"/>
      <c r="G1093" s="156"/>
      <c r="H1093" s="266"/>
      <c r="I1093" s="248"/>
      <c r="J1093" s="9"/>
      <c r="K1093" s="217"/>
      <c r="L1093" s="217"/>
      <c r="M1093" s="256"/>
      <c r="N1093" s="223"/>
      <c r="O1093" s="257"/>
      <c r="P1093" s="235"/>
      <c r="Q1093" s="262"/>
      <c r="R1093" s="260"/>
      <c r="S1093" s="218"/>
      <c r="T1093" s="219"/>
      <c r="U1093" s="30"/>
      <c r="V1093" s="31"/>
      <c r="W1093" s="30"/>
      <c r="X1093" s="220" t="str">
        <f>IFERROR(VLOOKUP(H1093,NAICS!$A$4:$B$1072,2,FALSE),"Unknown")</f>
        <v>Unknown</v>
      </c>
      <c r="Y1093" s="139">
        <f t="shared" si="30"/>
        <v>0</v>
      </c>
      <c r="Z1093" s="9">
        <f t="shared" si="31"/>
        <v>1</v>
      </c>
    </row>
    <row r="1094" spans="1:26">
      <c r="A1094"/>
      <c r="E1094" s="156"/>
      <c r="F1094" s="156"/>
      <c r="G1094" s="156"/>
      <c r="H1094" s="266"/>
      <c r="I1094" s="248"/>
      <c r="J1094" s="9"/>
      <c r="K1094" s="217"/>
      <c r="L1094" s="217"/>
      <c r="M1094" s="256"/>
      <c r="N1094" s="223"/>
      <c r="O1094" s="257"/>
      <c r="P1094" s="235"/>
      <c r="Q1094" s="262"/>
      <c r="R1094" s="260"/>
      <c r="S1094" s="218"/>
      <c r="T1094" s="219"/>
      <c r="U1094" s="30"/>
      <c r="V1094" s="31"/>
      <c r="W1094" s="30"/>
      <c r="X1094" s="220" t="str">
        <f>IFERROR(VLOOKUP(H1094,NAICS!$A$4:$B$1072,2,FALSE),"Unknown")</f>
        <v>Unknown</v>
      </c>
      <c r="Y1094" s="139">
        <f t="shared" si="30"/>
        <v>0</v>
      </c>
      <c r="Z1094" s="9">
        <f t="shared" si="31"/>
        <v>1</v>
      </c>
    </row>
    <row r="1095" spans="1:26">
      <c r="A1095"/>
      <c r="E1095" s="156"/>
      <c r="F1095" s="156"/>
      <c r="G1095" s="156"/>
      <c r="H1095" s="266"/>
      <c r="I1095" s="248"/>
      <c r="J1095" s="9"/>
      <c r="K1095" s="217"/>
      <c r="L1095" s="217"/>
      <c r="M1095" s="256"/>
      <c r="N1095" s="223"/>
      <c r="O1095" s="257"/>
      <c r="P1095" s="235"/>
      <c r="Q1095" s="262"/>
      <c r="R1095" s="260"/>
      <c r="S1095" s="218"/>
      <c r="T1095" s="219"/>
      <c r="U1095" s="30"/>
      <c r="V1095" s="31"/>
      <c r="W1095" s="30"/>
      <c r="X1095" s="220" t="str">
        <f>IFERROR(VLOOKUP(H1095,NAICS!$A$4:$B$1072,2,FALSE),"Unknown")</f>
        <v>Unknown</v>
      </c>
      <c r="Y1095" s="139">
        <f t="shared" si="30"/>
        <v>0</v>
      </c>
      <c r="Z1095" s="9">
        <f t="shared" si="31"/>
        <v>1</v>
      </c>
    </row>
    <row r="1096" spans="1:26">
      <c r="A1096"/>
      <c r="E1096" s="156"/>
      <c r="F1096" s="156"/>
      <c r="G1096" s="156"/>
      <c r="H1096" s="266"/>
      <c r="I1096" s="248"/>
      <c r="J1096" s="9"/>
      <c r="K1096" s="217"/>
      <c r="L1096" s="217"/>
      <c r="M1096" s="256"/>
      <c r="N1096" s="223"/>
      <c r="O1096" s="257"/>
      <c r="P1096" s="235"/>
      <c r="Q1096" s="262"/>
      <c r="R1096" s="260"/>
      <c r="S1096" s="218"/>
      <c r="T1096" s="219"/>
      <c r="U1096" s="30"/>
      <c r="V1096" s="31"/>
      <c r="W1096" s="30"/>
      <c r="X1096" s="220" t="str">
        <f>IFERROR(VLOOKUP(H1096,NAICS!$A$4:$B$1072,2,FALSE),"Unknown")</f>
        <v>Unknown</v>
      </c>
      <c r="Y1096" s="139">
        <f t="shared" si="30"/>
        <v>0</v>
      </c>
      <c r="Z1096" s="9">
        <f t="shared" si="31"/>
        <v>1</v>
      </c>
    </row>
    <row r="1097" spans="1:26">
      <c r="A1097"/>
      <c r="E1097" s="156"/>
      <c r="F1097" s="156"/>
      <c r="G1097" s="156"/>
      <c r="H1097" s="266"/>
      <c r="I1097" s="248"/>
      <c r="J1097" s="9"/>
      <c r="K1097" s="217"/>
      <c r="L1097" s="217"/>
      <c r="M1097" s="256"/>
      <c r="N1097" s="223"/>
      <c r="O1097" s="257"/>
      <c r="P1097" s="235"/>
      <c r="Q1097" s="262"/>
      <c r="R1097" s="260"/>
      <c r="S1097" s="218"/>
      <c r="T1097" s="219"/>
      <c r="U1097" s="30"/>
      <c r="V1097" s="31"/>
      <c r="W1097" s="30"/>
      <c r="X1097" s="220" t="str">
        <f>IFERROR(VLOOKUP(H1097,NAICS!$A$4:$B$1072,2,FALSE),"Unknown")</f>
        <v>Unknown</v>
      </c>
      <c r="Y1097" s="139">
        <f t="shared" si="30"/>
        <v>0</v>
      </c>
      <c r="Z1097" s="9">
        <f t="shared" si="31"/>
        <v>1</v>
      </c>
    </row>
    <row r="1098" spans="1:26">
      <c r="A1098"/>
      <c r="E1098" s="156"/>
      <c r="F1098" s="156"/>
      <c r="G1098" s="156"/>
      <c r="H1098" s="266"/>
      <c r="I1098" s="156"/>
      <c r="J1098" s="9"/>
      <c r="K1098" s="217"/>
      <c r="L1098" s="217"/>
      <c r="M1098" s="256"/>
      <c r="N1098" s="223"/>
      <c r="O1098" s="257"/>
      <c r="P1098" s="235"/>
      <c r="Q1098" s="262"/>
      <c r="R1098" s="260"/>
      <c r="S1098" s="218"/>
      <c r="T1098" s="219"/>
      <c r="U1098" s="30"/>
      <c r="V1098" s="31"/>
      <c r="W1098" s="30"/>
      <c r="X1098" s="220" t="str">
        <f>IFERROR(VLOOKUP(H1098,NAICS!$A$4:$B$1072,2,FALSE),"Unknown")</f>
        <v>Unknown</v>
      </c>
      <c r="Y1098" s="139">
        <f t="shared" si="30"/>
        <v>0</v>
      </c>
      <c r="Z1098" s="9">
        <f t="shared" si="31"/>
        <v>1</v>
      </c>
    </row>
    <row r="1099" spans="1:26">
      <c r="A1099"/>
      <c r="E1099" s="156"/>
      <c r="F1099" s="156"/>
      <c r="G1099" s="156"/>
      <c r="H1099" s="266"/>
      <c r="I1099" s="156"/>
      <c r="J1099" s="9"/>
      <c r="K1099" s="217"/>
      <c r="L1099" s="217"/>
      <c r="M1099" s="256"/>
      <c r="N1099" s="223"/>
      <c r="O1099" s="257"/>
      <c r="P1099" s="235"/>
      <c r="Q1099" s="262"/>
      <c r="R1099" s="260"/>
      <c r="S1099" s="218"/>
      <c r="T1099" s="219"/>
      <c r="U1099" s="30"/>
      <c r="V1099" s="31"/>
      <c r="W1099" s="30"/>
      <c r="X1099" s="220" t="str">
        <f>IFERROR(VLOOKUP(H1099,NAICS!$A$4:$B$1072,2,FALSE),"Unknown")</f>
        <v>Unknown</v>
      </c>
      <c r="Y1099" s="139">
        <f t="shared" si="30"/>
        <v>0</v>
      </c>
      <c r="Z1099" s="9">
        <f t="shared" si="31"/>
        <v>1</v>
      </c>
    </row>
    <row r="1100" spans="1:26">
      <c r="A1100"/>
      <c r="E1100" s="156"/>
      <c r="F1100" s="156"/>
      <c r="G1100" s="156"/>
      <c r="H1100" s="266"/>
      <c r="I1100" s="156"/>
      <c r="J1100" s="9"/>
      <c r="K1100" s="217"/>
      <c r="L1100" s="217"/>
      <c r="M1100" s="256"/>
      <c r="N1100" s="223"/>
      <c r="O1100" s="257"/>
      <c r="P1100" s="235"/>
      <c r="Q1100" s="262"/>
      <c r="R1100" s="260"/>
      <c r="S1100" s="218"/>
      <c r="T1100" s="219"/>
      <c r="U1100" s="30"/>
      <c r="V1100" s="31"/>
      <c r="W1100" s="30"/>
      <c r="X1100" s="220" t="str">
        <f>IFERROR(VLOOKUP(H1100,NAICS!$A$4:$B$1072,2,FALSE),"Unknown")</f>
        <v>Unknown</v>
      </c>
      <c r="Y1100" s="139">
        <f t="shared" si="30"/>
        <v>0</v>
      </c>
      <c r="Z1100" s="9">
        <f t="shared" si="31"/>
        <v>1</v>
      </c>
    </row>
    <row r="1101" spans="1:26">
      <c r="A1101"/>
      <c r="E1101" s="156"/>
      <c r="F1101" s="156"/>
      <c r="G1101" s="156"/>
      <c r="H1101" s="266"/>
      <c r="I1101" s="156"/>
      <c r="J1101" s="9"/>
      <c r="K1101" s="217"/>
      <c r="L1101" s="217"/>
      <c r="M1101" s="256"/>
      <c r="N1101" s="223"/>
      <c r="O1101" s="257"/>
      <c r="P1101" s="235"/>
      <c r="Q1101" s="262"/>
      <c r="R1101" s="260"/>
      <c r="S1101" s="218"/>
      <c r="T1101" s="219"/>
      <c r="U1101" s="30"/>
      <c r="V1101" s="31"/>
      <c r="W1101" s="30"/>
      <c r="X1101" s="220" t="str">
        <f>IFERROR(VLOOKUP(H1101,NAICS!$A$4:$B$1072,2,FALSE),"Unknown")</f>
        <v>Unknown</v>
      </c>
      <c r="Y1101" s="139">
        <f t="shared" ref="Y1101:Y1164" si="32">IF(U1101&gt;=180,IF(V1101&lt;=12,5%,IF(AND(V1101&gt;12,V1101&lt;24),3%,IF(AND(V1101&gt;24,V1101&lt;36),1%,0%))),0%)</f>
        <v>0</v>
      </c>
      <c r="Z1101" s="9">
        <f t="shared" ref="Z1101:Z1164" si="33">IF(AND(U1101&gt;=$AE$2,U1101&lt;=$AF$2),1,IF(AND(U1101&gt;$AE$3,U1101&lt;=$AF$3),2,IF(AND(U1101&gt;$AE$4,U1101&lt;=$AF$4),3,IF(AND(U1101&gt;$AE$5,U1101&lt;=$AF$5),4,IF(AND(U1101&gt;$AE$6,U1101&lt;=$AF$6),5,"")))))</f>
        <v>1</v>
      </c>
    </row>
    <row r="1102" spans="1:26">
      <c r="A1102"/>
      <c r="E1102" s="156"/>
      <c r="F1102" s="156"/>
      <c r="G1102" s="156"/>
      <c r="H1102" s="266"/>
      <c r="I1102" s="156"/>
      <c r="J1102" s="9"/>
      <c r="K1102" s="217"/>
      <c r="L1102" s="217"/>
      <c r="M1102" s="256"/>
      <c r="N1102" s="223"/>
      <c r="O1102" s="257"/>
      <c r="P1102" s="235"/>
      <c r="Q1102" s="262"/>
      <c r="R1102" s="260"/>
      <c r="S1102" s="218"/>
      <c r="T1102" s="219"/>
      <c r="U1102" s="30"/>
      <c r="V1102" s="31"/>
      <c r="W1102" s="30"/>
      <c r="X1102" s="220" t="str">
        <f>IFERROR(VLOOKUP(H1102,NAICS!$A$4:$B$1072,2,FALSE),"Unknown")</f>
        <v>Unknown</v>
      </c>
      <c r="Y1102" s="139">
        <f t="shared" si="32"/>
        <v>0</v>
      </c>
      <c r="Z1102" s="9">
        <f t="shared" si="33"/>
        <v>1</v>
      </c>
    </row>
    <row r="1103" spans="1:26">
      <c r="A1103"/>
      <c r="E1103" s="156"/>
      <c r="F1103" s="156"/>
      <c r="G1103" s="156"/>
      <c r="H1103" s="266"/>
      <c r="I1103" s="156"/>
      <c r="J1103" s="9"/>
      <c r="K1103" s="217"/>
      <c r="L1103" s="217"/>
      <c r="M1103" s="256"/>
      <c r="N1103" s="223"/>
      <c r="O1103" s="257"/>
      <c r="P1103" s="235"/>
      <c r="Q1103" s="262"/>
      <c r="R1103" s="260"/>
      <c r="S1103" s="218"/>
      <c r="T1103" s="219"/>
      <c r="U1103" s="30"/>
      <c r="V1103" s="31"/>
      <c r="W1103" s="30"/>
      <c r="X1103" s="220" t="str">
        <f>IFERROR(VLOOKUP(H1103,NAICS!$A$4:$B$1072,2,FALSE),"Unknown")</f>
        <v>Unknown</v>
      </c>
      <c r="Y1103" s="139">
        <f t="shared" si="32"/>
        <v>0</v>
      </c>
      <c r="Z1103" s="9">
        <f t="shared" si="33"/>
        <v>1</v>
      </c>
    </row>
    <row r="1104" spans="1:26">
      <c r="A1104"/>
      <c r="E1104" s="156"/>
      <c r="F1104" s="156"/>
      <c r="G1104" s="156"/>
      <c r="H1104" s="266"/>
      <c r="I1104" s="156"/>
      <c r="J1104" s="9"/>
      <c r="K1104" s="217"/>
      <c r="L1104" s="217"/>
      <c r="M1104" s="256"/>
      <c r="N1104" s="223"/>
      <c r="O1104" s="257"/>
      <c r="P1104" s="235"/>
      <c r="Q1104" s="262"/>
      <c r="R1104" s="260"/>
      <c r="S1104" s="218"/>
      <c r="T1104" s="219"/>
      <c r="U1104" s="30"/>
      <c r="V1104" s="31"/>
      <c r="W1104" s="30"/>
      <c r="X1104" s="220" t="str">
        <f>IFERROR(VLOOKUP(H1104,NAICS!$A$4:$B$1072,2,FALSE),"Unknown")</f>
        <v>Unknown</v>
      </c>
      <c r="Y1104" s="139">
        <f t="shared" si="32"/>
        <v>0</v>
      </c>
      <c r="Z1104" s="9">
        <f t="shared" si="33"/>
        <v>1</v>
      </c>
    </row>
    <row r="1105" spans="1:26">
      <c r="A1105"/>
      <c r="E1105" s="156"/>
      <c r="F1105" s="156"/>
      <c r="G1105" s="156"/>
      <c r="H1105" s="266"/>
      <c r="I1105" s="156"/>
      <c r="J1105" s="9"/>
      <c r="K1105" s="217"/>
      <c r="L1105" s="217"/>
      <c r="M1105" s="256"/>
      <c r="N1105" s="223"/>
      <c r="O1105" s="257"/>
      <c r="P1105" s="235"/>
      <c r="Q1105" s="262"/>
      <c r="R1105" s="260"/>
      <c r="S1105" s="218"/>
      <c r="T1105" s="219"/>
      <c r="U1105" s="30"/>
      <c r="V1105" s="31"/>
      <c r="W1105" s="30"/>
      <c r="X1105" s="220" t="str">
        <f>IFERROR(VLOOKUP(H1105,NAICS!$A$4:$B$1072,2,FALSE),"Unknown")</f>
        <v>Unknown</v>
      </c>
      <c r="Y1105" s="139">
        <f t="shared" si="32"/>
        <v>0</v>
      </c>
      <c r="Z1105" s="9">
        <f t="shared" si="33"/>
        <v>1</v>
      </c>
    </row>
    <row r="1106" spans="1:26">
      <c r="A1106"/>
      <c r="E1106" s="156"/>
      <c r="F1106" s="156"/>
      <c r="G1106" s="156"/>
      <c r="H1106" s="266"/>
      <c r="I1106" s="156"/>
      <c r="J1106" s="9"/>
      <c r="K1106" s="217"/>
      <c r="L1106" s="217"/>
      <c r="M1106" s="256"/>
      <c r="N1106" s="223"/>
      <c r="O1106" s="257"/>
      <c r="P1106" s="235"/>
      <c r="Q1106" s="262"/>
      <c r="R1106" s="260"/>
      <c r="S1106" s="218"/>
      <c r="T1106" s="219"/>
      <c r="U1106" s="30"/>
      <c r="V1106" s="31"/>
      <c r="W1106" s="30"/>
      <c r="X1106" s="220" t="str">
        <f>IFERROR(VLOOKUP(H1106,NAICS!$A$4:$B$1072,2,FALSE),"Unknown")</f>
        <v>Unknown</v>
      </c>
      <c r="Y1106" s="139">
        <f t="shared" si="32"/>
        <v>0</v>
      </c>
      <c r="Z1106" s="9">
        <f t="shared" si="33"/>
        <v>1</v>
      </c>
    </row>
    <row r="1107" spans="1:26">
      <c r="A1107"/>
      <c r="E1107" s="156"/>
      <c r="F1107" s="156"/>
      <c r="G1107" s="156"/>
      <c r="H1107" s="266"/>
      <c r="I1107" s="156"/>
      <c r="J1107" s="9"/>
      <c r="K1107" s="217"/>
      <c r="L1107" s="217"/>
      <c r="M1107" s="256"/>
      <c r="N1107" s="223"/>
      <c r="O1107" s="257"/>
      <c r="P1107" s="235"/>
      <c r="Q1107" s="262"/>
      <c r="R1107" s="260"/>
      <c r="S1107" s="218"/>
      <c r="T1107" s="219"/>
      <c r="U1107" s="30"/>
      <c r="V1107" s="31"/>
      <c r="W1107" s="30"/>
      <c r="X1107" s="220" t="str">
        <f>IFERROR(VLOOKUP(H1107,NAICS!$A$4:$B$1072,2,FALSE),"Unknown")</f>
        <v>Unknown</v>
      </c>
      <c r="Y1107" s="139">
        <f t="shared" si="32"/>
        <v>0</v>
      </c>
      <c r="Z1107" s="9">
        <f t="shared" si="33"/>
        <v>1</v>
      </c>
    </row>
    <row r="1108" spans="1:26">
      <c r="A1108"/>
      <c r="E1108" s="156"/>
      <c r="F1108" s="156"/>
      <c r="G1108" s="156"/>
      <c r="H1108" s="266"/>
      <c r="I1108" s="156"/>
      <c r="J1108" s="9"/>
      <c r="K1108" s="217"/>
      <c r="L1108" s="217"/>
      <c r="M1108" s="256"/>
      <c r="N1108" s="223"/>
      <c r="O1108" s="257"/>
      <c r="P1108" s="235"/>
      <c r="Q1108" s="262"/>
      <c r="R1108" s="260"/>
      <c r="S1108" s="218"/>
      <c r="T1108" s="219"/>
      <c r="U1108" s="30"/>
      <c r="V1108" s="31"/>
      <c r="W1108" s="30"/>
      <c r="X1108" s="220" t="str">
        <f>IFERROR(VLOOKUP(H1108,NAICS!$A$4:$B$1072,2,FALSE),"Unknown")</f>
        <v>Unknown</v>
      </c>
      <c r="Y1108" s="139">
        <f t="shared" si="32"/>
        <v>0</v>
      </c>
      <c r="Z1108" s="9">
        <f t="shared" si="33"/>
        <v>1</v>
      </c>
    </row>
    <row r="1109" spans="1:26">
      <c r="A1109"/>
      <c r="E1109" s="156"/>
      <c r="F1109" s="156"/>
      <c r="G1109" s="156"/>
      <c r="H1109" s="266"/>
      <c r="I1109" s="156"/>
      <c r="J1109" s="9"/>
      <c r="K1109" s="217"/>
      <c r="L1109" s="217"/>
      <c r="M1109" s="256"/>
      <c r="N1109" s="223"/>
      <c r="O1109" s="257"/>
      <c r="P1109" s="235"/>
      <c r="Q1109" s="262"/>
      <c r="R1109" s="260"/>
      <c r="S1109" s="218"/>
      <c r="T1109" s="219"/>
      <c r="U1109" s="30"/>
      <c r="V1109" s="31"/>
      <c r="W1109" s="30"/>
      <c r="X1109" s="220" t="str">
        <f>IFERROR(VLOOKUP(H1109,NAICS!$A$4:$B$1072,2,FALSE),"Unknown")</f>
        <v>Unknown</v>
      </c>
      <c r="Y1109" s="139">
        <f t="shared" si="32"/>
        <v>0</v>
      </c>
      <c r="Z1109" s="9">
        <f t="shared" si="33"/>
        <v>1</v>
      </c>
    </row>
    <row r="1110" spans="1:26">
      <c r="A1110"/>
      <c r="E1110" s="156"/>
      <c r="F1110" s="156"/>
      <c r="G1110" s="156"/>
      <c r="H1110" s="266"/>
      <c r="I1110" s="156"/>
      <c r="J1110" s="9"/>
      <c r="K1110" s="217"/>
      <c r="L1110" s="217"/>
      <c r="M1110" s="256"/>
      <c r="N1110" s="223"/>
      <c r="O1110" s="257"/>
      <c r="P1110" s="235"/>
      <c r="Q1110" s="262"/>
      <c r="R1110" s="260"/>
      <c r="S1110" s="218"/>
      <c r="T1110" s="219"/>
      <c r="U1110" s="30"/>
      <c r="V1110" s="31"/>
      <c r="W1110" s="30"/>
      <c r="X1110" s="220" t="str">
        <f>IFERROR(VLOOKUP(H1110,NAICS!$A$4:$B$1072,2,FALSE),"Unknown")</f>
        <v>Unknown</v>
      </c>
      <c r="Y1110" s="139">
        <f t="shared" si="32"/>
        <v>0</v>
      </c>
      <c r="Z1110" s="9">
        <f t="shared" si="33"/>
        <v>1</v>
      </c>
    </row>
    <row r="1111" spans="1:26">
      <c r="A1111"/>
      <c r="E1111" s="156"/>
      <c r="F1111" s="156"/>
      <c r="G1111" s="156"/>
      <c r="H1111" s="266"/>
      <c r="I1111" s="156"/>
      <c r="J1111" s="9"/>
      <c r="K1111" s="217"/>
      <c r="L1111" s="217"/>
      <c r="M1111" s="256"/>
      <c r="N1111" s="223"/>
      <c r="O1111" s="257"/>
      <c r="P1111" s="235"/>
      <c r="Q1111" s="262"/>
      <c r="R1111" s="260"/>
      <c r="S1111" s="218"/>
      <c r="T1111" s="219"/>
      <c r="U1111" s="30"/>
      <c r="V1111" s="31"/>
      <c r="W1111" s="30"/>
      <c r="X1111" s="220" t="str">
        <f>IFERROR(VLOOKUP(H1111,NAICS!$A$4:$B$1072,2,FALSE),"Unknown")</f>
        <v>Unknown</v>
      </c>
      <c r="Y1111" s="139">
        <f t="shared" si="32"/>
        <v>0</v>
      </c>
      <c r="Z1111" s="9">
        <f t="shared" si="33"/>
        <v>1</v>
      </c>
    </row>
    <row r="1112" spans="1:26">
      <c r="A1112"/>
      <c r="E1112" s="156"/>
      <c r="F1112" s="156"/>
      <c r="G1112" s="156"/>
      <c r="H1112" s="266"/>
      <c r="I1112" s="156"/>
      <c r="J1112" s="9"/>
      <c r="K1112" s="217"/>
      <c r="L1112" s="217"/>
      <c r="M1112" s="256"/>
      <c r="N1112" s="223"/>
      <c r="O1112" s="257"/>
      <c r="P1112" s="235"/>
      <c r="Q1112" s="262"/>
      <c r="R1112" s="260"/>
      <c r="S1112" s="218"/>
      <c r="T1112" s="219"/>
      <c r="U1112" s="30"/>
      <c r="V1112" s="31"/>
      <c r="W1112" s="30"/>
      <c r="X1112" s="220" t="str">
        <f>IFERROR(VLOOKUP(H1112,NAICS!$A$4:$B$1072,2,FALSE),"Unknown")</f>
        <v>Unknown</v>
      </c>
      <c r="Y1112" s="139">
        <f t="shared" si="32"/>
        <v>0</v>
      </c>
      <c r="Z1112" s="9">
        <f t="shared" si="33"/>
        <v>1</v>
      </c>
    </row>
    <row r="1113" spans="1:26">
      <c r="A1113"/>
      <c r="E1113" s="156"/>
      <c r="F1113" s="156"/>
      <c r="G1113" s="156"/>
      <c r="H1113" s="266"/>
      <c r="I1113" s="156"/>
      <c r="J1113" s="9"/>
      <c r="K1113" s="217"/>
      <c r="L1113" s="217"/>
      <c r="M1113" s="256"/>
      <c r="N1113" s="223"/>
      <c r="O1113" s="257"/>
      <c r="P1113" s="235"/>
      <c r="Q1113" s="262"/>
      <c r="R1113" s="260"/>
      <c r="S1113" s="218"/>
      <c r="T1113" s="219"/>
      <c r="U1113" s="30"/>
      <c r="V1113" s="31"/>
      <c r="W1113" s="30"/>
      <c r="X1113" s="220" t="str">
        <f>IFERROR(VLOOKUP(H1113,NAICS!$A$4:$B$1072,2,FALSE),"Unknown")</f>
        <v>Unknown</v>
      </c>
      <c r="Y1113" s="139">
        <f t="shared" si="32"/>
        <v>0</v>
      </c>
      <c r="Z1113" s="9">
        <f t="shared" si="33"/>
        <v>1</v>
      </c>
    </row>
    <row r="1114" spans="1:26">
      <c r="A1114"/>
      <c r="E1114" s="156"/>
      <c r="F1114" s="156"/>
      <c r="G1114" s="156"/>
      <c r="H1114" s="266"/>
      <c r="I1114" s="156"/>
      <c r="J1114" s="9"/>
      <c r="K1114" s="217"/>
      <c r="L1114" s="217"/>
      <c r="M1114" s="256"/>
      <c r="N1114" s="223"/>
      <c r="O1114" s="257"/>
      <c r="P1114" s="235"/>
      <c r="Q1114" s="262"/>
      <c r="R1114" s="260"/>
      <c r="S1114" s="218"/>
      <c r="T1114" s="219"/>
      <c r="U1114" s="30"/>
      <c r="V1114" s="31"/>
      <c r="W1114" s="30"/>
      <c r="X1114" s="220" t="str">
        <f>IFERROR(VLOOKUP(H1114,NAICS!$A$4:$B$1072,2,FALSE),"Unknown")</f>
        <v>Unknown</v>
      </c>
      <c r="Y1114" s="139">
        <f t="shared" si="32"/>
        <v>0</v>
      </c>
      <c r="Z1114" s="9">
        <f t="shared" si="33"/>
        <v>1</v>
      </c>
    </row>
    <row r="1115" spans="1:26">
      <c r="A1115"/>
      <c r="E1115" s="156"/>
      <c r="F1115" s="156"/>
      <c r="G1115" s="156"/>
      <c r="H1115" s="266"/>
      <c r="I1115" s="156"/>
      <c r="J1115" s="9"/>
      <c r="K1115" s="217"/>
      <c r="L1115" s="217"/>
      <c r="M1115" s="256"/>
      <c r="N1115" s="223"/>
      <c r="O1115" s="257"/>
      <c r="P1115" s="235"/>
      <c r="Q1115" s="262"/>
      <c r="R1115" s="260"/>
      <c r="S1115" s="218"/>
      <c r="T1115" s="219"/>
      <c r="U1115" s="30"/>
      <c r="V1115" s="31"/>
      <c r="W1115" s="30"/>
      <c r="X1115" s="220" t="str">
        <f>IFERROR(VLOOKUP(H1115,NAICS!$A$4:$B$1072,2,FALSE),"Unknown")</f>
        <v>Unknown</v>
      </c>
      <c r="Y1115" s="139">
        <f t="shared" si="32"/>
        <v>0</v>
      </c>
      <c r="Z1115" s="9">
        <f t="shared" si="33"/>
        <v>1</v>
      </c>
    </row>
    <row r="1116" spans="1:26">
      <c r="A1116"/>
      <c r="E1116" s="156"/>
      <c r="F1116" s="156"/>
      <c r="G1116" s="156"/>
      <c r="H1116" s="266"/>
      <c r="I1116" s="156"/>
      <c r="J1116" s="9"/>
      <c r="K1116" s="217"/>
      <c r="L1116" s="217"/>
      <c r="M1116" s="256"/>
      <c r="N1116" s="223"/>
      <c r="O1116" s="257"/>
      <c r="P1116" s="235"/>
      <c r="Q1116" s="262"/>
      <c r="R1116" s="260"/>
      <c r="S1116" s="218"/>
      <c r="T1116" s="219"/>
      <c r="U1116" s="30"/>
      <c r="V1116" s="31"/>
      <c r="W1116" s="30"/>
      <c r="X1116" s="220" t="str">
        <f>IFERROR(VLOOKUP(H1116,NAICS!$A$4:$B$1072,2,FALSE),"Unknown")</f>
        <v>Unknown</v>
      </c>
      <c r="Y1116" s="139">
        <f t="shared" si="32"/>
        <v>0</v>
      </c>
      <c r="Z1116" s="9">
        <f t="shared" si="33"/>
        <v>1</v>
      </c>
    </row>
    <row r="1117" spans="1:26">
      <c r="A1117"/>
      <c r="E1117" s="156"/>
      <c r="F1117" s="156"/>
      <c r="G1117" s="156"/>
      <c r="H1117" s="266"/>
      <c r="I1117" s="156"/>
      <c r="J1117" s="9"/>
      <c r="K1117" s="217"/>
      <c r="L1117" s="217"/>
      <c r="M1117" s="256"/>
      <c r="N1117" s="223"/>
      <c r="O1117" s="257"/>
      <c r="P1117" s="235"/>
      <c r="Q1117" s="262"/>
      <c r="R1117" s="260"/>
      <c r="S1117" s="218"/>
      <c r="T1117" s="219"/>
      <c r="U1117" s="30"/>
      <c r="V1117" s="31"/>
      <c r="W1117" s="30"/>
      <c r="X1117" s="220" t="str">
        <f>IFERROR(VLOOKUP(H1117,NAICS!$A$4:$B$1072,2,FALSE),"Unknown")</f>
        <v>Unknown</v>
      </c>
      <c r="Y1117" s="139">
        <f t="shared" si="32"/>
        <v>0</v>
      </c>
      <c r="Z1117" s="9">
        <f t="shared" si="33"/>
        <v>1</v>
      </c>
    </row>
    <row r="1118" spans="1:26">
      <c r="A1118"/>
      <c r="E1118" s="156"/>
      <c r="F1118" s="156"/>
      <c r="G1118" s="156"/>
      <c r="H1118" s="266"/>
      <c r="I1118" s="156"/>
      <c r="J1118" s="9"/>
      <c r="K1118" s="217"/>
      <c r="L1118" s="217"/>
      <c r="M1118" s="256"/>
      <c r="N1118" s="223"/>
      <c r="O1118" s="257"/>
      <c r="P1118" s="235"/>
      <c r="Q1118" s="262"/>
      <c r="R1118" s="260"/>
      <c r="S1118" s="218"/>
      <c r="T1118" s="219"/>
      <c r="U1118" s="30"/>
      <c r="V1118" s="31"/>
      <c r="W1118" s="30"/>
      <c r="X1118" s="220" t="str">
        <f>IFERROR(VLOOKUP(H1118,NAICS!$A$4:$B$1072,2,FALSE),"Unknown")</f>
        <v>Unknown</v>
      </c>
      <c r="Y1118" s="139">
        <f t="shared" si="32"/>
        <v>0</v>
      </c>
      <c r="Z1118" s="9">
        <f t="shared" si="33"/>
        <v>1</v>
      </c>
    </row>
    <row r="1119" spans="1:26">
      <c r="A1119"/>
      <c r="E1119" s="156"/>
      <c r="F1119" s="156"/>
      <c r="G1119" s="156"/>
      <c r="H1119" s="266"/>
      <c r="I1119" s="156"/>
      <c r="J1119" s="9"/>
      <c r="K1119" s="217"/>
      <c r="L1119" s="217"/>
      <c r="M1119" s="256"/>
      <c r="N1119" s="223"/>
      <c r="O1119" s="257"/>
      <c r="P1119" s="235"/>
      <c r="Q1119" s="262"/>
      <c r="R1119" s="260"/>
      <c r="S1119" s="218"/>
      <c r="T1119" s="219"/>
      <c r="U1119" s="30"/>
      <c r="V1119" s="31"/>
      <c r="W1119" s="30"/>
      <c r="X1119" s="220" t="str">
        <f>IFERROR(VLOOKUP(H1119,NAICS!$A$4:$B$1072,2,FALSE),"Unknown")</f>
        <v>Unknown</v>
      </c>
      <c r="Y1119" s="139">
        <f t="shared" si="32"/>
        <v>0</v>
      </c>
      <c r="Z1119" s="9">
        <f t="shared" si="33"/>
        <v>1</v>
      </c>
    </row>
    <row r="1120" spans="1:26">
      <c r="A1120"/>
      <c r="E1120" s="156"/>
      <c r="F1120" s="156"/>
      <c r="G1120" s="156"/>
      <c r="H1120" s="266"/>
      <c r="I1120" s="156"/>
      <c r="J1120" s="9"/>
      <c r="K1120" s="217"/>
      <c r="L1120" s="217"/>
      <c r="M1120" s="256"/>
      <c r="N1120" s="223"/>
      <c r="O1120" s="257"/>
      <c r="P1120" s="235"/>
      <c r="Q1120" s="262"/>
      <c r="R1120" s="260"/>
      <c r="S1120" s="218"/>
      <c r="T1120" s="219"/>
      <c r="U1120" s="30"/>
      <c r="V1120" s="31"/>
      <c r="W1120" s="30"/>
      <c r="X1120" s="220" t="str">
        <f>IFERROR(VLOOKUP(H1120,NAICS!$A$4:$B$1072,2,FALSE),"Unknown")</f>
        <v>Unknown</v>
      </c>
      <c r="Y1120" s="139">
        <f t="shared" si="32"/>
        <v>0</v>
      </c>
      <c r="Z1120" s="9">
        <f t="shared" si="33"/>
        <v>1</v>
      </c>
    </row>
    <row r="1121" spans="1:26">
      <c r="A1121"/>
      <c r="E1121" s="156"/>
      <c r="F1121" s="156"/>
      <c r="G1121" s="156"/>
      <c r="H1121" s="266"/>
      <c r="I1121" s="156"/>
      <c r="J1121" s="9"/>
      <c r="K1121" s="217"/>
      <c r="L1121" s="217"/>
      <c r="M1121" s="256"/>
      <c r="N1121" s="223"/>
      <c r="O1121" s="257"/>
      <c r="P1121" s="247"/>
      <c r="Q1121" s="156"/>
      <c r="R1121" s="260"/>
      <c r="S1121" s="218"/>
      <c r="T1121" s="219"/>
      <c r="U1121" s="30"/>
      <c r="V1121" s="31"/>
      <c r="W1121" s="30"/>
      <c r="X1121" s="220" t="str">
        <f>IFERROR(VLOOKUP(H1121,NAICS!$A$4:$B$1072,2,FALSE),"Unknown")</f>
        <v>Unknown</v>
      </c>
      <c r="Y1121" s="139">
        <f t="shared" si="32"/>
        <v>0</v>
      </c>
      <c r="Z1121" s="9">
        <f t="shared" si="33"/>
        <v>1</v>
      </c>
    </row>
    <row r="1122" spans="1:26">
      <c r="A1122"/>
      <c r="E1122" s="156"/>
      <c r="F1122" s="156"/>
      <c r="G1122" s="156"/>
      <c r="H1122" s="266"/>
      <c r="I1122" s="156"/>
      <c r="J1122" s="9"/>
      <c r="K1122" s="217"/>
      <c r="L1122" s="217"/>
      <c r="M1122" s="256"/>
      <c r="N1122" s="223"/>
      <c r="O1122" s="257"/>
      <c r="P1122" s="247"/>
      <c r="Q1122" s="156"/>
      <c r="R1122" s="260"/>
      <c r="S1122" s="218"/>
      <c r="T1122" s="219"/>
      <c r="U1122" s="30"/>
      <c r="V1122" s="31"/>
      <c r="W1122" s="30"/>
      <c r="X1122" s="220" t="str">
        <f>IFERROR(VLOOKUP(H1122,NAICS!$A$4:$B$1072,2,FALSE),"Unknown")</f>
        <v>Unknown</v>
      </c>
      <c r="Y1122" s="139">
        <f t="shared" si="32"/>
        <v>0</v>
      </c>
      <c r="Z1122" s="9">
        <f t="shared" si="33"/>
        <v>1</v>
      </c>
    </row>
    <row r="1123" spans="1:26">
      <c r="A1123"/>
      <c r="E1123" s="156"/>
      <c r="F1123" s="156"/>
      <c r="G1123" s="156"/>
      <c r="H1123" s="266"/>
      <c r="I1123" s="156"/>
      <c r="J1123" s="9"/>
      <c r="K1123" s="217"/>
      <c r="L1123" s="217"/>
      <c r="M1123" s="256"/>
      <c r="N1123" s="223"/>
      <c r="O1123" s="257"/>
      <c r="P1123" s="247"/>
      <c r="Q1123" s="156"/>
      <c r="R1123" s="260"/>
      <c r="S1123" s="218"/>
      <c r="T1123" s="219"/>
      <c r="U1123" s="30"/>
      <c r="V1123" s="31"/>
      <c r="W1123" s="30"/>
      <c r="X1123" s="220" t="str">
        <f>IFERROR(VLOOKUP(H1123,NAICS!$A$4:$B$1072,2,FALSE),"Unknown")</f>
        <v>Unknown</v>
      </c>
      <c r="Y1123" s="139">
        <f t="shared" si="32"/>
        <v>0</v>
      </c>
      <c r="Z1123" s="9">
        <f t="shared" si="33"/>
        <v>1</v>
      </c>
    </row>
    <row r="1124" spans="1:26">
      <c r="A1124"/>
      <c r="E1124" s="156"/>
      <c r="F1124" s="156"/>
      <c r="G1124" s="156"/>
      <c r="H1124" s="266"/>
      <c r="I1124" s="156"/>
      <c r="J1124" s="9"/>
      <c r="K1124" s="217"/>
      <c r="L1124" s="217"/>
      <c r="M1124" s="256"/>
      <c r="N1124" s="223"/>
      <c r="O1124" s="257"/>
      <c r="P1124" s="247"/>
      <c r="Q1124" s="156"/>
      <c r="R1124" s="260"/>
      <c r="S1124" s="218"/>
      <c r="T1124" s="219"/>
      <c r="U1124" s="30"/>
      <c r="V1124" s="31"/>
      <c r="W1124" s="30"/>
      <c r="X1124" s="220" t="str">
        <f>IFERROR(VLOOKUP(H1124,NAICS!$A$4:$B$1072,2,FALSE),"Unknown")</f>
        <v>Unknown</v>
      </c>
      <c r="Y1124" s="139">
        <f t="shared" si="32"/>
        <v>0</v>
      </c>
      <c r="Z1124" s="9">
        <f t="shared" si="33"/>
        <v>1</v>
      </c>
    </row>
    <row r="1125" spans="1:26">
      <c r="A1125"/>
      <c r="E1125" s="156"/>
      <c r="F1125" s="156"/>
      <c r="G1125" s="156"/>
      <c r="H1125" s="266"/>
      <c r="I1125" s="156"/>
      <c r="J1125" s="9"/>
      <c r="K1125" s="217"/>
      <c r="L1125" s="217"/>
      <c r="M1125" s="256"/>
      <c r="N1125" s="223"/>
      <c r="O1125" s="257"/>
      <c r="P1125" s="247"/>
      <c r="Q1125" s="156"/>
      <c r="R1125" s="260"/>
      <c r="S1125" s="218"/>
      <c r="T1125" s="219"/>
      <c r="U1125" s="30"/>
      <c r="V1125" s="31"/>
      <c r="W1125" s="30"/>
      <c r="X1125" s="220" t="str">
        <f>IFERROR(VLOOKUP(H1125,NAICS!$A$4:$B$1072,2,FALSE),"Unknown")</f>
        <v>Unknown</v>
      </c>
      <c r="Y1125" s="139">
        <f t="shared" si="32"/>
        <v>0</v>
      </c>
      <c r="Z1125" s="9">
        <f t="shared" si="33"/>
        <v>1</v>
      </c>
    </row>
    <row r="1126" spans="1:26">
      <c r="A1126"/>
      <c r="E1126" s="156"/>
      <c r="F1126" s="156"/>
      <c r="G1126" s="156"/>
      <c r="H1126" s="266"/>
      <c r="I1126" s="156"/>
      <c r="J1126" s="9"/>
      <c r="K1126" s="217"/>
      <c r="L1126" s="217"/>
      <c r="M1126" s="256"/>
      <c r="N1126" s="223"/>
      <c r="O1126" s="257"/>
      <c r="P1126" s="247"/>
      <c r="Q1126" s="156"/>
      <c r="R1126" s="260"/>
      <c r="S1126" s="218"/>
      <c r="T1126" s="219"/>
      <c r="U1126" s="30"/>
      <c r="V1126" s="31"/>
      <c r="W1126" s="30"/>
      <c r="X1126" s="220" t="str">
        <f>IFERROR(VLOOKUP(H1126,NAICS!$A$4:$B$1072,2,FALSE),"Unknown")</f>
        <v>Unknown</v>
      </c>
      <c r="Y1126" s="139">
        <f t="shared" si="32"/>
        <v>0</v>
      </c>
      <c r="Z1126" s="9">
        <f t="shared" si="33"/>
        <v>1</v>
      </c>
    </row>
    <row r="1127" spans="1:26">
      <c r="A1127"/>
      <c r="E1127" s="156"/>
      <c r="F1127" s="156"/>
      <c r="G1127" s="156"/>
      <c r="H1127" s="266"/>
      <c r="I1127" s="156"/>
      <c r="J1127" s="9"/>
      <c r="K1127" s="217"/>
      <c r="L1127" s="217"/>
      <c r="M1127" s="256"/>
      <c r="N1127" s="223"/>
      <c r="O1127" s="257"/>
      <c r="P1127" s="247"/>
      <c r="Q1127" s="156"/>
      <c r="R1127" s="260"/>
      <c r="S1127" s="218"/>
      <c r="T1127" s="219"/>
      <c r="U1127" s="30"/>
      <c r="V1127" s="31"/>
      <c r="W1127" s="30"/>
      <c r="X1127" s="220" t="str">
        <f>IFERROR(VLOOKUP(H1127,NAICS!$A$4:$B$1072,2,FALSE),"Unknown")</f>
        <v>Unknown</v>
      </c>
      <c r="Y1127" s="139">
        <f t="shared" si="32"/>
        <v>0</v>
      </c>
      <c r="Z1127" s="9">
        <f t="shared" si="33"/>
        <v>1</v>
      </c>
    </row>
    <row r="1128" spans="1:26">
      <c r="A1128"/>
      <c r="E1128" s="156"/>
      <c r="F1128" s="156"/>
      <c r="G1128" s="156"/>
      <c r="H1128" s="266"/>
      <c r="I1128" s="156"/>
      <c r="J1128" s="9"/>
      <c r="K1128" s="217"/>
      <c r="L1128" s="217"/>
      <c r="M1128" s="256"/>
      <c r="N1128" s="223"/>
      <c r="O1128" s="257"/>
      <c r="P1128" s="247"/>
      <c r="Q1128" s="156"/>
      <c r="R1128" s="260"/>
      <c r="S1128" s="218"/>
      <c r="T1128" s="219"/>
      <c r="U1128" s="30"/>
      <c r="V1128" s="31"/>
      <c r="W1128" s="30"/>
      <c r="X1128" s="220" t="str">
        <f>IFERROR(VLOOKUP(H1128,NAICS!$A$4:$B$1072,2,FALSE),"Unknown")</f>
        <v>Unknown</v>
      </c>
      <c r="Y1128" s="139">
        <f t="shared" si="32"/>
        <v>0</v>
      </c>
      <c r="Z1128" s="9">
        <f t="shared" si="33"/>
        <v>1</v>
      </c>
    </row>
    <row r="1129" spans="1:26">
      <c r="A1129"/>
      <c r="E1129" s="156"/>
      <c r="F1129" s="156"/>
      <c r="G1129" s="156"/>
      <c r="H1129" s="266"/>
      <c r="I1129" s="156"/>
      <c r="J1129" s="9"/>
      <c r="K1129" s="217"/>
      <c r="L1129" s="217"/>
      <c r="M1129" s="256"/>
      <c r="N1129" s="223"/>
      <c r="O1129" s="257"/>
      <c r="P1129" s="247"/>
      <c r="Q1129" s="156"/>
      <c r="R1129" s="260"/>
      <c r="S1129" s="218"/>
      <c r="T1129" s="219"/>
      <c r="U1129" s="30"/>
      <c r="V1129" s="31"/>
      <c r="W1129" s="30"/>
      <c r="X1129" s="220" t="str">
        <f>IFERROR(VLOOKUP(H1129,NAICS!$A$4:$B$1072,2,FALSE),"Unknown")</f>
        <v>Unknown</v>
      </c>
      <c r="Y1129" s="139">
        <f t="shared" si="32"/>
        <v>0</v>
      </c>
      <c r="Z1129" s="9">
        <f t="shared" si="33"/>
        <v>1</v>
      </c>
    </row>
    <row r="1130" spans="1:26">
      <c r="A1130"/>
      <c r="E1130" s="156"/>
      <c r="F1130" s="156"/>
      <c r="G1130" s="156"/>
      <c r="H1130" s="266"/>
      <c r="I1130" s="156"/>
      <c r="J1130" s="9"/>
      <c r="K1130" s="217"/>
      <c r="L1130" s="217"/>
      <c r="M1130" s="256"/>
      <c r="N1130" s="223"/>
      <c r="O1130" s="257"/>
      <c r="P1130" s="247"/>
      <c r="Q1130" s="156"/>
      <c r="R1130" s="260"/>
      <c r="S1130" s="218"/>
      <c r="T1130" s="219"/>
      <c r="U1130" s="30"/>
      <c r="V1130" s="31"/>
      <c r="W1130" s="30"/>
      <c r="X1130" s="220" t="str">
        <f>IFERROR(VLOOKUP(H1130,NAICS!$A$4:$B$1072,2,FALSE),"Unknown")</f>
        <v>Unknown</v>
      </c>
      <c r="Y1130" s="139">
        <f t="shared" si="32"/>
        <v>0</v>
      </c>
      <c r="Z1130" s="9">
        <f t="shared" si="33"/>
        <v>1</v>
      </c>
    </row>
    <row r="1131" spans="1:26">
      <c r="A1131"/>
      <c r="E1131" s="156"/>
      <c r="F1131" s="156"/>
      <c r="G1131" s="156"/>
      <c r="H1131" s="266"/>
      <c r="I1131" s="156"/>
      <c r="J1131" s="9"/>
      <c r="K1131" s="217"/>
      <c r="L1131" s="217"/>
      <c r="M1131" s="256"/>
      <c r="N1131" s="223"/>
      <c r="O1131" s="257"/>
      <c r="P1131" s="247"/>
      <c r="Q1131" s="156"/>
      <c r="R1131" s="260"/>
      <c r="S1131" s="218"/>
      <c r="T1131" s="219"/>
      <c r="U1131" s="30"/>
      <c r="V1131" s="31"/>
      <c r="W1131" s="30"/>
      <c r="X1131" s="220" t="str">
        <f>IFERROR(VLOOKUP(H1131,NAICS!$A$4:$B$1072,2,FALSE),"Unknown")</f>
        <v>Unknown</v>
      </c>
      <c r="Y1131" s="139">
        <f t="shared" si="32"/>
        <v>0</v>
      </c>
      <c r="Z1131" s="9">
        <f t="shared" si="33"/>
        <v>1</v>
      </c>
    </row>
    <row r="1132" spans="1:26">
      <c r="A1132"/>
      <c r="E1132" s="156"/>
      <c r="F1132" s="156"/>
      <c r="G1132" s="156"/>
      <c r="H1132" s="266"/>
      <c r="I1132" s="156"/>
      <c r="J1132" s="9"/>
      <c r="K1132" s="217"/>
      <c r="L1132" s="217"/>
      <c r="M1132" s="256"/>
      <c r="N1132" s="223"/>
      <c r="O1132" s="257"/>
      <c r="P1132" s="247"/>
      <c r="Q1132" s="156"/>
      <c r="R1132" s="260"/>
      <c r="S1132" s="218"/>
      <c r="T1132" s="219"/>
      <c r="U1132" s="30"/>
      <c r="V1132" s="31"/>
      <c r="W1132" s="30"/>
      <c r="X1132" s="220" t="str">
        <f>IFERROR(VLOOKUP(H1132,NAICS!$A$4:$B$1072,2,FALSE),"Unknown")</f>
        <v>Unknown</v>
      </c>
      <c r="Y1132" s="139">
        <f t="shared" si="32"/>
        <v>0</v>
      </c>
      <c r="Z1132" s="9">
        <f t="shared" si="33"/>
        <v>1</v>
      </c>
    </row>
    <row r="1133" spans="1:26">
      <c r="A1133"/>
      <c r="E1133" s="156"/>
      <c r="F1133" s="156"/>
      <c r="G1133" s="156"/>
      <c r="H1133" s="266"/>
      <c r="I1133" s="156"/>
      <c r="J1133" s="9"/>
      <c r="K1133" s="217"/>
      <c r="L1133" s="217"/>
      <c r="M1133" s="256"/>
      <c r="N1133" s="223"/>
      <c r="O1133" s="257"/>
      <c r="P1133" s="247"/>
      <c r="Q1133" s="156"/>
      <c r="R1133" s="260"/>
      <c r="S1133" s="218"/>
      <c r="T1133" s="219"/>
      <c r="U1133" s="30"/>
      <c r="V1133" s="31"/>
      <c r="W1133" s="30"/>
      <c r="X1133" s="220" t="str">
        <f>IFERROR(VLOOKUP(H1133,NAICS!$A$4:$B$1072,2,FALSE),"Unknown")</f>
        <v>Unknown</v>
      </c>
      <c r="Y1133" s="139">
        <f t="shared" si="32"/>
        <v>0</v>
      </c>
      <c r="Z1133" s="9">
        <f t="shared" si="33"/>
        <v>1</v>
      </c>
    </row>
    <row r="1134" spans="1:26">
      <c r="A1134"/>
      <c r="E1134" s="156"/>
      <c r="F1134" s="156"/>
      <c r="G1134" s="156"/>
      <c r="H1134" s="266"/>
      <c r="I1134" s="156"/>
      <c r="J1134" s="9"/>
      <c r="K1134" s="217"/>
      <c r="L1134" s="217"/>
      <c r="M1134" s="256"/>
      <c r="N1134" s="223"/>
      <c r="O1134" s="257"/>
      <c r="P1134" s="247"/>
      <c r="Q1134" s="156"/>
      <c r="R1134" s="260"/>
      <c r="S1134" s="218"/>
      <c r="T1134" s="219"/>
      <c r="U1134" s="30"/>
      <c r="V1134" s="31"/>
      <c r="W1134" s="30"/>
      <c r="X1134" s="220" t="str">
        <f>IFERROR(VLOOKUP(H1134,NAICS!$A$4:$B$1072,2,FALSE),"Unknown")</f>
        <v>Unknown</v>
      </c>
      <c r="Y1134" s="139">
        <f t="shared" si="32"/>
        <v>0</v>
      </c>
      <c r="Z1134" s="9">
        <f t="shared" si="33"/>
        <v>1</v>
      </c>
    </row>
    <row r="1135" spans="1:26">
      <c r="A1135"/>
      <c r="E1135" s="156"/>
      <c r="F1135" s="156"/>
      <c r="G1135" s="156"/>
      <c r="H1135" s="266"/>
      <c r="I1135" s="156"/>
      <c r="J1135" s="9"/>
      <c r="K1135" s="217"/>
      <c r="L1135" s="217"/>
      <c r="M1135" s="256"/>
      <c r="N1135" s="223"/>
      <c r="O1135" s="257"/>
      <c r="P1135" s="247"/>
      <c r="Q1135" s="156"/>
      <c r="R1135" s="260"/>
      <c r="S1135" s="218"/>
      <c r="T1135" s="219"/>
      <c r="U1135" s="30"/>
      <c r="V1135" s="31"/>
      <c r="W1135" s="30"/>
      <c r="X1135" s="220" t="str">
        <f>IFERROR(VLOOKUP(H1135,NAICS!$A$4:$B$1072,2,FALSE),"Unknown")</f>
        <v>Unknown</v>
      </c>
      <c r="Y1135" s="139">
        <f t="shared" si="32"/>
        <v>0</v>
      </c>
      <c r="Z1135" s="9">
        <f t="shared" si="33"/>
        <v>1</v>
      </c>
    </row>
    <row r="1136" spans="1:26">
      <c r="A1136"/>
      <c r="E1136" s="156"/>
      <c r="F1136" s="156"/>
      <c r="G1136" s="156"/>
      <c r="H1136" s="266"/>
      <c r="I1136" s="156"/>
      <c r="J1136" s="9"/>
      <c r="K1136" s="217"/>
      <c r="L1136" s="217"/>
      <c r="M1136" s="256"/>
      <c r="N1136" s="223"/>
      <c r="O1136" s="257"/>
      <c r="P1136" s="247"/>
      <c r="Q1136" s="156"/>
      <c r="R1136" s="260"/>
      <c r="S1136" s="218"/>
      <c r="T1136" s="219"/>
      <c r="U1136" s="30"/>
      <c r="V1136" s="31"/>
      <c r="W1136" s="30"/>
      <c r="X1136" s="220" t="str">
        <f>IFERROR(VLOOKUP(H1136,NAICS!$A$4:$B$1072,2,FALSE),"Unknown")</f>
        <v>Unknown</v>
      </c>
      <c r="Y1136" s="139">
        <f t="shared" si="32"/>
        <v>0</v>
      </c>
      <c r="Z1136" s="9">
        <f t="shared" si="33"/>
        <v>1</v>
      </c>
    </row>
    <row r="1137" spans="1:26">
      <c r="A1137"/>
      <c r="E1137" s="156"/>
      <c r="F1137" s="156"/>
      <c r="G1137" s="156"/>
      <c r="H1137" s="266"/>
      <c r="I1137" s="156"/>
      <c r="J1137" s="9"/>
      <c r="K1137" s="217"/>
      <c r="L1137" s="217"/>
      <c r="M1137" s="256"/>
      <c r="N1137" s="223"/>
      <c r="O1137" s="257"/>
      <c r="P1137" s="247"/>
      <c r="Q1137" s="156"/>
      <c r="R1137" s="260"/>
      <c r="S1137" s="218"/>
      <c r="T1137" s="219"/>
      <c r="U1137" s="30"/>
      <c r="V1137" s="31"/>
      <c r="W1137" s="30"/>
      <c r="X1137" s="220" t="str">
        <f>IFERROR(VLOOKUP(H1137,NAICS!$A$4:$B$1072,2,FALSE),"Unknown")</f>
        <v>Unknown</v>
      </c>
      <c r="Y1137" s="139">
        <f t="shared" si="32"/>
        <v>0</v>
      </c>
      <c r="Z1137" s="9">
        <f t="shared" si="33"/>
        <v>1</v>
      </c>
    </row>
    <row r="1138" spans="1:26">
      <c r="A1138"/>
      <c r="E1138" s="156"/>
      <c r="F1138" s="156"/>
      <c r="G1138" s="156"/>
      <c r="H1138" s="266"/>
      <c r="I1138" s="156"/>
      <c r="J1138" s="9"/>
      <c r="K1138" s="217"/>
      <c r="L1138" s="217"/>
      <c r="M1138" s="256"/>
      <c r="N1138" s="223"/>
      <c r="O1138" s="257"/>
      <c r="P1138" s="247"/>
      <c r="Q1138" s="156"/>
      <c r="R1138" s="260"/>
      <c r="S1138" s="218"/>
      <c r="T1138" s="219"/>
      <c r="U1138" s="30"/>
      <c r="V1138" s="31"/>
      <c r="W1138" s="30"/>
      <c r="X1138" s="220" t="str">
        <f>IFERROR(VLOOKUP(H1138,NAICS!$A$4:$B$1072,2,FALSE),"Unknown")</f>
        <v>Unknown</v>
      </c>
      <c r="Y1138" s="139">
        <f t="shared" si="32"/>
        <v>0</v>
      </c>
      <c r="Z1138" s="9">
        <f t="shared" si="33"/>
        <v>1</v>
      </c>
    </row>
    <row r="1139" spans="1:26">
      <c r="A1139"/>
      <c r="E1139" s="156"/>
      <c r="F1139" s="156"/>
      <c r="G1139" s="156"/>
      <c r="H1139" s="266"/>
      <c r="I1139" s="156"/>
      <c r="J1139" s="9"/>
      <c r="K1139" s="217"/>
      <c r="L1139" s="217"/>
      <c r="M1139" s="256"/>
      <c r="N1139" s="223"/>
      <c r="O1139" s="257"/>
      <c r="P1139" s="247"/>
      <c r="Q1139" s="156"/>
      <c r="R1139" s="260"/>
      <c r="S1139" s="218"/>
      <c r="T1139" s="219"/>
      <c r="U1139" s="30"/>
      <c r="V1139" s="31"/>
      <c r="W1139" s="30"/>
      <c r="X1139" s="220" t="str">
        <f>IFERROR(VLOOKUP(H1139,NAICS!$A$4:$B$1072,2,FALSE),"Unknown")</f>
        <v>Unknown</v>
      </c>
      <c r="Y1139" s="139">
        <f t="shared" si="32"/>
        <v>0</v>
      </c>
      <c r="Z1139" s="9">
        <f t="shared" si="33"/>
        <v>1</v>
      </c>
    </row>
    <row r="1140" spans="1:26">
      <c r="A1140"/>
      <c r="E1140" s="156"/>
      <c r="F1140" s="156"/>
      <c r="G1140" s="156"/>
      <c r="H1140" s="266"/>
      <c r="I1140" s="156"/>
      <c r="J1140" s="9"/>
      <c r="K1140" s="217"/>
      <c r="L1140" s="217"/>
      <c r="M1140" s="256"/>
      <c r="N1140" s="223"/>
      <c r="O1140" s="257"/>
      <c r="P1140" s="247"/>
      <c r="Q1140" s="156"/>
      <c r="R1140" s="260"/>
      <c r="S1140" s="218"/>
      <c r="T1140" s="219"/>
      <c r="U1140" s="30"/>
      <c r="V1140" s="31"/>
      <c r="W1140" s="30"/>
      <c r="X1140" s="220" t="str">
        <f>IFERROR(VLOOKUP(H1140,NAICS!$A$4:$B$1072,2,FALSE),"Unknown")</f>
        <v>Unknown</v>
      </c>
      <c r="Y1140" s="139">
        <f t="shared" si="32"/>
        <v>0</v>
      </c>
      <c r="Z1140" s="9">
        <f t="shared" si="33"/>
        <v>1</v>
      </c>
    </row>
    <row r="1141" spans="1:26">
      <c r="A1141"/>
      <c r="E1141" s="156"/>
      <c r="F1141" s="156"/>
      <c r="G1141" s="156"/>
      <c r="H1141" s="266"/>
      <c r="I1141" s="156"/>
      <c r="J1141" s="9"/>
      <c r="K1141" s="217"/>
      <c r="L1141" s="217"/>
      <c r="M1141" s="256"/>
      <c r="N1141" s="223"/>
      <c r="O1141" s="257"/>
      <c r="P1141" s="247"/>
      <c r="Q1141" s="156"/>
      <c r="R1141" s="260"/>
      <c r="S1141" s="218"/>
      <c r="T1141" s="219"/>
      <c r="U1141" s="30"/>
      <c r="V1141" s="31"/>
      <c r="W1141" s="30"/>
      <c r="X1141" s="220" t="str">
        <f>IFERROR(VLOOKUP(H1141,NAICS!$A$4:$B$1072,2,FALSE),"Unknown")</f>
        <v>Unknown</v>
      </c>
      <c r="Y1141" s="139">
        <f t="shared" si="32"/>
        <v>0</v>
      </c>
      <c r="Z1141" s="9">
        <f t="shared" si="33"/>
        <v>1</v>
      </c>
    </row>
    <row r="1142" spans="1:26">
      <c r="A1142"/>
      <c r="E1142" s="156"/>
      <c r="F1142" s="156"/>
      <c r="G1142" s="156"/>
      <c r="H1142" s="266"/>
      <c r="I1142" s="156"/>
      <c r="J1142" s="9"/>
      <c r="K1142" s="217"/>
      <c r="L1142" s="217"/>
      <c r="M1142" s="256"/>
      <c r="N1142" s="223"/>
      <c r="O1142" s="257"/>
      <c r="P1142" s="247"/>
      <c r="Q1142" s="156"/>
      <c r="R1142" s="260"/>
      <c r="S1142" s="218"/>
      <c r="T1142" s="219"/>
      <c r="U1142" s="30"/>
      <c r="V1142" s="31"/>
      <c r="W1142" s="30"/>
      <c r="X1142" s="220" t="str">
        <f>IFERROR(VLOOKUP(H1142,NAICS!$A$4:$B$1072,2,FALSE),"Unknown")</f>
        <v>Unknown</v>
      </c>
      <c r="Y1142" s="139">
        <f t="shared" si="32"/>
        <v>0</v>
      </c>
      <c r="Z1142" s="9">
        <f t="shared" si="33"/>
        <v>1</v>
      </c>
    </row>
    <row r="1143" spans="1:26">
      <c r="A1143"/>
      <c r="E1143" s="156"/>
      <c r="F1143" s="156"/>
      <c r="G1143" s="156"/>
      <c r="H1143" s="266"/>
      <c r="I1143" s="156"/>
      <c r="J1143" s="9"/>
      <c r="K1143" s="217"/>
      <c r="L1143" s="217"/>
      <c r="M1143" s="256"/>
      <c r="N1143" s="223"/>
      <c r="O1143" s="257"/>
      <c r="P1143" s="247"/>
      <c r="Q1143" s="156"/>
      <c r="R1143" s="260"/>
      <c r="S1143" s="218"/>
      <c r="T1143" s="219"/>
      <c r="U1143" s="30"/>
      <c r="V1143" s="31"/>
      <c r="W1143" s="30"/>
      <c r="X1143" s="220" t="str">
        <f>IFERROR(VLOOKUP(H1143,NAICS!$A$4:$B$1072,2,FALSE),"Unknown")</f>
        <v>Unknown</v>
      </c>
      <c r="Y1143" s="139">
        <f t="shared" si="32"/>
        <v>0</v>
      </c>
      <c r="Z1143" s="9">
        <f t="shared" si="33"/>
        <v>1</v>
      </c>
    </row>
    <row r="1144" spans="1:26">
      <c r="A1144"/>
      <c r="E1144" s="156"/>
      <c r="F1144" s="156"/>
      <c r="G1144" s="156"/>
      <c r="H1144" s="266"/>
      <c r="I1144" s="156"/>
      <c r="J1144" s="9"/>
      <c r="K1144" s="217"/>
      <c r="L1144" s="217"/>
      <c r="M1144" s="256"/>
      <c r="N1144" s="223"/>
      <c r="O1144" s="257"/>
      <c r="P1144" s="247"/>
      <c r="Q1144" s="156"/>
      <c r="R1144" s="260"/>
      <c r="S1144" s="218"/>
      <c r="T1144" s="219"/>
      <c r="U1144" s="30"/>
      <c r="V1144" s="31"/>
      <c r="W1144" s="30"/>
      <c r="X1144" s="220" t="str">
        <f>IFERROR(VLOOKUP(H1144,NAICS!$A$4:$B$1072,2,FALSE),"Unknown")</f>
        <v>Unknown</v>
      </c>
      <c r="Y1144" s="139">
        <f t="shared" si="32"/>
        <v>0</v>
      </c>
      <c r="Z1144" s="9">
        <f t="shared" si="33"/>
        <v>1</v>
      </c>
    </row>
    <row r="1145" spans="1:26">
      <c r="A1145"/>
      <c r="E1145" s="156"/>
      <c r="F1145" s="156"/>
      <c r="G1145" s="156"/>
      <c r="H1145" s="266"/>
      <c r="I1145" s="156"/>
      <c r="J1145" s="9"/>
      <c r="K1145" s="217"/>
      <c r="L1145" s="217"/>
      <c r="M1145" s="256"/>
      <c r="N1145" s="223"/>
      <c r="O1145" s="257"/>
      <c r="P1145" s="247"/>
      <c r="Q1145" s="156"/>
      <c r="R1145" s="260"/>
      <c r="S1145" s="218"/>
      <c r="T1145" s="219"/>
      <c r="U1145" s="30"/>
      <c r="V1145" s="31"/>
      <c r="W1145" s="30"/>
      <c r="X1145" s="220" t="str">
        <f>IFERROR(VLOOKUP(H1145,NAICS!$A$4:$B$1072,2,FALSE),"Unknown")</f>
        <v>Unknown</v>
      </c>
      <c r="Y1145" s="139">
        <f t="shared" si="32"/>
        <v>0</v>
      </c>
      <c r="Z1145" s="9">
        <f t="shared" si="33"/>
        <v>1</v>
      </c>
    </row>
    <row r="1146" spans="1:26">
      <c r="A1146"/>
      <c r="E1146" s="156"/>
      <c r="F1146" s="156"/>
      <c r="G1146" s="156"/>
      <c r="H1146" s="266"/>
      <c r="I1146" s="156"/>
      <c r="J1146" s="9"/>
      <c r="K1146" s="217"/>
      <c r="L1146" s="217"/>
      <c r="M1146" s="256"/>
      <c r="N1146" s="223"/>
      <c r="O1146" s="257"/>
      <c r="P1146" s="247"/>
      <c r="Q1146" s="156"/>
      <c r="R1146" s="260"/>
      <c r="S1146" s="218"/>
      <c r="T1146" s="219"/>
      <c r="U1146" s="30"/>
      <c r="V1146" s="31"/>
      <c r="W1146" s="30"/>
      <c r="X1146" s="220" t="str">
        <f>IFERROR(VLOOKUP(H1146,NAICS!$A$4:$B$1072,2,FALSE),"Unknown")</f>
        <v>Unknown</v>
      </c>
      <c r="Y1146" s="139">
        <f t="shared" si="32"/>
        <v>0</v>
      </c>
      <c r="Z1146" s="9">
        <f t="shared" si="33"/>
        <v>1</v>
      </c>
    </row>
    <row r="1147" spans="1:26">
      <c r="A1147"/>
      <c r="E1147" s="156"/>
      <c r="F1147" s="156"/>
      <c r="G1147" s="156"/>
      <c r="H1147" s="266"/>
      <c r="I1147" s="156"/>
      <c r="J1147" s="9"/>
      <c r="K1147" s="217"/>
      <c r="L1147" s="217"/>
      <c r="M1147" s="256"/>
      <c r="N1147" s="223"/>
      <c r="O1147" s="257"/>
      <c r="P1147" s="247"/>
      <c r="Q1147" s="156"/>
      <c r="R1147" s="260"/>
      <c r="S1147" s="218"/>
      <c r="T1147" s="219"/>
      <c r="U1147" s="30"/>
      <c r="V1147" s="31"/>
      <c r="W1147" s="30"/>
      <c r="X1147" s="220" t="str">
        <f>IFERROR(VLOOKUP(H1147,NAICS!$A$4:$B$1072,2,FALSE),"Unknown")</f>
        <v>Unknown</v>
      </c>
      <c r="Y1147" s="139">
        <f t="shared" si="32"/>
        <v>0</v>
      </c>
      <c r="Z1147" s="9">
        <f t="shared" si="33"/>
        <v>1</v>
      </c>
    </row>
    <row r="1148" spans="1:26">
      <c r="A1148"/>
      <c r="E1148" s="156"/>
      <c r="F1148" s="156"/>
      <c r="G1148" s="156"/>
      <c r="H1148" s="266"/>
      <c r="I1148" s="156"/>
      <c r="J1148" s="9"/>
      <c r="K1148" s="217"/>
      <c r="L1148" s="217"/>
      <c r="M1148" s="256"/>
      <c r="N1148" s="223"/>
      <c r="O1148" s="257"/>
      <c r="P1148" s="247"/>
      <c r="Q1148" s="156"/>
      <c r="R1148" s="260"/>
      <c r="S1148" s="218"/>
      <c r="T1148" s="219"/>
      <c r="U1148" s="30"/>
      <c r="V1148" s="31"/>
      <c r="W1148" s="30"/>
      <c r="X1148" s="220" t="str">
        <f>IFERROR(VLOOKUP(H1148,NAICS!$A$4:$B$1072,2,FALSE),"Unknown")</f>
        <v>Unknown</v>
      </c>
      <c r="Y1148" s="139">
        <f t="shared" si="32"/>
        <v>0</v>
      </c>
      <c r="Z1148" s="9">
        <f t="shared" si="33"/>
        <v>1</v>
      </c>
    </row>
    <row r="1149" spans="1:26">
      <c r="A1149"/>
      <c r="E1149" s="156"/>
      <c r="F1149" s="156"/>
      <c r="G1149" s="156"/>
      <c r="H1149" s="266"/>
      <c r="I1149" s="156"/>
      <c r="J1149" s="9"/>
      <c r="K1149" s="217"/>
      <c r="L1149" s="217"/>
      <c r="M1149" s="256"/>
      <c r="N1149" s="223"/>
      <c r="O1149" s="257"/>
      <c r="P1149" s="247"/>
      <c r="Q1149" s="156"/>
      <c r="R1149" s="260"/>
      <c r="S1149" s="218"/>
      <c r="T1149" s="219"/>
      <c r="U1149" s="30"/>
      <c r="V1149" s="31"/>
      <c r="W1149" s="30"/>
      <c r="X1149" s="220" t="str">
        <f>IFERROR(VLOOKUP(H1149,NAICS!$A$4:$B$1072,2,FALSE),"Unknown")</f>
        <v>Unknown</v>
      </c>
      <c r="Y1149" s="139">
        <f t="shared" si="32"/>
        <v>0</v>
      </c>
      <c r="Z1149" s="9">
        <f t="shared" si="33"/>
        <v>1</v>
      </c>
    </row>
    <row r="1150" spans="1:26">
      <c r="A1150"/>
      <c r="E1150" s="156"/>
      <c r="F1150" s="156"/>
      <c r="G1150" s="156"/>
      <c r="H1150" s="266"/>
      <c r="I1150" s="156"/>
      <c r="J1150" s="9"/>
      <c r="K1150" s="217"/>
      <c r="L1150" s="217"/>
      <c r="M1150" s="256"/>
      <c r="N1150" s="223"/>
      <c r="O1150" s="257"/>
      <c r="P1150" s="247"/>
      <c r="Q1150" s="156"/>
      <c r="R1150" s="260"/>
      <c r="S1150" s="218"/>
      <c r="T1150" s="219"/>
      <c r="U1150" s="30"/>
      <c r="V1150" s="31"/>
      <c r="W1150" s="30"/>
      <c r="X1150" s="220" t="str">
        <f>IFERROR(VLOOKUP(H1150,NAICS!$A$4:$B$1072,2,FALSE),"Unknown")</f>
        <v>Unknown</v>
      </c>
      <c r="Y1150" s="139">
        <f t="shared" si="32"/>
        <v>0</v>
      </c>
      <c r="Z1150" s="9">
        <f t="shared" si="33"/>
        <v>1</v>
      </c>
    </row>
    <row r="1151" spans="1:26">
      <c r="A1151"/>
      <c r="E1151" s="156"/>
      <c r="F1151" s="156"/>
      <c r="G1151" s="156"/>
      <c r="H1151" s="266"/>
      <c r="I1151" s="156"/>
      <c r="J1151" s="9"/>
      <c r="K1151" s="217"/>
      <c r="L1151" s="217"/>
      <c r="M1151" s="256"/>
      <c r="N1151" s="223"/>
      <c r="O1151" s="257"/>
      <c r="P1151" s="247"/>
      <c r="Q1151" s="156"/>
      <c r="R1151" s="260"/>
      <c r="S1151" s="218"/>
      <c r="T1151" s="219"/>
      <c r="U1151" s="30"/>
      <c r="V1151" s="31"/>
      <c r="W1151" s="30"/>
      <c r="X1151" s="220" t="str">
        <f>IFERROR(VLOOKUP(H1151,NAICS!$A$4:$B$1072,2,FALSE),"Unknown")</f>
        <v>Unknown</v>
      </c>
      <c r="Y1151" s="139">
        <f t="shared" si="32"/>
        <v>0</v>
      </c>
      <c r="Z1151" s="9">
        <f t="shared" si="33"/>
        <v>1</v>
      </c>
    </row>
    <row r="1152" spans="1:26">
      <c r="A1152"/>
      <c r="E1152" s="156"/>
      <c r="F1152" s="156"/>
      <c r="G1152" s="156"/>
      <c r="H1152" s="266"/>
      <c r="I1152" s="156"/>
      <c r="J1152" s="9"/>
      <c r="K1152" s="217"/>
      <c r="L1152" s="217"/>
      <c r="M1152" s="256"/>
      <c r="N1152" s="223"/>
      <c r="O1152" s="257"/>
      <c r="P1152" s="247"/>
      <c r="Q1152" s="156"/>
      <c r="R1152" s="260"/>
      <c r="S1152" s="218"/>
      <c r="T1152" s="219"/>
      <c r="U1152" s="30"/>
      <c r="V1152" s="31"/>
      <c r="W1152" s="30"/>
      <c r="X1152" s="220" t="str">
        <f>IFERROR(VLOOKUP(H1152,NAICS!$A$4:$B$1072,2,FALSE),"Unknown")</f>
        <v>Unknown</v>
      </c>
      <c r="Y1152" s="139">
        <f t="shared" si="32"/>
        <v>0</v>
      </c>
      <c r="Z1152" s="9">
        <f t="shared" si="33"/>
        <v>1</v>
      </c>
    </row>
    <row r="1153" spans="1:26">
      <c r="A1153"/>
      <c r="E1153" s="156"/>
      <c r="F1153" s="156"/>
      <c r="G1153" s="156"/>
      <c r="H1153" s="266"/>
      <c r="I1153" s="156"/>
      <c r="J1153" s="9"/>
      <c r="K1153" s="217"/>
      <c r="L1153" s="217"/>
      <c r="M1153" s="256"/>
      <c r="N1153" s="223"/>
      <c r="O1153" s="257"/>
      <c r="P1153" s="247"/>
      <c r="Q1153" s="156"/>
      <c r="R1153" s="260"/>
      <c r="S1153" s="218"/>
      <c r="T1153" s="219"/>
      <c r="U1153" s="30"/>
      <c r="V1153" s="31"/>
      <c r="W1153" s="30"/>
      <c r="X1153" s="220" t="str">
        <f>IFERROR(VLOOKUP(H1153,NAICS!$A$4:$B$1072,2,FALSE),"Unknown")</f>
        <v>Unknown</v>
      </c>
      <c r="Y1153" s="139">
        <f t="shared" si="32"/>
        <v>0</v>
      </c>
      <c r="Z1153" s="9">
        <f t="shared" si="33"/>
        <v>1</v>
      </c>
    </row>
    <row r="1154" spans="1:26">
      <c r="A1154"/>
      <c r="E1154" s="156"/>
      <c r="F1154" s="156"/>
      <c r="G1154" s="156"/>
      <c r="H1154" s="266"/>
      <c r="I1154" s="156"/>
      <c r="J1154" s="9"/>
      <c r="K1154" s="217"/>
      <c r="L1154" s="217"/>
      <c r="M1154" s="256"/>
      <c r="N1154" s="223"/>
      <c r="O1154" s="257"/>
      <c r="P1154" s="247"/>
      <c r="Q1154" s="156"/>
      <c r="R1154" s="260"/>
      <c r="S1154" s="218"/>
      <c r="T1154" s="219"/>
      <c r="U1154" s="30"/>
      <c r="V1154" s="31"/>
      <c r="W1154" s="30"/>
      <c r="X1154" s="220" t="str">
        <f>IFERROR(VLOOKUP(H1154,NAICS!$A$4:$B$1072,2,FALSE),"Unknown")</f>
        <v>Unknown</v>
      </c>
      <c r="Y1154" s="139">
        <f t="shared" si="32"/>
        <v>0</v>
      </c>
      <c r="Z1154" s="9">
        <f t="shared" si="33"/>
        <v>1</v>
      </c>
    </row>
    <row r="1155" spans="1:26">
      <c r="A1155"/>
      <c r="E1155" s="156"/>
      <c r="F1155" s="156"/>
      <c r="G1155" s="156"/>
      <c r="H1155" s="266"/>
      <c r="I1155" s="156"/>
      <c r="J1155" s="9"/>
      <c r="K1155" s="217"/>
      <c r="L1155" s="217"/>
      <c r="M1155" s="256"/>
      <c r="N1155" s="223"/>
      <c r="O1155" s="257"/>
      <c r="P1155" s="247"/>
      <c r="Q1155" s="156"/>
      <c r="R1155" s="260"/>
      <c r="S1155" s="218"/>
      <c r="T1155" s="219"/>
      <c r="U1155" s="30"/>
      <c r="V1155" s="31"/>
      <c r="W1155" s="30"/>
      <c r="X1155" s="220" t="str">
        <f>IFERROR(VLOOKUP(H1155,NAICS!$A$4:$B$1072,2,FALSE),"Unknown")</f>
        <v>Unknown</v>
      </c>
      <c r="Y1155" s="139">
        <f t="shared" si="32"/>
        <v>0</v>
      </c>
      <c r="Z1155" s="9">
        <f t="shared" si="33"/>
        <v>1</v>
      </c>
    </row>
    <row r="1156" spans="1:26">
      <c r="A1156"/>
      <c r="E1156" s="156"/>
      <c r="F1156" s="156"/>
      <c r="G1156" s="156"/>
      <c r="H1156" s="266"/>
      <c r="I1156" s="156"/>
      <c r="J1156" s="9"/>
      <c r="K1156" s="217"/>
      <c r="L1156" s="217"/>
      <c r="M1156" s="256"/>
      <c r="N1156" s="223"/>
      <c r="O1156" s="257"/>
      <c r="P1156" s="247"/>
      <c r="Q1156" s="156"/>
      <c r="R1156" s="260"/>
      <c r="S1156" s="218"/>
      <c r="T1156" s="219"/>
      <c r="U1156" s="30"/>
      <c r="V1156" s="31"/>
      <c r="W1156" s="30"/>
      <c r="X1156" s="220" t="str">
        <f>IFERROR(VLOOKUP(H1156,NAICS!$A$4:$B$1072,2,FALSE),"Unknown")</f>
        <v>Unknown</v>
      </c>
      <c r="Y1156" s="139">
        <f t="shared" si="32"/>
        <v>0</v>
      </c>
      <c r="Z1156" s="9">
        <f t="shared" si="33"/>
        <v>1</v>
      </c>
    </row>
    <row r="1157" spans="1:26">
      <c r="A1157"/>
      <c r="E1157" s="156"/>
      <c r="F1157" s="156"/>
      <c r="G1157" s="156"/>
      <c r="H1157" s="266"/>
      <c r="I1157" s="156"/>
      <c r="J1157" s="9"/>
      <c r="K1157" s="217"/>
      <c r="L1157" s="217"/>
      <c r="M1157" s="256"/>
      <c r="N1157" s="223"/>
      <c r="O1157" s="257"/>
      <c r="P1157" s="247"/>
      <c r="Q1157" s="156"/>
      <c r="R1157" s="260"/>
      <c r="S1157" s="218"/>
      <c r="T1157" s="219"/>
      <c r="U1157" s="30"/>
      <c r="V1157" s="31"/>
      <c r="W1157" s="30"/>
      <c r="X1157" s="220" t="str">
        <f>IFERROR(VLOOKUP(H1157,NAICS!$A$4:$B$1072,2,FALSE),"Unknown")</f>
        <v>Unknown</v>
      </c>
      <c r="Y1157" s="139">
        <f t="shared" si="32"/>
        <v>0</v>
      </c>
      <c r="Z1157" s="9">
        <f t="shared" si="33"/>
        <v>1</v>
      </c>
    </row>
    <row r="1158" spans="1:26">
      <c r="A1158"/>
      <c r="E1158" s="156"/>
      <c r="F1158" s="156"/>
      <c r="G1158" s="156"/>
      <c r="H1158" s="266"/>
      <c r="I1158" s="156"/>
      <c r="J1158" s="9"/>
      <c r="K1158" s="217"/>
      <c r="L1158" s="217"/>
      <c r="M1158" s="256"/>
      <c r="N1158" s="223"/>
      <c r="O1158" s="257"/>
      <c r="P1158" s="247"/>
      <c r="Q1158" s="156"/>
      <c r="R1158" s="260"/>
      <c r="S1158" s="218"/>
      <c r="T1158" s="219"/>
      <c r="U1158" s="30"/>
      <c r="V1158" s="31"/>
      <c r="W1158" s="30"/>
      <c r="X1158" s="220" t="str">
        <f>IFERROR(VLOOKUP(H1158,NAICS!$A$4:$B$1072,2,FALSE),"Unknown")</f>
        <v>Unknown</v>
      </c>
      <c r="Y1158" s="139">
        <f t="shared" si="32"/>
        <v>0</v>
      </c>
      <c r="Z1158" s="9">
        <f t="shared" si="33"/>
        <v>1</v>
      </c>
    </row>
    <row r="1159" spans="1:26">
      <c r="A1159"/>
      <c r="E1159" s="156"/>
      <c r="F1159" s="156"/>
      <c r="G1159" s="156"/>
      <c r="H1159" s="266"/>
      <c r="I1159" s="156"/>
      <c r="J1159" s="9"/>
      <c r="K1159" s="217"/>
      <c r="L1159" s="217"/>
      <c r="M1159" s="256"/>
      <c r="N1159" s="223"/>
      <c r="O1159" s="257"/>
      <c r="P1159" s="247"/>
      <c r="Q1159" s="156"/>
      <c r="R1159" s="260"/>
      <c r="S1159" s="218"/>
      <c r="T1159" s="219"/>
      <c r="U1159" s="30"/>
      <c r="V1159" s="31"/>
      <c r="W1159" s="30"/>
      <c r="X1159" s="220" t="str">
        <f>IFERROR(VLOOKUP(H1159,NAICS!$A$4:$B$1072,2,FALSE),"Unknown")</f>
        <v>Unknown</v>
      </c>
      <c r="Y1159" s="139">
        <f t="shared" si="32"/>
        <v>0</v>
      </c>
      <c r="Z1159" s="9">
        <f t="shared" si="33"/>
        <v>1</v>
      </c>
    </row>
    <row r="1160" spans="1:26">
      <c r="A1160"/>
      <c r="E1160" s="156"/>
      <c r="F1160" s="156"/>
      <c r="G1160" s="156"/>
      <c r="H1160" s="266"/>
      <c r="I1160" s="156"/>
      <c r="J1160" s="9"/>
      <c r="K1160" s="217"/>
      <c r="L1160" s="217"/>
      <c r="M1160" s="256"/>
      <c r="N1160" s="223"/>
      <c r="O1160" s="257"/>
      <c r="P1160" s="247"/>
      <c r="Q1160" s="156"/>
      <c r="R1160" s="260"/>
      <c r="S1160" s="218"/>
      <c r="T1160" s="219"/>
      <c r="U1160" s="30"/>
      <c r="V1160" s="31"/>
      <c r="W1160" s="30"/>
      <c r="X1160" s="220" t="str">
        <f>IFERROR(VLOOKUP(H1160,NAICS!$A$4:$B$1072,2,FALSE),"Unknown")</f>
        <v>Unknown</v>
      </c>
      <c r="Y1160" s="139">
        <f t="shared" si="32"/>
        <v>0</v>
      </c>
      <c r="Z1160" s="9">
        <f t="shared" si="33"/>
        <v>1</v>
      </c>
    </row>
    <row r="1161" spans="1:26">
      <c r="A1161"/>
      <c r="E1161" s="156"/>
      <c r="F1161" s="156"/>
      <c r="G1161" s="156"/>
      <c r="H1161" s="266"/>
      <c r="I1161" s="156"/>
      <c r="J1161" s="9"/>
      <c r="K1161" s="217"/>
      <c r="L1161" s="217"/>
      <c r="M1161" s="256"/>
      <c r="N1161" s="223"/>
      <c r="O1161" s="257"/>
      <c r="P1161" s="247"/>
      <c r="Q1161" s="156"/>
      <c r="R1161" s="260"/>
      <c r="S1161" s="218"/>
      <c r="T1161" s="219"/>
      <c r="U1161" s="30"/>
      <c r="V1161" s="31"/>
      <c r="W1161" s="30"/>
      <c r="X1161" s="220" t="str">
        <f>IFERROR(VLOOKUP(H1161,NAICS!$A$4:$B$1072,2,FALSE),"Unknown")</f>
        <v>Unknown</v>
      </c>
      <c r="Y1161" s="139">
        <f t="shared" si="32"/>
        <v>0</v>
      </c>
      <c r="Z1161" s="9">
        <f t="shared" si="33"/>
        <v>1</v>
      </c>
    </row>
    <row r="1162" spans="1:26">
      <c r="A1162"/>
      <c r="E1162" s="156"/>
      <c r="F1162" s="156"/>
      <c r="G1162" s="156"/>
      <c r="H1162" s="266"/>
      <c r="I1162" s="156"/>
      <c r="J1162" s="9"/>
      <c r="K1162" s="217"/>
      <c r="L1162" s="217"/>
      <c r="M1162" s="256"/>
      <c r="N1162" s="223"/>
      <c r="O1162" s="257"/>
      <c r="P1162" s="247"/>
      <c r="Q1162" s="156"/>
      <c r="R1162" s="260"/>
      <c r="S1162" s="218"/>
      <c r="T1162" s="219"/>
      <c r="U1162" s="30"/>
      <c r="V1162" s="31"/>
      <c r="W1162" s="30"/>
      <c r="X1162" s="220" t="str">
        <f>IFERROR(VLOOKUP(H1162,NAICS!$A$4:$B$1072,2,FALSE),"Unknown")</f>
        <v>Unknown</v>
      </c>
      <c r="Y1162" s="139">
        <f t="shared" si="32"/>
        <v>0</v>
      </c>
      <c r="Z1162" s="9">
        <f t="shared" si="33"/>
        <v>1</v>
      </c>
    </row>
    <row r="1163" spans="1:26">
      <c r="A1163"/>
      <c r="E1163" s="156"/>
      <c r="F1163" s="156"/>
      <c r="G1163" s="156"/>
      <c r="H1163" s="266"/>
      <c r="I1163" s="156"/>
      <c r="J1163" s="9"/>
      <c r="K1163" s="217"/>
      <c r="L1163" s="217"/>
      <c r="M1163" s="256"/>
      <c r="N1163" s="223"/>
      <c r="O1163" s="257"/>
      <c r="P1163" s="247"/>
      <c r="Q1163" s="156"/>
      <c r="R1163" s="260"/>
      <c r="S1163" s="218"/>
      <c r="T1163" s="219"/>
      <c r="U1163" s="30"/>
      <c r="V1163" s="31"/>
      <c r="W1163" s="30"/>
      <c r="X1163" s="220" t="str">
        <f>IFERROR(VLOOKUP(H1163,NAICS!$A$4:$B$1072,2,FALSE),"Unknown")</f>
        <v>Unknown</v>
      </c>
      <c r="Y1163" s="139">
        <f t="shared" si="32"/>
        <v>0</v>
      </c>
      <c r="Z1163" s="9">
        <f t="shared" si="33"/>
        <v>1</v>
      </c>
    </row>
    <row r="1164" spans="1:26">
      <c r="A1164"/>
      <c r="E1164" s="156"/>
      <c r="F1164" s="156"/>
      <c r="G1164" s="156"/>
      <c r="H1164" s="266"/>
      <c r="I1164" s="156"/>
      <c r="J1164" s="9"/>
      <c r="K1164" s="217"/>
      <c r="L1164" s="217"/>
      <c r="M1164" s="256"/>
      <c r="N1164" s="223"/>
      <c r="O1164" s="257"/>
      <c r="P1164" s="247"/>
      <c r="Q1164" s="156"/>
      <c r="R1164" s="260"/>
      <c r="S1164" s="218"/>
      <c r="T1164" s="219"/>
      <c r="U1164" s="30"/>
      <c r="V1164" s="31"/>
      <c r="W1164" s="30"/>
      <c r="X1164" s="220" t="str">
        <f>IFERROR(VLOOKUP(H1164,NAICS!$A$4:$B$1072,2,FALSE),"Unknown")</f>
        <v>Unknown</v>
      </c>
      <c r="Y1164" s="139">
        <f t="shared" si="32"/>
        <v>0</v>
      </c>
      <c r="Z1164" s="9">
        <f t="shared" si="33"/>
        <v>1</v>
      </c>
    </row>
    <row r="1165" spans="1:26">
      <c r="A1165"/>
      <c r="E1165" s="156"/>
      <c r="F1165" s="156"/>
      <c r="G1165" s="156"/>
      <c r="H1165" s="266"/>
      <c r="I1165" s="156"/>
      <c r="J1165" s="9"/>
      <c r="K1165" s="217"/>
      <c r="L1165" s="217"/>
      <c r="M1165" s="256"/>
      <c r="N1165" s="223"/>
      <c r="O1165" s="257"/>
      <c r="P1165" s="247"/>
      <c r="Q1165" s="156"/>
      <c r="R1165" s="260"/>
      <c r="S1165" s="218"/>
      <c r="T1165" s="219"/>
      <c r="U1165" s="30"/>
      <c r="V1165" s="31"/>
      <c r="W1165" s="30"/>
      <c r="X1165" s="220" t="str">
        <f>IFERROR(VLOOKUP(H1165,NAICS!$A$4:$B$1072,2,FALSE),"Unknown")</f>
        <v>Unknown</v>
      </c>
      <c r="Y1165" s="139">
        <f t="shared" ref="Y1165:Y1228" si="34">IF(U1165&gt;=180,IF(V1165&lt;=12,5%,IF(AND(V1165&gt;12,V1165&lt;24),3%,IF(AND(V1165&gt;24,V1165&lt;36),1%,0%))),0%)</f>
        <v>0</v>
      </c>
      <c r="Z1165" s="9">
        <f t="shared" ref="Z1165:Z1228" si="35">IF(AND(U1165&gt;=$AE$2,U1165&lt;=$AF$2),1,IF(AND(U1165&gt;$AE$3,U1165&lt;=$AF$3),2,IF(AND(U1165&gt;$AE$4,U1165&lt;=$AF$4),3,IF(AND(U1165&gt;$AE$5,U1165&lt;=$AF$5),4,IF(AND(U1165&gt;$AE$6,U1165&lt;=$AF$6),5,"")))))</f>
        <v>1</v>
      </c>
    </row>
    <row r="1166" spans="1:26">
      <c r="A1166"/>
      <c r="E1166" s="156"/>
      <c r="F1166" s="156"/>
      <c r="G1166" s="156"/>
      <c r="H1166" s="266"/>
      <c r="I1166" s="156"/>
      <c r="J1166" s="9"/>
      <c r="K1166" s="217"/>
      <c r="L1166" s="217"/>
      <c r="M1166" s="256"/>
      <c r="N1166" s="223"/>
      <c r="O1166" s="257"/>
      <c r="P1166" s="247"/>
      <c r="Q1166" s="156"/>
      <c r="R1166" s="260"/>
      <c r="S1166" s="218"/>
      <c r="T1166" s="219"/>
      <c r="U1166" s="30"/>
      <c r="V1166" s="31"/>
      <c r="W1166" s="30"/>
      <c r="X1166" s="220" t="str">
        <f>IFERROR(VLOOKUP(H1166,NAICS!$A$4:$B$1072,2,FALSE),"Unknown")</f>
        <v>Unknown</v>
      </c>
      <c r="Y1166" s="139">
        <f t="shared" si="34"/>
        <v>0</v>
      </c>
      <c r="Z1166" s="9">
        <f t="shared" si="35"/>
        <v>1</v>
      </c>
    </row>
    <row r="1167" spans="1:26">
      <c r="A1167"/>
      <c r="E1167" s="156"/>
      <c r="F1167" s="156"/>
      <c r="G1167" s="156"/>
      <c r="H1167" s="266"/>
      <c r="I1167" s="156"/>
      <c r="J1167" s="9"/>
      <c r="K1167" s="217"/>
      <c r="L1167" s="217"/>
      <c r="M1167" s="256"/>
      <c r="N1167" s="223"/>
      <c r="O1167" s="257"/>
      <c r="P1167" s="247"/>
      <c r="Q1167" s="156"/>
      <c r="R1167" s="260"/>
      <c r="S1167" s="218"/>
      <c r="T1167" s="219"/>
      <c r="U1167" s="30"/>
      <c r="V1167" s="31"/>
      <c r="W1167" s="30"/>
      <c r="X1167" s="220" t="str">
        <f>IFERROR(VLOOKUP(H1167,NAICS!$A$4:$B$1072,2,FALSE),"Unknown")</f>
        <v>Unknown</v>
      </c>
      <c r="Y1167" s="139">
        <f t="shared" si="34"/>
        <v>0</v>
      </c>
      <c r="Z1167" s="9">
        <f t="shared" si="35"/>
        <v>1</v>
      </c>
    </row>
    <row r="1168" spans="1:26">
      <c r="A1168"/>
      <c r="E1168" s="156"/>
      <c r="F1168" s="156"/>
      <c r="G1168" s="156"/>
      <c r="H1168" s="266"/>
      <c r="I1168" s="156"/>
      <c r="J1168" s="9"/>
      <c r="K1168" s="217"/>
      <c r="L1168" s="217"/>
      <c r="M1168" s="256"/>
      <c r="N1168" s="223"/>
      <c r="O1168" s="257"/>
      <c r="P1168" s="247"/>
      <c r="Q1168" s="156"/>
      <c r="R1168" s="260"/>
      <c r="S1168" s="218"/>
      <c r="T1168" s="219"/>
      <c r="U1168" s="30"/>
      <c r="V1168" s="31"/>
      <c r="W1168" s="30"/>
      <c r="X1168" s="220" t="str">
        <f>IFERROR(VLOOKUP(H1168,NAICS!$A$4:$B$1072,2,FALSE),"Unknown")</f>
        <v>Unknown</v>
      </c>
      <c r="Y1168" s="139">
        <f t="shared" si="34"/>
        <v>0</v>
      </c>
      <c r="Z1168" s="9">
        <f t="shared" si="35"/>
        <v>1</v>
      </c>
    </row>
    <row r="1169" spans="1:26">
      <c r="A1169"/>
      <c r="E1169" s="156"/>
      <c r="F1169" s="156"/>
      <c r="G1169" s="156"/>
      <c r="H1169" s="266"/>
      <c r="I1169" s="156"/>
      <c r="J1169" s="9"/>
      <c r="K1169" s="217"/>
      <c r="L1169" s="217"/>
      <c r="M1169" s="256"/>
      <c r="N1169" s="223"/>
      <c r="O1169" s="257"/>
      <c r="P1169" s="247"/>
      <c r="Q1169" s="156"/>
      <c r="R1169" s="260"/>
      <c r="S1169" s="218"/>
      <c r="T1169" s="219"/>
      <c r="U1169" s="30"/>
      <c r="V1169" s="31"/>
      <c r="W1169" s="30"/>
      <c r="X1169" s="220" t="str">
        <f>IFERROR(VLOOKUP(H1169,NAICS!$A$4:$B$1072,2,FALSE),"Unknown")</f>
        <v>Unknown</v>
      </c>
      <c r="Y1169" s="139">
        <f t="shared" si="34"/>
        <v>0</v>
      </c>
      <c r="Z1169" s="9">
        <f t="shared" si="35"/>
        <v>1</v>
      </c>
    </row>
    <row r="1170" spans="1:26">
      <c r="A1170"/>
      <c r="E1170" s="156"/>
      <c r="F1170" s="156"/>
      <c r="G1170" s="156"/>
      <c r="H1170" s="266"/>
      <c r="I1170" s="156"/>
      <c r="J1170" s="9"/>
      <c r="K1170" s="217"/>
      <c r="L1170" s="217"/>
      <c r="M1170" s="256"/>
      <c r="N1170" s="223"/>
      <c r="O1170" s="257"/>
      <c r="P1170" s="247"/>
      <c r="Q1170" s="156"/>
      <c r="R1170" s="260"/>
      <c r="S1170" s="218"/>
      <c r="T1170" s="219"/>
      <c r="U1170" s="30"/>
      <c r="V1170" s="31"/>
      <c r="W1170" s="30"/>
      <c r="X1170" s="220" t="str">
        <f>IFERROR(VLOOKUP(H1170,NAICS!$A$4:$B$1072,2,FALSE),"Unknown")</f>
        <v>Unknown</v>
      </c>
      <c r="Y1170" s="139">
        <f t="shared" si="34"/>
        <v>0</v>
      </c>
      <c r="Z1170" s="9">
        <f t="shared" si="35"/>
        <v>1</v>
      </c>
    </row>
    <row r="1171" spans="1:26">
      <c r="A1171"/>
      <c r="E1171" s="156"/>
      <c r="F1171" s="156"/>
      <c r="G1171" s="156"/>
      <c r="H1171" s="266"/>
      <c r="I1171" s="156"/>
      <c r="J1171" s="9"/>
      <c r="K1171" s="217"/>
      <c r="L1171" s="217"/>
      <c r="M1171" s="256"/>
      <c r="N1171" s="223"/>
      <c r="O1171" s="257"/>
      <c r="P1171" s="247"/>
      <c r="Q1171" s="156"/>
      <c r="R1171" s="260"/>
      <c r="S1171" s="218"/>
      <c r="T1171" s="219"/>
      <c r="U1171" s="30"/>
      <c r="V1171" s="31"/>
      <c r="W1171" s="30"/>
      <c r="X1171" s="220" t="str">
        <f>IFERROR(VLOOKUP(H1171,NAICS!$A$4:$B$1072,2,FALSE),"Unknown")</f>
        <v>Unknown</v>
      </c>
      <c r="Y1171" s="139">
        <f t="shared" si="34"/>
        <v>0</v>
      </c>
      <c r="Z1171" s="9">
        <f t="shared" si="35"/>
        <v>1</v>
      </c>
    </row>
    <row r="1172" spans="1:26">
      <c r="A1172"/>
      <c r="E1172" s="156"/>
      <c r="F1172" s="156"/>
      <c r="G1172" s="156"/>
      <c r="H1172" s="266"/>
      <c r="I1172" s="156"/>
      <c r="J1172" s="9"/>
      <c r="K1172" s="217"/>
      <c r="L1172" s="217"/>
      <c r="M1172" s="256"/>
      <c r="N1172" s="223"/>
      <c r="O1172" s="257"/>
      <c r="P1172" s="247"/>
      <c r="Q1172" s="156"/>
      <c r="R1172" s="260"/>
      <c r="S1172" s="218"/>
      <c r="T1172" s="219"/>
      <c r="U1172" s="30"/>
      <c r="V1172" s="31"/>
      <c r="W1172" s="30"/>
      <c r="X1172" s="220" t="str">
        <f>IFERROR(VLOOKUP(H1172,NAICS!$A$4:$B$1072,2,FALSE),"Unknown")</f>
        <v>Unknown</v>
      </c>
      <c r="Y1172" s="139">
        <f t="shared" si="34"/>
        <v>0</v>
      </c>
      <c r="Z1172" s="9">
        <f t="shared" si="35"/>
        <v>1</v>
      </c>
    </row>
    <row r="1173" spans="1:26">
      <c r="A1173"/>
      <c r="E1173" s="156"/>
      <c r="F1173" s="156"/>
      <c r="G1173" s="156"/>
      <c r="H1173" s="266"/>
      <c r="I1173" s="156"/>
      <c r="J1173" s="9"/>
      <c r="K1173" s="217"/>
      <c r="L1173" s="217"/>
      <c r="M1173" s="256"/>
      <c r="N1173" s="223"/>
      <c r="O1173" s="257"/>
      <c r="P1173" s="247"/>
      <c r="Q1173" s="156"/>
      <c r="R1173" s="260"/>
      <c r="S1173" s="218"/>
      <c r="T1173" s="219"/>
      <c r="U1173" s="30"/>
      <c r="V1173" s="31"/>
      <c r="W1173" s="30"/>
      <c r="X1173" s="220" t="str">
        <f>IFERROR(VLOOKUP(H1173,NAICS!$A$4:$B$1072,2,FALSE),"Unknown")</f>
        <v>Unknown</v>
      </c>
      <c r="Y1173" s="139">
        <f t="shared" si="34"/>
        <v>0</v>
      </c>
      <c r="Z1173" s="9">
        <f t="shared" si="35"/>
        <v>1</v>
      </c>
    </row>
    <row r="1174" spans="1:26">
      <c r="A1174"/>
      <c r="E1174" s="156"/>
      <c r="F1174" s="156"/>
      <c r="G1174" s="156"/>
      <c r="H1174" s="266"/>
      <c r="I1174" s="156"/>
      <c r="J1174" s="9"/>
      <c r="K1174" s="217"/>
      <c r="L1174" s="217"/>
      <c r="M1174" s="256"/>
      <c r="N1174" s="223"/>
      <c r="O1174" s="257"/>
      <c r="P1174" s="247"/>
      <c r="Q1174" s="156"/>
      <c r="R1174" s="260"/>
      <c r="S1174" s="218"/>
      <c r="T1174" s="219"/>
      <c r="U1174" s="30"/>
      <c r="V1174" s="31"/>
      <c r="W1174" s="30"/>
      <c r="X1174" s="220" t="str">
        <f>IFERROR(VLOOKUP(H1174,NAICS!$A$4:$B$1072,2,FALSE),"Unknown")</f>
        <v>Unknown</v>
      </c>
      <c r="Y1174" s="139">
        <f t="shared" si="34"/>
        <v>0</v>
      </c>
      <c r="Z1174" s="9">
        <f t="shared" si="35"/>
        <v>1</v>
      </c>
    </row>
    <row r="1175" spans="1:26">
      <c r="A1175"/>
      <c r="E1175" s="156"/>
      <c r="F1175" s="156"/>
      <c r="G1175" s="156"/>
      <c r="H1175" s="266"/>
      <c r="I1175" s="156"/>
      <c r="J1175" s="9"/>
      <c r="K1175" s="217"/>
      <c r="L1175" s="217"/>
      <c r="M1175" s="256"/>
      <c r="N1175" s="223"/>
      <c r="O1175" s="257"/>
      <c r="P1175" s="247"/>
      <c r="Q1175" s="156"/>
      <c r="R1175" s="260"/>
      <c r="S1175" s="218"/>
      <c r="T1175" s="219"/>
      <c r="U1175" s="30"/>
      <c r="V1175" s="31"/>
      <c r="W1175" s="30"/>
      <c r="X1175" s="220" t="str">
        <f>IFERROR(VLOOKUP(H1175,NAICS!$A$4:$B$1072,2,FALSE),"Unknown")</f>
        <v>Unknown</v>
      </c>
      <c r="Y1175" s="139">
        <f t="shared" si="34"/>
        <v>0</v>
      </c>
      <c r="Z1175" s="9">
        <f t="shared" si="35"/>
        <v>1</v>
      </c>
    </row>
    <row r="1176" spans="1:26">
      <c r="A1176"/>
      <c r="E1176" s="156"/>
      <c r="F1176" s="156"/>
      <c r="G1176" s="156"/>
      <c r="H1176" s="266"/>
      <c r="I1176" s="156"/>
      <c r="J1176" s="9"/>
      <c r="K1176" s="217"/>
      <c r="L1176" s="217"/>
      <c r="M1176" s="256"/>
      <c r="N1176" s="223"/>
      <c r="O1176" s="257"/>
      <c r="P1176" s="247"/>
      <c r="Q1176" s="156"/>
      <c r="R1176" s="260"/>
      <c r="S1176" s="218"/>
      <c r="T1176" s="219"/>
      <c r="U1176" s="30"/>
      <c r="V1176" s="31"/>
      <c r="W1176" s="30"/>
      <c r="X1176" s="220" t="str">
        <f>IFERROR(VLOOKUP(H1176,NAICS!$A$4:$B$1072,2,FALSE),"Unknown")</f>
        <v>Unknown</v>
      </c>
      <c r="Y1176" s="139">
        <f t="shared" si="34"/>
        <v>0</v>
      </c>
      <c r="Z1176" s="9">
        <f t="shared" si="35"/>
        <v>1</v>
      </c>
    </row>
    <row r="1177" spans="1:26">
      <c r="A1177"/>
      <c r="E1177" s="156"/>
      <c r="F1177" s="156"/>
      <c r="G1177" s="156"/>
      <c r="H1177" s="266"/>
      <c r="I1177" s="156"/>
      <c r="J1177" s="9"/>
      <c r="K1177" s="217"/>
      <c r="L1177" s="217"/>
      <c r="M1177" s="256"/>
      <c r="N1177" s="223"/>
      <c r="O1177" s="257"/>
      <c r="P1177" s="247"/>
      <c r="Q1177" s="156"/>
      <c r="R1177" s="260"/>
      <c r="S1177" s="218"/>
      <c r="T1177" s="219"/>
      <c r="U1177" s="30"/>
      <c r="V1177" s="31"/>
      <c r="W1177" s="30"/>
      <c r="X1177" s="220" t="str">
        <f>IFERROR(VLOOKUP(H1177,NAICS!$A$4:$B$1072,2,FALSE),"Unknown")</f>
        <v>Unknown</v>
      </c>
      <c r="Y1177" s="139">
        <f t="shared" si="34"/>
        <v>0</v>
      </c>
      <c r="Z1177" s="9">
        <f t="shared" si="35"/>
        <v>1</v>
      </c>
    </row>
    <row r="1178" spans="1:26">
      <c r="A1178"/>
      <c r="E1178" s="156"/>
      <c r="F1178" s="156"/>
      <c r="G1178" s="156"/>
      <c r="H1178" s="266"/>
      <c r="I1178" s="156"/>
      <c r="J1178" s="9"/>
      <c r="K1178" s="217"/>
      <c r="L1178" s="217"/>
      <c r="M1178" s="256"/>
      <c r="N1178" s="223"/>
      <c r="O1178" s="257"/>
      <c r="P1178" s="247"/>
      <c r="Q1178" s="156"/>
      <c r="R1178" s="260"/>
      <c r="S1178" s="218"/>
      <c r="T1178" s="219"/>
      <c r="U1178" s="30"/>
      <c r="V1178" s="31"/>
      <c r="W1178" s="30"/>
      <c r="X1178" s="220" t="str">
        <f>IFERROR(VLOOKUP(H1178,NAICS!$A$4:$B$1072,2,FALSE),"Unknown")</f>
        <v>Unknown</v>
      </c>
      <c r="Y1178" s="139">
        <f t="shared" si="34"/>
        <v>0</v>
      </c>
      <c r="Z1178" s="9">
        <f t="shared" si="35"/>
        <v>1</v>
      </c>
    </row>
    <row r="1179" spans="1:26">
      <c r="A1179"/>
      <c r="E1179" s="156"/>
      <c r="F1179" s="156"/>
      <c r="G1179" s="156"/>
      <c r="H1179" s="266"/>
      <c r="I1179" s="156"/>
      <c r="J1179" s="9"/>
      <c r="K1179" s="217"/>
      <c r="L1179" s="217"/>
      <c r="M1179" s="256"/>
      <c r="N1179" s="223"/>
      <c r="O1179" s="257"/>
      <c r="P1179" s="247"/>
      <c r="Q1179" s="156"/>
      <c r="R1179" s="260"/>
      <c r="S1179" s="218"/>
      <c r="T1179" s="219"/>
      <c r="U1179" s="30"/>
      <c r="V1179" s="31"/>
      <c r="W1179" s="30"/>
      <c r="X1179" s="220" t="str">
        <f>IFERROR(VLOOKUP(H1179,NAICS!$A$4:$B$1072,2,FALSE),"Unknown")</f>
        <v>Unknown</v>
      </c>
      <c r="Y1179" s="139">
        <f t="shared" si="34"/>
        <v>0</v>
      </c>
      <c r="Z1179" s="9">
        <f t="shared" si="35"/>
        <v>1</v>
      </c>
    </row>
    <row r="1180" spans="1:26">
      <c r="A1180"/>
      <c r="E1180" s="156"/>
      <c r="F1180" s="156"/>
      <c r="G1180" s="156"/>
      <c r="H1180" s="266"/>
      <c r="I1180" s="156"/>
      <c r="J1180" s="9"/>
      <c r="K1180" s="217"/>
      <c r="L1180" s="217"/>
      <c r="M1180" s="256"/>
      <c r="N1180" s="223"/>
      <c r="O1180" s="257"/>
      <c r="P1180" s="247"/>
      <c r="Q1180" s="156"/>
      <c r="R1180" s="260"/>
      <c r="S1180" s="218"/>
      <c r="T1180" s="219"/>
      <c r="U1180" s="30"/>
      <c r="V1180" s="31"/>
      <c r="W1180" s="30"/>
      <c r="X1180" s="220" t="str">
        <f>IFERROR(VLOOKUP(H1180,NAICS!$A$4:$B$1072,2,FALSE),"Unknown")</f>
        <v>Unknown</v>
      </c>
      <c r="Y1180" s="139">
        <f t="shared" si="34"/>
        <v>0</v>
      </c>
      <c r="Z1180" s="9">
        <f t="shared" si="35"/>
        <v>1</v>
      </c>
    </row>
    <row r="1181" spans="1:26">
      <c r="A1181"/>
      <c r="E1181" s="156"/>
      <c r="F1181" s="156"/>
      <c r="G1181" s="156"/>
      <c r="H1181" s="266"/>
      <c r="I1181" s="156"/>
      <c r="J1181" s="9"/>
      <c r="K1181" s="217"/>
      <c r="L1181" s="217"/>
      <c r="M1181" s="256"/>
      <c r="N1181" s="223"/>
      <c r="O1181" s="257"/>
      <c r="P1181" s="247"/>
      <c r="Q1181" s="156"/>
      <c r="R1181" s="260"/>
      <c r="S1181" s="218"/>
      <c r="T1181" s="219"/>
      <c r="U1181" s="30"/>
      <c r="V1181" s="31"/>
      <c r="W1181" s="30"/>
      <c r="X1181" s="220" t="str">
        <f>IFERROR(VLOOKUP(H1181,NAICS!$A$4:$B$1072,2,FALSE),"Unknown")</f>
        <v>Unknown</v>
      </c>
      <c r="Y1181" s="139">
        <f t="shared" si="34"/>
        <v>0</v>
      </c>
      <c r="Z1181" s="9">
        <f t="shared" si="35"/>
        <v>1</v>
      </c>
    </row>
    <row r="1182" spans="1:26">
      <c r="A1182"/>
      <c r="E1182" s="156"/>
      <c r="F1182" s="156"/>
      <c r="G1182" s="156"/>
      <c r="H1182" s="266"/>
      <c r="I1182" s="156"/>
      <c r="J1182" s="9"/>
      <c r="K1182" s="217"/>
      <c r="L1182" s="217"/>
      <c r="M1182" s="256"/>
      <c r="N1182" s="223"/>
      <c r="O1182" s="257"/>
      <c r="P1182" s="247"/>
      <c r="Q1182" s="156"/>
      <c r="R1182" s="260"/>
      <c r="S1182" s="218"/>
      <c r="T1182" s="219"/>
      <c r="U1182" s="30"/>
      <c r="V1182" s="31"/>
      <c r="W1182" s="30"/>
      <c r="X1182" s="220" t="str">
        <f>IFERROR(VLOOKUP(H1182,NAICS!$A$4:$B$1072,2,FALSE),"Unknown")</f>
        <v>Unknown</v>
      </c>
      <c r="Y1182" s="139">
        <f t="shared" si="34"/>
        <v>0</v>
      </c>
      <c r="Z1182" s="9">
        <f t="shared" si="35"/>
        <v>1</v>
      </c>
    </row>
    <row r="1183" spans="1:26">
      <c r="A1183"/>
      <c r="E1183" s="156"/>
      <c r="F1183" s="156"/>
      <c r="G1183" s="156"/>
      <c r="H1183" s="266"/>
      <c r="I1183" s="156"/>
      <c r="J1183" s="9"/>
      <c r="K1183" s="217"/>
      <c r="L1183" s="217"/>
      <c r="M1183" s="256"/>
      <c r="N1183" s="223"/>
      <c r="O1183" s="257"/>
      <c r="P1183" s="247"/>
      <c r="Q1183" s="156"/>
      <c r="R1183" s="260"/>
      <c r="S1183" s="218"/>
      <c r="T1183" s="219"/>
      <c r="U1183" s="30"/>
      <c r="V1183" s="31"/>
      <c r="W1183" s="30"/>
      <c r="X1183" s="220" t="str">
        <f>IFERROR(VLOOKUP(H1183,NAICS!$A$4:$B$1072,2,FALSE),"Unknown")</f>
        <v>Unknown</v>
      </c>
      <c r="Y1183" s="139">
        <f t="shared" si="34"/>
        <v>0</v>
      </c>
      <c r="Z1183" s="9">
        <f t="shared" si="35"/>
        <v>1</v>
      </c>
    </row>
    <row r="1184" spans="1:26">
      <c r="A1184"/>
      <c r="E1184" s="156"/>
      <c r="F1184" s="156"/>
      <c r="G1184" s="156"/>
      <c r="H1184" s="266"/>
      <c r="I1184" s="156"/>
      <c r="J1184" s="9"/>
      <c r="K1184" s="217"/>
      <c r="L1184" s="217"/>
      <c r="M1184" s="256"/>
      <c r="N1184" s="223"/>
      <c r="O1184" s="257"/>
      <c r="P1184" s="247"/>
      <c r="Q1184" s="156"/>
      <c r="R1184" s="260"/>
      <c r="S1184" s="218"/>
      <c r="T1184" s="219"/>
      <c r="U1184" s="30"/>
      <c r="V1184" s="31"/>
      <c r="W1184" s="30"/>
      <c r="X1184" s="220" t="str">
        <f>IFERROR(VLOOKUP(H1184,NAICS!$A$4:$B$1072,2,FALSE),"Unknown")</f>
        <v>Unknown</v>
      </c>
      <c r="Y1184" s="139">
        <f t="shared" si="34"/>
        <v>0</v>
      </c>
      <c r="Z1184" s="9">
        <f t="shared" si="35"/>
        <v>1</v>
      </c>
    </row>
    <row r="1185" spans="1:26">
      <c r="A1185"/>
      <c r="E1185" s="156"/>
      <c r="F1185" s="156"/>
      <c r="G1185" s="156"/>
      <c r="H1185" s="266"/>
      <c r="I1185" s="156"/>
      <c r="J1185" s="9"/>
      <c r="K1185" s="217"/>
      <c r="L1185" s="217"/>
      <c r="M1185" s="256"/>
      <c r="N1185" s="223"/>
      <c r="O1185" s="257"/>
      <c r="P1185" s="247"/>
      <c r="Q1185" s="156"/>
      <c r="R1185" s="260"/>
      <c r="S1185" s="218"/>
      <c r="T1185" s="219"/>
      <c r="U1185" s="30"/>
      <c r="V1185" s="31"/>
      <c r="W1185" s="30"/>
      <c r="X1185" s="220" t="str">
        <f>IFERROR(VLOOKUP(H1185,NAICS!$A$4:$B$1072,2,FALSE),"Unknown")</f>
        <v>Unknown</v>
      </c>
      <c r="Y1185" s="139">
        <f t="shared" si="34"/>
        <v>0</v>
      </c>
      <c r="Z1185" s="9">
        <f t="shared" si="35"/>
        <v>1</v>
      </c>
    </row>
    <row r="1186" spans="1:26">
      <c r="A1186"/>
      <c r="E1186" s="156"/>
      <c r="F1186" s="156"/>
      <c r="G1186" s="156"/>
      <c r="H1186" s="266"/>
      <c r="I1186" s="156"/>
      <c r="J1186" s="9"/>
      <c r="K1186" s="217"/>
      <c r="L1186" s="217"/>
      <c r="M1186" s="256"/>
      <c r="N1186" s="223"/>
      <c r="O1186" s="257"/>
      <c r="P1186" s="247"/>
      <c r="Q1186" s="156"/>
      <c r="R1186" s="260"/>
      <c r="S1186" s="218"/>
      <c r="T1186" s="219"/>
      <c r="U1186" s="30"/>
      <c r="V1186" s="31"/>
      <c r="W1186" s="30"/>
      <c r="X1186" s="220" t="str">
        <f>IFERROR(VLOOKUP(H1186,NAICS!$A$4:$B$1072,2,FALSE),"Unknown")</f>
        <v>Unknown</v>
      </c>
      <c r="Y1186" s="139">
        <f t="shared" si="34"/>
        <v>0</v>
      </c>
      <c r="Z1186" s="9">
        <f t="shared" si="35"/>
        <v>1</v>
      </c>
    </row>
    <row r="1187" spans="1:26">
      <c r="A1187"/>
      <c r="E1187" s="156"/>
      <c r="F1187" s="156"/>
      <c r="G1187" s="156"/>
      <c r="H1187" s="266"/>
      <c r="I1187" s="156"/>
      <c r="J1187" s="9"/>
      <c r="K1187" s="217"/>
      <c r="L1187" s="217"/>
      <c r="M1187" s="256"/>
      <c r="N1187" s="223"/>
      <c r="O1187" s="257"/>
      <c r="P1187" s="247"/>
      <c r="Q1187" s="156"/>
      <c r="R1187" s="260"/>
      <c r="S1187" s="218"/>
      <c r="T1187" s="219"/>
      <c r="U1187" s="30"/>
      <c r="V1187" s="31"/>
      <c r="W1187" s="30"/>
      <c r="X1187" s="220" t="str">
        <f>IFERROR(VLOOKUP(H1187,NAICS!$A$4:$B$1072,2,FALSE),"Unknown")</f>
        <v>Unknown</v>
      </c>
      <c r="Y1187" s="139">
        <f t="shared" si="34"/>
        <v>0</v>
      </c>
      <c r="Z1187" s="9">
        <f t="shared" si="35"/>
        <v>1</v>
      </c>
    </row>
    <row r="1188" spans="1:26">
      <c r="A1188"/>
      <c r="E1188" s="156"/>
      <c r="F1188" s="156"/>
      <c r="G1188" s="156"/>
      <c r="H1188" s="266"/>
      <c r="I1188" s="156"/>
      <c r="J1188" s="9"/>
      <c r="K1188" s="217"/>
      <c r="L1188" s="217"/>
      <c r="M1188" s="256"/>
      <c r="N1188" s="223"/>
      <c r="O1188" s="257"/>
      <c r="P1188" s="247"/>
      <c r="Q1188" s="156"/>
      <c r="R1188" s="260"/>
      <c r="S1188" s="218"/>
      <c r="T1188" s="219"/>
      <c r="U1188" s="30"/>
      <c r="V1188" s="31"/>
      <c r="W1188" s="30"/>
      <c r="X1188" s="220" t="str">
        <f>IFERROR(VLOOKUP(H1188,NAICS!$A$4:$B$1072,2,FALSE),"Unknown")</f>
        <v>Unknown</v>
      </c>
      <c r="Y1188" s="139">
        <f t="shared" si="34"/>
        <v>0</v>
      </c>
      <c r="Z1188" s="9">
        <f t="shared" si="35"/>
        <v>1</v>
      </c>
    </row>
    <row r="1189" spans="1:26">
      <c r="A1189"/>
      <c r="E1189" s="156"/>
      <c r="F1189" s="156"/>
      <c r="G1189" s="156"/>
      <c r="H1189" s="266"/>
      <c r="I1189" s="156"/>
      <c r="J1189" s="9"/>
      <c r="K1189" s="217"/>
      <c r="L1189" s="217"/>
      <c r="M1189" s="256"/>
      <c r="N1189" s="223"/>
      <c r="O1189" s="257"/>
      <c r="P1189" s="247"/>
      <c r="Q1189" s="156"/>
      <c r="R1189" s="260"/>
      <c r="S1189" s="218"/>
      <c r="T1189" s="219"/>
      <c r="U1189" s="30"/>
      <c r="V1189" s="31"/>
      <c r="W1189" s="30"/>
      <c r="X1189" s="220" t="str">
        <f>IFERROR(VLOOKUP(H1189,NAICS!$A$4:$B$1072,2,FALSE),"Unknown")</f>
        <v>Unknown</v>
      </c>
      <c r="Y1189" s="139">
        <f t="shared" si="34"/>
        <v>0</v>
      </c>
      <c r="Z1189" s="9">
        <f t="shared" si="35"/>
        <v>1</v>
      </c>
    </row>
    <row r="1190" spans="1:26">
      <c r="A1190"/>
      <c r="E1190" s="156"/>
      <c r="F1190" s="156"/>
      <c r="G1190" s="156"/>
      <c r="H1190" s="266"/>
      <c r="I1190" s="156"/>
      <c r="J1190" s="9"/>
      <c r="K1190" s="217"/>
      <c r="L1190" s="217"/>
      <c r="M1190" s="256"/>
      <c r="N1190" s="223"/>
      <c r="O1190" s="257"/>
      <c r="P1190" s="247"/>
      <c r="Q1190" s="156"/>
      <c r="R1190" s="260"/>
      <c r="S1190" s="218"/>
      <c r="T1190" s="219"/>
      <c r="U1190" s="30"/>
      <c r="V1190" s="31"/>
      <c r="W1190" s="30"/>
      <c r="X1190" s="220" t="str">
        <f>IFERROR(VLOOKUP(H1190,NAICS!$A$4:$B$1072,2,FALSE),"Unknown")</f>
        <v>Unknown</v>
      </c>
      <c r="Y1190" s="139">
        <f t="shared" si="34"/>
        <v>0</v>
      </c>
      <c r="Z1190" s="9">
        <f t="shared" si="35"/>
        <v>1</v>
      </c>
    </row>
    <row r="1191" spans="1:26">
      <c r="A1191"/>
      <c r="E1191" s="156"/>
      <c r="F1191" s="156"/>
      <c r="G1191" s="156"/>
      <c r="H1191" s="266"/>
      <c r="I1191" s="156"/>
      <c r="J1191" s="9"/>
      <c r="K1191" s="217"/>
      <c r="L1191" s="217"/>
      <c r="M1191" s="256"/>
      <c r="N1191" s="223"/>
      <c r="O1191" s="257"/>
      <c r="P1191" s="247"/>
      <c r="Q1191" s="156"/>
      <c r="R1191" s="260"/>
      <c r="S1191" s="218"/>
      <c r="T1191" s="219"/>
      <c r="U1191" s="30"/>
      <c r="V1191" s="31"/>
      <c r="W1191" s="30"/>
      <c r="X1191" s="220" t="str">
        <f>IFERROR(VLOOKUP(H1191,NAICS!$A$4:$B$1072,2,FALSE),"Unknown")</f>
        <v>Unknown</v>
      </c>
      <c r="Y1191" s="139">
        <f t="shared" si="34"/>
        <v>0</v>
      </c>
      <c r="Z1191" s="9">
        <f t="shared" si="35"/>
        <v>1</v>
      </c>
    </row>
    <row r="1192" spans="1:26">
      <c r="A1192"/>
      <c r="E1192" s="156"/>
      <c r="F1192" s="156"/>
      <c r="G1192" s="156"/>
      <c r="H1192" s="266"/>
      <c r="I1192" s="156"/>
      <c r="J1192" s="9"/>
      <c r="K1192" s="217"/>
      <c r="L1192" s="217"/>
      <c r="M1192" s="256"/>
      <c r="N1192" s="223"/>
      <c r="O1192" s="257"/>
      <c r="P1192" s="247"/>
      <c r="Q1192" s="156"/>
      <c r="R1192" s="260"/>
      <c r="S1192" s="218"/>
      <c r="T1192" s="219"/>
      <c r="U1192" s="30"/>
      <c r="V1192" s="31"/>
      <c r="W1192" s="30"/>
      <c r="X1192" s="220" t="str">
        <f>IFERROR(VLOOKUP(H1192,NAICS!$A$4:$B$1072,2,FALSE),"Unknown")</f>
        <v>Unknown</v>
      </c>
      <c r="Y1192" s="139">
        <f t="shared" si="34"/>
        <v>0</v>
      </c>
      <c r="Z1192" s="9">
        <f t="shared" si="35"/>
        <v>1</v>
      </c>
    </row>
    <row r="1193" spans="1:26">
      <c r="A1193"/>
      <c r="E1193" s="156"/>
      <c r="F1193" s="156"/>
      <c r="G1193" s="156"/>
      <c r="H1193" s="266"/>
      <c r="I1193" s="156"/>
      <c r="J1193" s="9"/>
      <c r="K1193" s="217"/>
      <c r="L1193" s="217"/>
      <c r="M1193" s="256"/>
      <c r="N1193" s="223"/>
      <c r="O1193" s="257"/>
      <c r="P1193" s="247"/>
      <c r="Q1193" s="156"/>
      <c r="R1193" s="260"/>
      <c r="S1193" s="218"/>
      <c r="T1193" s="219"/>
      <c r="U1193" s="30"/>
      <c r="V1193" s="31"/>
      <c r="W1193" s="30"/>
      <c r="X1193" s="220" t="str">
        <f>IFERROR(VLOOKUP(H1193,NAICS!$A$4:$B$1072,2,FALSE),"Unknown")</f>
        <v>Unknown</v>
      </c>
      <c r="Y1193" s="139">
        <f t="shared" si="34"/>
        <v>0</v>
      </c>
      <c r="Z1193" s="9">
        <f t="shared" si="35"/>
        <v>1</v>
      </c>
    </row>
    <row r="1194" spans="1:26">
      <c r="A1194"/>
      <c r="E1194" s="156"/>
      <c r="F1194" s="156"/>
      <c r="G1194" s="156"/>
      <c r="H1194" s="266"/>
      <c r="I1194" s="156"/>
      <c r="J1194" s="9"/>
      <c r="K1194" s="217"/>
      <c r="L1194" s="217"/>
      <c r="M1194" s="256"/>
      <c r="N1194" s="223"/>
      <c r="O1194" s="257"/>
      <c r="P1194" s="247"/>
      <c r="Q1194" s="156"/>
      <c r="R1194" s="260"/>
      <c r="S1194" s="218"/>
      <c r="T1194" s="219"/>
      <c r="U1194" s="30"/>
      <c r="V1194" s="31"/>
      <c r="W1194" s="30"/>
      <c r="X1194" s="220" t="str">
        <f>IFERROR(VLOOKUP(H1194,NAICS!$A$4:$B$1072,2,FALSE),"Unknown")</f>
        <v>Unknown</v>
      </c>
      <c r="Y1194" s="139">
        <f t="shared" si="34"/>
        <v>0</v>
      </c>
      <c r="Z1194" s="9">
        <f t="shared" si="35"/>
        <v>1</v>
      </c>
    </row>
    <row r="1195" spans="1:26">
      <c r="A1195"/>
      <c r="E1195" s="156"/>
      <c r="F1195" s="156"/>
      <c r="G1195" s="156"/>
      <c r="H1195" s="266"/>
      <c r="I1195" s="156"/>
      <c r="J1195" s="9"/>
      <c r="K1195" s="217"/>
      <c r="L1195" s="217"/>
      <c r="M1195" s="256"/>
      <c r="N1195" s="223"/>
      <c r="O1195" s="257"/>
      <c r="P1195" s="247"/>
      <c r="Q1195" s="156"/>
      <c r="R1195" s="260"/>
      <c r="S1195" s="218"/>
      <c r="T1195" s="219"/>
      <c r="U1195" s="30"/>
      <c r="V1195" s="31"/>
      <c r="W1195" s="30"/>
      <c r="X1195" s="220" t="str">
        <f>IFERROR(VLOOKUP(H1195,NAICS!$A$4:$B$1072,2,FALSE),"Unknown")</f>
        <v>Unknown</v>
      </c>
      <c r="Y1195" s="139">
        <f t="shared" si="34"/>
        <v>0</v>
      </c>
      <c r="Z1195" s="9">
        <f t="shared" si="35"/>
        <v>1</v>
      </c>
    </row>
    <row r="1196" spans="1:26">
      <c r="A1196"/>
      <c r="E1196" s="156"/>
      <c r="F1196" s="156"/>
      <c r="G1196" s="156"/>
      <c r="H1196" s="266"/>
      <c r="I1196" s="156"/>
      <c r="J1196" s="9"/>
      <c r="K1196" s="217"/>
      <c r="L1196" s="217"/>
      <c r="M1196" s="256"/>
      <c r="N1196" s="223"/>
      <c r="O1196" s="257"/>
      <c r="P1196" s="247"/>
      <c r="Q1196" s="156"/>
      <c r="R1196" s="260"/>
      <c r="S1196" s="218"/>
      <c r="T1196" s="219"/>
      <c r="U1196" s="30"/>
      <c r="V1196" s="31"/>
      <c r="W1196" s="30"/>
      <c r="X1196" s="220" t="str">
        <f>IFERROR(VLOOKUP(H1196,NAICS!$A$4:$B$1072,2,FALSE),"Unknown")</f>
        <v>Unknown</v>
      </c>
      <c r="Y1196" s="139">
        <f t="shared" si="34"/>
        <v>0</v>
      </c>
      <c r="Z1196" s="9">
        <f t="shared" si="35"/>
        <v>1</v>
      </c>
    </row>
    <row r="1197" spans="1:26">
      <c r="A1197"/>
      <c r="E1197" s="156"/>
      <c r="F1197" s="156"/>
      <c r="G1197" s="156"/>
      <c r="H1197" s="266"/>
      <c r="I1197" s="156"/>
      <c r="J1197" s="9"/>
      <c r="K1197" s="217"/>
      <c r="L1197" s="217"/>
      <c r="M1197" s="256"/>
      <c r="N1197" s="223"/>
      <c r="O1197" s="257"/>
      <c r="P1197" s="247"/>
      <c r="Q1197" s="156"/>
      <c r="R1197" s="260"/>
      <c r="S1197" s="218"/>
      <c r="T1197" s="219"/>
      <c r="U1197" s="30"/>
      <c r="V1197" s="31"/>
      <c r="W1197" s="30"/>
      <c r="X1197" s="220" t="str">
        <f>IFERROR(VLOOKUP(H1197,NAICS!$A$4:$B$1072,2,FALSE),"Unknown")</f>
        <v>Unknown</v>
      </c>
      <c r="Y1197" s="139">
        <f t="shared" si="34"/>
        <v>0</v>
      </c>
      <c r="Z1197" s="9">
        <f t="shared" si="35"/>
        <v>1</v>
      </c>
    </row>
    <row r="1198" spans="1:26">
      <c r="A1198"/>
      <c r="E1198" s="156"/>
      <c r="F1198" s="156"/>
      <c r="G1198" s="156"/>
      <c r="H1198" s="266"/>
      <c r="I1198" s="156"/>
      <c r="J1198" s="9"/>
      <c r="K1198" s="217"/>
      <c r="L1198" s="217"/>
      <c r="M1198" s="256"/>
      <c r="N1198" s="223"/>
      <c r="O1198" s="257"/>
      <c r="P1198" s="247"/>
      <c r="Q1198" s="156"/>
      <c r="R1198" s="260"/>
      <c r="S1198" s="218"/>
      <c r="T1198" s="219"/>
      <c r="U1198" s="30"/>
      <c r="V1198" s="31"/>
      <c r="W1198" s="30"/>
      <c r="X1198" s="220" t="str">
        <f>IFERROR(VLOOKUP(H1198,NAICS!$A$4:$B$1072,2,FALSE),"Unknown")</f>
        <v>Unknown</v>
      </c>
      <c r="Y1198" s="139">
        <f t="shared" si="34"/>
        <v>0</v>
      </c>
      <c r="Z1198" s="9">
        <f t="shared" si="35"/>
        <v>1</v>
      </c>
    </row>
    <row r="1199" spans="1:26">
      <c r="A1199"/>
      <c r="E1199" s="156"/>
      <c r="F1199" s="156"/>
      <c r="G1199" s="156"/>
      <c r="H1199" s="266"/>
      <c r="I1199" s="156"/>
      <c r="J1199" s="9"/>
      <c r="K1199" s="217"/>
      <c r="L1199" s="217"/>
      <c r="M1199" s="256"/>
      <c r="N1199" s="223"/>
      <c r="O1199" s="257"/>
      <c r="P1199" s="247"/>
      <c r="Q1199" s="156"/>
      <c r="R1199" s="260"/>
      <c r="S1199" s="218"/>
      <c r="T1199" s="219"/>
      <c r="U1199" s="30"/>
      <c r="V1199" s="31"/>
      <c r="W1199" s="30"/>
      <c r="X1199" s="220" t="str">
        <f>IFERROR(VLOOKUP(H1199,NAICS!$A$4:$B$1072,2,FALSE),"Unknown")</f>
        <v>Unknown</v>
      </c>
      <c r="Y1199" s="139">
        <f t="shared" si="34"/>
        <v>0</v>
      </c>
      <c r="Z1199" s="9">
        <f t="shared" si="35"/>
        <v>1</v>
      </c>
    </row>
    <row r="1200" spans="1:26">
      <c r="A1200"/>
      <c r="E1200" s="156"/>
      <c r="F1200" s="156"/>
      <c r="G1200" s="156"/>
      <c r="H1200" s="266"/>
      <c r="I1200" s="156"/>
      <c r="J1200" s="9"/>
      <c r="K1200" s="217"/>
      <c r="L1200" s="217"/>
      <c r="M1200" s="256"/>
      <c r="N1200" s="223"/>
      <c r="O1200" s="257"/>
      <c r="P1200" s="247"/>
      <c r="Q1200" s="156"/>
      <c r="R1200" s="260"/>
      <c r="S1200" s="218"/>
      <c r="T1200" s="219"/>
      <c r="U1200" s="30"/>
      <c r="V1200" s="31"/>
      <c r="W1200" s="30"/>
      <c r="X1200" s="220" t="str">
        <f>IFERROR(VLOOKUP(H1200,NAICS!$A$4:$B$1072,2,FALSE),"Unknown")</f>
        <v>Unknown</v>
      </c>
      <c r="Y1200" s="139">
        <f t="shared" si="34"/>
        <v>0</v>
      </c>
      <c r="Z1200" s="9">
        <f t="shared" si="35"/>
        <v>1</v>
      </c>
    </row>
    <row r="1201" spans="1:26">
      <c r="A1201"/>
      <c r="E1201" s="156"/>
      <c r="F1201" s="156"/>
      <c r="G1201" s="156"/>
      <c r="H1201" s="266"/>
      <c r="I1201" s="156"/>
      <c r="J1201" s="9"/>
      <c r="K1201" s="217"/>
      <c r="L1201" s="217"/>
      <c r="M1201" s="256"/>
      <c r="N1201" s="223"/>
      <c r="O1201" s="257"/>
      <c r="P1201" s="247"/>
      <c r="Q1201" s="156"/>
      <c r="R1201" s="260"/>
      <c r="S1201" s="218"/>
      <c r="T1201" s="219"/>
      <c r="U1201" s="30"/>
      <c r="V1201" s="31"/>
      <c r="W1201" s="30"/>
      <c r="X1201" s="220" t="str">
        <f>IFERROR(VLOOKUP(H1201,NAICS!$A$4:$B$1072,2,FALSE),"Unknown")</f>
        <v>Unknown</v>
      </c>
      <c r="Y1201" s="139">
        <f t="shared" si="34"/>
        <v>0</v>
      </c>
      <c r="Z1201" s="9">
        <f t="shared" si="35"/>
        <v>1</v>
      </c>
    </row>
    <row r="1202" spans="1:26">
      <c r="A1202"/>
      <c r="E1202" s="156"/>
      <c r="F1202" s="156"/>
      <c r="G1202" s="156"/>
      <c r="H1202" s="266"/>
      <c r="I1202" s="156"/>
      <c r="J1202" s="9"/>
      <c r="K1202" s="217"/>
      <c r="L1202" s="217"/>
      <c r="M1202" s="256"/>
      <c r="N1202" s="223"/>
      <c r="O1202" s="257"/>
      <c r="P1202" s="247"/>
      <c r="Q1202" s="156"/>
      <c r="R1202" s="260"/>
      <c r="S1202" s="218"/>
      <c r="T1202" s="219"/>
      <c r="U1202" s="30"/>
      <c r="V1202" s="31"/>
      <c r="W1202" s="30"/>
      <c r="X1202" s="220" t="str">
        <f>IFERROR(VLOOKUP(H1202,NAICS!$A$4:$B$1072,2,FALSE),"Unknown")</f>
        <v>Unknown</v>
      </c>
      <c r="Y1202" s="139">
        <f t="shared" si="34"/>
        <v>0</v>
      </c>
      <c r="Z1202" s="9">
        <f t="shared" si="35"/>
        <v>1</v>
      </c>
    </row>
    <row r="1203" spans="1:26">
      <c r="A1203"/>
      <c r="E1203" s="156"/>
      <c r="F1203" s="156"/>
      <c r="G1203" s="156"/>
      <c r="H1203" s="266"/>
      <c r="I1203" s="156"/>
      <c r="J1203" s="9"/>
      <c r="K1203" s="217"/>
      <c r="L1203" s="217"/>
      <c r="M1203" s="256"/>
      <c r="N1203" s="223"/>
      <c r="O1203" s="257"/>
      <c r="P1203" s="247"/>
      <c r="Q1203" s="156"/>
      <c r="R1203" s="260"/>
      <c r="S1203" s="218"/>
      <c r="T1203" s="219"/>
      <c r="U1203" s="30"/>
      <c r="V1203" s="31"/>
      <c r="W1203" s="30"/>
      <c r="X1203" s="220" t="str">
        <f>IFERROR(VLOOKUP(H1203,NAICS!$A$4:$B$1072,2,FALSE),"Unknown")</f>
        <v>Unknown</v>
      </c>
      <c r="Y1203" s="139">
        <f t="shared" si="34"/>
        <v>0</v>
      </c>
      <c r="Z1203" s="9">
        <f t="shared" si="35"/>
        <v>1</v>
      </c>
    </row>
    <row r="1204" spans="1:26">
      <c r="A1204"/>
      <c r="E1204" s="156"/>
      <c r="F1204" s="156"/>
      <c r="G1204" s="156"/>
      <c r="H1204" s="266"/>
      <c r="I1204" s="156"/>
      <c r="J1204" s="9"/>
      <c r="K1204" s="217"/>
      <c r="L1204" s="217"/>
      <c r="M1204" s="256"/>
      <c r="N1204" s="223"/>
      <c r="O1204" s="257"/>
      <c r="P1204" s="247"/>
      <c r="Q1204" s="156"/>
      <c r="R1204" s="260"/>
      <c r="S1204" s="218"/>
      <c r="T1204" s="219"/>
      <c r="U1204" s="30"/>
      <c r="V1204" s="31"/>
      <c r="W1204" s="30"/>
      <c r="X1204" s="220" t="str">
        <f>IFERROR(VLOOKUP(H1204,NAICS!$A$4:$B$1072,2,FALSE),"Unknown")</f>
        <v>Unknown</v>
      </c>
      <c r="Y1204" s="139">
        <f t="shared" si="34"/>
        <v>0</v>
      </c>
      <c r="Z1204" s="9">
        <f t="shared" si="35"/>
        <v>1</v>
      </c>
    </row>
    <row r="1205" spans="1:26">
      <c r="A1205"/>
      <c r="E1205" s="156"/>
      <c r="F1205" s="156"/>
      <c r="G1205" s="156"/>
      <c r="H1205" s="266"/>
      <c r="I1205" s="156"/>
      <c r="J1205" s="9"/>
      <c r="K1205" s="217"/>
      <c r="L1205" s="217"/>
      <c r="M1205" s="256"/>
      <c r="N1205" s="223"/>
      <c r="O1205" s="257"/>
      <c r="P1205" s="247"/>
      <c r="Q1205" s="156"/>
      <c r="R1205" s="260"/>
      <c r="S1205" s="218"/>
      <c r="T1205" s="219"/>
      <c r="U1205" s="30"/>
      <c r="V1205" s="31"/>
      <c r="W1205" s="30"/>
      <c r="X1205" s="220" t="str">
        <f>IFERROR(VLOOKUP(H1205,NAICS!$A$4:$B$1072,2,FALSE),"Unknown")</f>
        <v>Unknown</v>
      </c>
      <c r="Y1205" s="139">
        <f t="shared" si="34"/>
        <v>0</v>
      </c>
      <c r="Z1205" s="9">
        <f t="shared" si="35"/>
        <v>1</v>
      </c>
    </row>
    <row r="1206" spans="1:26">
      <c r="A1206"/>
      <c r="E1206" s="156"/>
      <c r="F1206" s="156"/>
      <c r="G1206" s="156"/>
      <c r="H1206" s="266"/>
      <c r="I1206" s="156"/>
      <c r="J1206" s="9"/>
      <c r="K1206" s="217"/>
      <c r="L1206" s="217"/>
      <c r="M1206" s="256"/>
      <c r="N1206" s="223"/>
      <c r="O1206" s="257"/>
      <c r="P1206" s="247"/>
      <c r="Q1206" s="156"/>
      <c r="R1206" s="260"/>
      <c r="S1206" s="218"/>
      <c r="T1206" s="219"/>
      <c r="U1206" s="30"/>
      <c r="V1206" s="31"/>
      <c r="W1206" s="30"/>
      <c r="X1206" s="220" t="str">
        <f>IFERROR(VLOOKUP(H1206,NAICS!$A$4:$B$1072,2,FALSE),"Unknown")</f>
        <v>Unknown</v>
      </c>
      <c r="Y1206" s="139">
        <f t="shared" si="34"/>
        <v>0</v>
      </c>
      <c r="Z1206" s="9">
        <f t="shared" si="35"/>
        <v>1</v>
      </c>
    </row>
    <row r="1207" spans="1:26">
      <c r="A1207"/>
      <c r="E1207" s="156"/>
      <c r="F1207" s="156"/>
      <c r="G1207" s="156"/>
      <c r="H1207" s="266"/>
      <c r="I1207" s="156"/>
      <c r="J1207" s="9"/>
      <c r="K1207" s="217"/>
      <c r="L1207" s="217"/>
      <c r="M1207" s="256"/>
      <c r="N1207" s="223"/>
      <c r="O1207" s="257"/>
      <c r="P1207" s="247"/>
      <c r="Q1207" s="156"/>
      <c r="R1207" s="260"/>
      <c r="S1207" s="218"/>
      <c r="T1207" s="219"/>
      <c r="U1207" s="30"/>
      <c r="V1207" s="31"/>
      <c r="W1207" s="30"/>
      <c r="X1207" s="220" t="str">
        <f>IFERROR(VLOOKUP(H1207,NAICS!$A$4:$B$1072,2,FALSE),"Unknown")</f>
        <v>Unknown</v>
      </c>
      <c r="Y1207" s="139">
        <f t="shared" si="34"/>
        <v>0</v>
      </c>
      <c r="Z1207" s="9">
        <f t="shared" si="35"/>
        <v>1</v>
      </c>
    </row>
    <row r="1208" spans="1:26">
      <c r="A1208"/>
      <c r="E1208" s="156"/>
      <c r="F1208" s="156"/>
      <c r="G1208" s="156"/>
      <c r="H1208" s="266"/>
      <c r="I1208" s="156"/>
      <c r="J1208" s="9"/>
      <c r="K1208" s="217"/>
      <c r="L1208" s="217"/>
      <c r="M1208" s="256"/>
      <c r="N1208" s="223"/>
      <c r="O1208" s="257"/>
      <c r="P1208" s="247"/>
      <c r="Q1208" s="156"/>
      <c r="R1208" s="260"/>
      <c r="S1208" s="218"/>
      <c r="T1208" s="219"/>
      <c r="U1208" s="30"/>
      <c r="V1208" s="31"/>
      <c r="W1208" s="30"/>
      <c r="X1208" s="220" t="str">
        <f>IFERROR(VLOOKUP(H1208,NAICS!$A$4:$B$1072,2,FALSE),"Unknown")</f>
        <v>Unknown</v>
      </c>
      <c r="Y1208" s="139">
        <f t="shared" si="34"/>
        <v>0</v>
      </c>
      <c r="Z1208" s="9">
        <f t="shared" si="35"/>
        <v>1</v>
      </c>
    </row>
    <row r="1209" spans="1:26">
      <c r="A1209"/>
      <c r="E1209" s="156"/>
      <c r="F1209" s="156"/>
      <c r="G1209" s="156"/>
      <c r="H1209" s="266"/>
      <c r="I1209" s="156"/>
      <c r="J1209" s="9"/>
      <c r="K1209" s="217"/>
      <c r="L1209" s="217"/>
      <c r="M1209" s="256"/>
      <c r="N1209" s="223"/>
      <c r="O1209" s="257"/>
      <c r="P1209" s="247"/>
      <c r="Q1209" s="156"/>
      <c r="R1209" s="260"/>
      <c r="S1209" s="218"/>
      <c r="T1209" s="219"/>
      <c r="U1209" s="30"/>
      <c r="V1209" s="31"/>
      <c r="W1209" s="30"/>
      <c r="X1209" s="220" t="str">
        <f>IFERROR(VLOOKUP(H1209,NAICS!$A$4:$B$1072,2,FALSE),"Unknown")</f>
        <v>Unknown</v>
      </c>
      <c r="Y1209" s="139">
        <f t="shared" si="34"/>
        <v>0</v>
      </c>
      <c r="Z1209" s="9">
        <f t="shared" si="35"/>
        <v>1</v>
      </c>
    </row>
    <row r="1210" spans="1:26">
      <c r="A1210"/>
      <c r="E1210" s="156"/>
      <c r="F1210" s="156"/>
      <c r="G1210" s="156"/>
      <c r="H1210" s="266"/>
      <c r="I1210" s="156"/>
      <c r="J1210" s="9"/>
      <c r="K1210" s="217"/>
      <c r="L1210" s="217"/>
      <c r="M1210" s="256"/>
      <c r="N1210" s="223"/>
      <c r="O1210" s="257"/>
      <c r="P1210" s="247"/>
      <c r="Q1210" s="156"/>
      <c r="R1210" s="260"/>
      <c r="S1210" s="218"/>
      <c r="T1210" s="219"/>
      <c r="U1210" s="30"/>
      <c r="V1210" s="31"/>
      <c r="W1210" s="30"/>
      <c r="X1210" s="220" t="str">
        <f>IFERROR(VLOOKUP(H1210,NAICS!$A$4:$B$1072,2,FALSE),"Unknown")</f>
        <v>Unknown</v>
      </c>
      <c r="Y1210" s="139">
        <f t="shared" si="34"/>
        <v>0</v>
      </c>
      <c r="Z1210" s="9">
        <f t="shared" si="35"/>
        <v>1</v>
      </c>
    </row>
    <row r="1211" spans="1:26">
      <c r="A1211"/>
      <c r="E1211" s="156"/>
      <c r="F1211" s="156"/>
      <c r="G1211" s="156"/>
      <c r="H1211" s="266"/>
      <c r="I1211" s="156"/>
      <c r="J1211" s="9"/>
      <c r="K1211" s="217"/>
      <c r="L1211" s="217"/>
      <c r="M1211" s="256"/>
      <c r="N1211" s="223"/>
      <c r="O1211" s="257"/>
      <c r="P1211" s="247"/>
      <c r="Q1211" s="156"/>
      <c r="R1211" s="260"/>
      <c r="S1211" s="218"/>
      <c r="T1211" s="219"/>
      <c r="U1211" s="30"/>
      <c r="V1211" s="31"/>
      <c r="W1211" s="30"/>
      <c r="X1211" s="220" t="str">
        <f>IFERROR(VLOOKUP(H1211,NAICS!$A$4:$B$1072,2,FALSE),"Unknown")</f>
        <v>Unknown</v>
      </c>
      <c r="Y1211" s="139">
        <f t="shared" si="34"/>
        <v>0</v>
      </c>
      <c r="Z1211" s="9">
        <f t="shared" si="35"/>
        <v>1</v>
      </c>
    </row>
    <row r="1212" spans="1:26">
      <c r="A1212"/>
      <c r="E1212" s="156"/>
      <c r="F1212" s="156"/>
      <c r="G1212" s="156"/>
      <c r="H1212" s="266"/>
      <c r="I1212" s="156"/>
      <c r="J1212" s="9"/>
      <c r="K1212" s="217"/>
      <c r="L1212" s="217"/>
      <c r="M1212" s="256"/>
      <c r="N1212" s="223"/>
      <c r="O1212" s="257"/>
      <c r="P1212" s="247"/>
      <c r="Q1212" s="156"/>
      <c r="R1212" s="260"/>
      <c r="S1212" s="218"/>
      <c r="T1212" s="219"/>
      <c r="U1212" s="30"/>
      <c r="V1212" s="31"/>
      <c r="W1212" s="30"/>
      <c r="X1212" s="220" t="str">
        <f>IFERROR(VLOOKUP(H1212,NAICS!$A$4:$B$1072,2,FALSE),"Unknown")</f>
        <v>Unknown</v>
      </c>
      <c r="Y1212" s="139">
        <f t="shared" si="34"/>
        <v>0</v>
      </c>
      <c r="Z1212" s="9">
        <f t="shared" si="35"/>
        <v>1</v>
      </c>
    </row>
    <row r="1213" spans="1:26">
      <c r="A1213"/>
      <c r="E1213" s="156"/>
      <c r="F1213" s="156"/>
      <c r="G1213" s="156"/>
      <c r="H1213" s="266"/>
      <c r="I1213" s="156"/>
      <c r="J1213" s="9"/>
      <c r="K1213" s="217"/>
      <c r="L1213" s="217"/>
      <c r="M1213" s="256"/>
      <c r="N1213" s="223"/>
      <c r="O1213" s="257"/>
      <c r="P1213" s="247"/>
      <c r="Q1213" s="156"/>
      <c r="R1213" s="260"/>
      <c r="S1213" s="218"/>
      <c r="T1213" s="219"/>
      <c r="U1213" s="30"/>
      <c r="V1213" s="31"/>
      <c r="W1213" s="30"/>
      <c r="X1213" s="220" t="str">
        <f>IFERROR(VLOOKUP(H1213,NAICS!$A$4:$B$1072,2,FALSE),"Unknown")</f>
        <v>Unknown</v>
      </c>
      <c r="Y1213" s="139">
        <f t="shared" si="34"/>
        <v>0</v>
      </c>
      <c r="Z1213" s="9">
        <f t="shared" si="35"/>
        <v>1</v>
      </c>
    </row>
    <row r="1214" spans="1:26">
      <c r="A1214"/>
      <c r="E1214" s="156"/>
      <c r="F1214" s="156"/>
      <c r="G1214" s="156"/>
      <c r="H1214" s="266"/>
      <c r="I1214" s="156"/>
      <c r="J1214" s="9"/>
      <c r="K1214" s="217"/>
      <c r="L1214" s="217"/>
      <c r="M1214" s="256"/>
      <c r="N1214" s="223"/>
      <c r="O1214" s="257"/>
      <c r="P1214" s="247"/>
      <c r="Q1214" s="156"/>
      <c r="R1214" s="260"/>
      <c r="S1214" s="218"/>
      <c r="T1214" s="219"/>
      <c r="U1214" s="30"/>
      <c r="V1214" s="31"/>
      <c r="W1214" s="30"/>
      <c r="X1214" s="220" t="str">
        <f>IFERROR(VLOOKUP(H1214,NAICS!$A$4:$B$1072,2,FALSE),"Unknown")</f>
        <v>Unknown</v>
      </c>
      <c r="Y1214" s="139">
        <f t="shared" si="34"/>
        <v>0</v>
      </c>
      <c r="Z1214" s="9">
        <f t="shared" si="35"/>
        <v>1</v>
      </c>
    </row>
    <row r="1215" spans="1:26">
      <c r="A1215"/>
      <c r="E1215" s="156"/>
      <c r="F1215" s="156"/>
      <c r="G1215" s="156"/>
      <c r="H1215" s="266"/>
      <c r="I1215" s="156"/>
      <c r="J1215" s="9"/>
      <c r="K1215" s="217"/>
      <c r="L1215" s="217"/>
      <c r="M1215" s="256"/>
      <c r="N1215" s="223"/>
      <c r="O1215" s="257"/>
      <c r="P1215" s="247"/>
      <c r="Q1215" s="156"/>
      <c r="R1215" s="260"/>
      <c r="S1215" s="218"/>
      <c r="T1215" s="219"/>
      <c r="U1215" s="30"/>
      <c r="V1215" s="31"/>
      <c r="W1215" s="30"/>
      <c r="X1215" s="220" t="str">
        <f>IFERROR(VLOOKUP(H1215,NAICS!$A$4:$B$1072,2,FALSE),"Unknown")</f>
        <v>Unknown</v>
      </c>
      <c r="Y1215" s="139">
        <f t="shared" si="34"/>
        <v>0</v>
      </c>
      <c r="Z1215" s="9">
        <f t="shared" si="35"/>
        <v>1</v>
      </c>
    </row>
    <row r="1216" spans="1:26">
      <c r="A1216"/>
      <c r="E1216" s="156"/>
      <c r="F1216" s="156"/>
      <c r="G1216" s="156"/>
      <c r="H1216" s="266"/>
      <c r="I1216" s="156"/>
      <c r="J1216" s="9"/>
      <c r="K1216" s="217"/>
      <c r="L1216" s="217"/>
      <c r="M1216" s="256"/>
      <c r="N1216" s="223"/>
      <c r="O1216" s="257"/>
      <c r="P1216" s="247"/>
      <c r="Q1216" s="156"/>
      <c r="R1216" s="260"/>
      <c r="S1216" s="218"/>
      <c r="T1216" s="219"/>
      <c r="U1216" s="30"/>
      <c r="V1216" s="31"/>
      <c r="W1216" s="30"/>
      <c r="X1216" s="220" t="str">
        <f>IFERROR(VLOOKUP(H1216,NAICS!$A$4:$B$1072,2,FALSE),"Unknown")</f>
        <v>Unknown</v>
      </c>
      <c r="Y1216" s="139">
        <f t="shared" si="34"/>
        <v>0</v>
      </c>
      <c r="Z1216" s="9">
        <f t="shared" si="35"/>
        <v>1</v>
      </c>
    </row>
    <row r="1217" spans="1:26">
      <c r="A1217"/>
      <c r="E1217" s="156"/>
      <c r="F1217" s="156"/>
      <c r="G1217" s="156"/>
      <c r="H1217" s="266"/>
      <c r="I1217" s="156"/>
      <c r="J1217" s="9"/>
      <c r="K1217" s="217"/>
      <c r="L1217" s="217"/>
      <c r="M1217" s="256"/>
      <c r="N1217" s="223"/>
      <c r="O1217" s="257"/>
      <c r="P1217" s="247"/>
      <c r="Q1217" s="156"/>
      <c r="R1217" s="260"/>
      <c r="S1217" s="218"/>
      <c r="T1217" s="219"/>
      <c r="U1217" s="30"/>
      <c r="V1217" s="31"/>
      <c r="W1217" s="30"/>
      <c r="X1217" s="220" t="str">
        <f>IFERROR(VLOOKUP(H1217,NAICS!$A$4:$B$1072,2,FALSE),"Unknown")</f>
        <v>Unknown</v>
      </c>
      <c r="Y1217" s="139">
        <f t="shared" si="34"/>
        <v>0</v>
      </c>
      <c r="Z1217" s="9">
        <f t="shared" si="35"/>
        <v>1</v>
      </c>
    </row>
    <row r="1218" spans="1:26">
      <c r="A1218"/>
      <c r="E1218" s="156"/>
      <c r="F1218" s="156"/>
      <c r="G1218" s="156"/>
      <c r="H1218" s="266"/>
      <c r="I1218" s="156"/>
      <c r="J1218" s="9"/>
      <c r="K1218" s="217"/>
      <c r="L1218" s="217"/>
      <c r="M1218" s="256"/>
      <c r="N1218" s="223"/>
      <c r="O1218" s="257"/>
      <c r="P1218" s="247"/>
      <c r="Q1218" s="156"/>
      <c r="R1218" s="260"/>
      <c r="S1218" s="218"/>
      <c r="T1218" s="219"/>
      <c r="U1218" s="30"/>
      <c r="V1218" s="31"/>
      <c r="W1218" s="30"/>
      <c r="X1218" s="220" t="str">
        <f>IFERROR(VLOOKUP(H1218,NAICS!$A$4:$B$1072,2,FALSE),"Unknown")</f>
        <v>Unknown</v>
      </c>
      <c r="Y1218" s="139">
        <f t="shared" si="34"/>
        <v>0</v>
      </c>
      <c r="Z1218" s="9">
        <f t="shared" si="35"/>
        <v>1</v>
      </c>
    </row>
    <row r="1219" spans="1:26">
      <c r="A1219"/>
      <c r="E1219" s="156"/>
      <c r="F1219" s="156"/>
      <c r="G1219" s="156"/>
      <c r="H1219" s="266"/>
      <c r="I1219" s="156"/>
      <c r="J1219" s="9"/>
      <c r="K1219" s="217"/>
      <c r="L1219" s="217"/>
      <c r="M1219" s="256"/>
      <c r="N1219" s="223"/>
      <c r="O1219" s="257"/>
      <c r="P1219" s="247"/>
      <c r="Q1219" s="156"/>
      <c r="R1219" s="260"/>
      <c r="S1219" s="218"/>
      <c r="T1219" s="219"/>
      <c r="U1219" s="30"/>
      <c r="V1219" s="31"/>
      <c r="W1219" s="30"/>
      <c r="X1219" s="220" t="str">
        <f>IFERROR(VLOOKUP(H1219,NAICS!$A$4:$B$1072,2,FALSE),"Unknown")</f>
        <v>Unknown</v>
      </c>
      <c r="Y1219" s="139">
        <f t="shared" si="34"/>
        <v>0</v>
      </c>
      <c r="Z1219" s="9">
        <f t="shared" si="35"/>
        <v>1</v>
      </c>
    </row>
    <row r="1220" spans="1:26">
      <c r="A1220"/>
      <c r="E1220" s="156"/>
      <c r="F1220" s="156"/>
      <c r="G1220" s="156"/>
      <c r="H1220" s="266"/>
      <c r="I1220" s="156"/>
      <c r="J1220" s="9"/>
      <c r="K1220" s="217"/>
      <c r="L1220" s="217"/>
      <c r="M1220" s="256"/>
      <c r="N1220" s="223"/>
      <c r="O1220" s="257"/>
      <c r="P1220" s="247"/>
      <c r="Q1220" s="156"/>
      <c r="R1220" s="260"/>
      <c r="S1220" s="218"/>
      <c r="T1220" s="219"/>
      <c r="U1220" s="30"/>
      <c r="V1220" s="31"/>
      <c r="W1220" s="30"/>
      <c r="X1220" s="220" t="str">
        <f>IFERROR(VLOOKUP(H1220,NAICS!$A$4:$B$1072,2,FALSE),"Unknown")</f>
        <v>Unknown</v>
      </c>
      <c r="Y1220" s="139">
        <f t="shared" si="34"/>
        <v>0</v>
      </c>
      <c r="Z1220" s="9">
        <f t="shared" si="35"/>
        <v>1</v>
      </c>
    </row>
    <row r="1221" spans="1:26">
      <c r="A1221"/>
      <c r="E1221" s="156"/>
      <c r="F1221" s="156"/>
      <c r="G1221" s="156"/>
      <c r="H1221" s="266"/>
      <c r="I1221" s="156"/>
      <c r="J1221" s="9"/>
      <c r="K1221" s="217"/>
      <c r="L1221" s="217"/>
      <c r="M1221" s="256"/>
      <c r="N1221" s="223"/>
      <c r="O1221" s="257"/>
      <c r="P1221" s="247"/>
      <c r="Q1221" s="156"/>
      <c r="R1221" s="260"/>
      <c r="S1221" s="218"/>
      <c r="T1221" s="219"/>
      <c r="U1221" s="30"/>
      <c r="V1221" s="31"/>
      <c r="W1221" s="30"/>
      <c r="X1221" s="220" t="str">
        <f>IFERROR(VLOOKUP(H1221,NAICS!$A$4:$B$1072,2,FALSE),"Unknown")</f>
        <v>Unknown</v>
      </c>
      <c r="Y1221" s="139">
        <f t="shared" si="34"/>
        <v>0</v>
      </c>
      <c r="Z1221" s="9">
        <f t="shared" si="35"/>
        <v>1</v>
      </c>
    </row>
    <row r="1222" spans="1:26">
      <c r="A1222"/>
      <c r="E1222" s="156"/>
      <c r="F1222" s="156"/>
      <c r="G1222" s="156"/>
      <c r="H1222" s="266"/>
      <c r="I1222" s="156"/>
      <c r="J1222" s="9"/>
      <c r="K1222" s="217"/>
      <c r="L1222" s="217"/>
      <c r="M1222" s="256"/>
      <c r="N1222" s="223"/>
      <c r="O1222" s="257"/>
      <c r="P1222" s="247"/>
      <c r="Q1222" s="156"/>
      <c r="R1222" s="260"/>
      <c r="S1222" s="218"/>
      <c r="T1222" s="219"/>
      <c r="U1222" s="30"/>
      <c r="V1222" s="31"/>
      <c r="W1222" s="30"/>
      <c r="X1222" s="220" t="str">
        <f>IFERROR(VLOOKUP(H1222,NAICS!$A$4:$B$1072,2,FALSE),"Unknown")</f>
        <v>Unknown</v>
      </c>
      <c r="Y1222" s="139">
        <f t="shared" si="34"/>
        <v>0</v>
      </c>
      <c r="Z1222" s="9">
        <f t="shared" si="35"/>
        <v>1</v>
      </c>
    </row>
    <row r="1223" spans="1:26">
      <c r="A1223"/>
      <c r="E1223" s="156"/>
      <c r="F1223" s="156"/>
      <c r="G1223" s="156"/>
      <c r="H1223" s="266"/>
      <c r="I1223" s="156"/>
      <c r="J1223" s="9"/>
      <c r="K1223" s="217"/>
      <c r="L1223" s="217"/>
      <c r="M1223" s="256"/>
      <c r="N1223" s="223"/>
      <c r="O1223" s="257"/>
      <c r="P1223" s="247"/>
      <c r="Q1223" s="156"/>
      <c r="R1223" s="260"/>
      <c r="S1223" s="218"/>
      <c r="T1223" s="219"/>
      <c r="U1223" s="30"/>
      <c r="V1223" s="31"/>
      <c r="W1223" s="30"/>
      <c r="X1223" s="220" t="str">
        <f>IFERROR(VLOOKUP(H1223,NAICS!$A$4:$B$1072,2,FALSE),"Unknown")</f>
        <v>Unknown</v>
      </c>
      <c r="Y1223" s="139">
        <f t="shared" si="34"/>
        <v>0</v>
      </c>
      <c r="Z1223" s="9">
        <f t="shared" si="35"/>
        <v>1</v>
      </c>
    </row>
    <row r="1224" spans="1:26">
      <c r="A1224"/>
      <c r="E1224" s="32"/>
      <c r="F1224" s="32"/>
      <c r="G1224" s="32"/>
      <c r="H1224" s="9"/>
      <c r="I1224" s="9"/>
      <c r="K1224" s="217"/>
      <c r="L1224" s="217"/>
      <c r="M1224" s="256"/>
      <c r="N1224" s="226"/>
      <c r="O1224" s="257"/>
      <c r="P1224" s="235"/>
      <c r="Q1224" s="237"/>
      <c r="R1224" s="260"/>
      <c r="S1224" s="218"/>
      <c r="T1224" s="219"/>
      <c r="U1224" s="30"/>
      <c r="V1224" s="31"/>
      <c r="W1224" s="30"/>
      <c r="X1224" s="220" t="str">
        <f>IFERROR(VLOOKUP(H1224,NAICS!$A$4:$B$1072,2,FALSE),"Unknown")</f>
        <v>Unknown</v>
      </c>
      <c r="Y1224" s="139">
        <f t="shared" si="34"/>
        <v>0</v>
      </c>
      <c r="Z1224" s="9">
        <f t="shared" si="35"/>
        <v>1</v>
      </c>
    </row>
    <row r="1225" spans="1:26">
      <c r="A1225"/>
      <c r="E1225" s="32"/>
      <c r="F1225" s="32"/>
      <c r="G1225" s="32"/>
      <c r="H1225" s="9"/>
      <c r="I1225" s="9"/>
      <c r="K1225" s="217"/>
      <c r="L1225" s="217"/>
      <c r="M1225" s="256"/>
      <c r="N1225" s="226"/>
      <c r="O1225" s="257"/>
      <c r="P1225" s="235"/>
      <c r="Q1225" s="237"/>
      <c r="R1225" s="260"/>
      <c r="S1225" s="218"/>
      <c r="T1225" s="219"/>
      <c r="U1225" s="30"/>
      <c r="V1225" s="31"/>
      <c r="W1225" s="30"/>
      <c r="X1225" s="220" t="str">
        <f>IFERROR(VLOOKUP(H1225,NAICS!$A$4:$B$1072,2,FALSE),"Unknown")</f>
        <v>Unknown</v>
      </c>
      <c r="Y1225" s="139">
        <f t="shared" si="34"/>
        <v>0</v>
      </c>
      <c r="Z1225" s="9">
        <f t="shared" si="35"/>
        <v>1</v>
      </c>
    </row>
    <row r="1226" spans="1:26">
      <c r="A1226"/>
      <c r="E1226" s="32"/>
      <c r="F1226" s="32"/>
      <c r="G1226" s="32"/>
      <c r="H1226" s="9"/>
      <c r="I1226" s="9"/>
      <c r="K1226" s="217"/>
      <c r="L1226" s="217"/>
      <c r="M1226" s="256"/>
      <c r="N1226" s="226"/>
      <c r="O1226" s="257"/>
      <c r="P1226" s="235"/>
      <c r="Q1226" s="237"/>
      <c r="R1226" s="260"/>
      <c r="S1226" s="218"/>
      <c r="T1226" s="219"/>
      <c r="U1226" s="30"/>
      <c r="V1226" s="31"/>
      <c r="W1226" s="30"/>
      <c r="X1226" s="220" t="str">
        <f>IFERROR(VLOOKUP(H1226,NAICS!$A$4:$B$1072,2,FALSE),"Unknown")</f>
        <v>Unknown</v>
      </c>
      <c r="Y1226" s="139">
        <f t="shared" si="34"/>
        <v>0</v>
      </c>
      <c r="Z1226" s="9">
        <f t="shared" si="35"/>
        <v>1</v>
      </c>
    </row>
    <row r="1227" spans="1:26">
      <c r="A1227"/>
      <c r="E1227" s="242"/>
      <c r="F1227" s="214"/>
      <c r="G1227" s="214"/>
      <c r="H1227" s="232"/>
      <c r="I1227" s="9"/>
      <c r="K1227" s="217"/>
      <c r="L1227" s="217"/>
      <c r="M1227" s="256"/>
      <c r="N1227" s="176"/>
      <c r="O1227" s="257"/>
      <c r="P1227" s="236"/>
      <c r="Q1227" s="238"/>
      <c r="R1227" s="260"/>
      <c r="S1227" s="218"/>
      <c r="T1227" s="219"/>
      <c r="U1227" s="30"/>
      <c r="V1227" s="31"/>
      <c r="W1227" s="30"/>
      <c r="X1227" s="220" t="str">
        <f>IFERROR(VLOOKUP(H1227,NAICS!$A$4:$B$1072,2,FALSE),"Unknown")</f>
        <v>Unknown</v>
      </c>
      <c r="Y1227" s="139">
        <f t="shared" si="34"/>
        <v>0</v>
      </c>
      <c r="Z1227" s="9">
        <f t="shared" si="35"/>
        <v>1</v>
      </c>
    </row>
    <row r="1228" spans="1:26">
      <c r="A1228"/>
      <c r="E1228" s="32"/>
      <c r="F1228" s="32"/>
      <c r="G1228" s="32"/>
      <c r="H1228" s="9"/>
      <c r="I1228" s="9"/>
      <c r="K1228" s="217"/>
      <c r="L1228" s="217"/>
      <c r="M1228" s="256"/>
      <c r="N1228" s="226"/>
      <c r="O1228" s="257"/>
      <c r="P1228" s="235"/>
      <c r="Q1228" s="237"/>
      <c r="R1228" s="260"/>
      <c r="S1228" s="218"/>
      <c r="T1228" s="219"/>
      <c r="U1228" s="30"/>
      <c r="V1228" s="31"/>
      <c r="W1228" s="30"/>
      <c r="X1228" s="220" t="str">
        <f>IFERROR(VLOOKUP(H1228,NAICS!$A$4:$B$1072,2,FALSE),"Unknown")</f>
        <v>Unknown</v>
      </c>
      <c r="Y1228" s="139">
        <f t="shared" si="34"/>
        <v>0</v>
      </c>
      <c r="Z1228" s="9">
        <f t="shared" si="35"/>
        <v>1</v>
      </c>
    </row>
    <row r="1229" spans="1:26">
      <c r="A1229"/>
      <c r="E1229" s="32"/>
      <c r="F1229" s="32"/>
      <c r="G1229" s="32"/>
      <c r="H1229" s="9"/>
      <c r="I1229" s="9"/>
      <c r="K1229" s="217"/>
      <c r="L1229" s="217"/>
      <c r="M1229" s="256"/>
      <c r="N1229" s="226"/>
      <c r="O1229" s="257"/>
      <c r="P1229" s="235"/>
      <c r="Q1229" s="237"/>
      <c r="R1229" s="260"/>
      <c r="S1229" s="218"/>
      <c r="T1229" s="219"/>
      <c r="U1229" s="30"/>
      <c r="V1229" s="31"/>
      <c r="W1229" s="30"/>
      <c r="X1229" s="220" t="str">
        <f>IFERROR(VLOOKUP(H1229,NAICS!$A$4:$B$1072,2,FALSE),"Unknown")</f>
        <v>Unknown</v>
      </c>
      <c r="Y1229" s="139">
        <f t="shared" ref="Y1229:Y1292" si="36">IF(U1229&gt;=180,IF(V1229&lt;=12,5%,IF(AND(V1229&gt;12,V1229&lt;24),3%,IF(AND(V1229&gt;24,V1229&lt;36),1%,0%))),0%)</f>
        <v>0</v>
      </c>
      <c r="Z1229" s="9">
        <f t="shared" ref="Z1229:Z1292" si="37">IF(AND(U1229&gt;=$AE$2,U1229&lt;=$AF$2),1,IF(AND(U1229&gt;$AE$3,U1229&lt;=$AF$3),2,IF(AND(U1229&gt;$AE$4,U1229&lt;=$AF$4),3,IF(AND(U1229&gt;$AE$5,U1229&lt;=$AF$5),4,IF(AND(U1229&gt;$AE$6,U1229&lt;=$AF$6),5,"")))))</f>
        <v>1</v>
      </c>
    </row>
    <row r="1230" spans="1:26">
      <c r="A1230"/>
      <c r="E1230" s="32"/>
      <c r="F1230" s="32"/>
      <c r="G1230" s="32"/>
      <c r="H1230" s="9"/>
      <c r="I1230" s="9"/>
      <c r="K1230" s="217"/>
      <c r="L1230" s="217"/>
      <c r="M1230" s="256"/>
      <c r="N1230" s="226"/>
      <c r="O1230" s="257"/>
      <c r="P1230" s="235"/>
      <c r="Q1230" s="237"/>
      <c r="R1230" s="260"/>
      <c r="S1230" s="218"/>
      <c r="T1230" s="219"/>
      <c r="U1230" s="30"/>
      <c r="V1230" s="31"/>
      <c r="W1230" s="30"/>
      <c r="X1230" s="220" t="str">
        <f>IFERROR(VLOOKUP(H1230,NAICS!$A$4:$B$1072,2,FALSE),"Unknown")</f>
        <v>Unknown</v>
      </c>
      <c r="Y1230" s="139">
        <f t="shared" si="36"/>
        <v>0</v>
      </c>
      <c r="Z1230" s="9">
        <f t="shared" si="37"/>
        <v>1</v>
      </c>
    </row>
    <row r="1231" spans="1:26">
      <c r="A1231"/>
      <c r="E1231" s="242"/>
      <c r="F1231" s="214"/>
      <c r="G1231" s="214"/>
      <c r="H1231" s="232"/>
      <c r="I1231" s="9"/>
      <c r="K1231" s="217"/>
      <c r="L1231" s="217"/>
      <c r="M1231" s="256"/>
      <c r="N1231" s="176"/>
      <c r="O1231" s="257"/>
      <c r="P1231" s="236"/>
      <c r="Q1231" s="238"/>
      <c r="R1231" s="260"/>
      <c r="S1231" s="218"/>
      <c r="T1231" s="219"/>
      <c r="U1231" s="30"/>
      <c r="V1231" s="31"/>
      <c r="W1231" s="30"/>
      <c r="X1231" s="220" t="str">
        <f>IFERROR(VLOOKUP(H1231,NAICS!$A$4:$B$1072,2,FALSE),"Unknown")</f>
        <v>Unknown</v>
      </c>
      <c r="Y1231" s="139">
        <f t="shared" si="36"/>
        <v>0</v>
      </c>
      <c r="Z1231" s="9">
        <f t="shared" si="37"/>
        <v>1</v>
      </c>
    </row>
    <row r="1232" spans="1:26">
      <c r="A1232"/>
      <c r="E1232" s="32"/>
      <c r="F1232" s="32"/>
      <c r="G1232" s="32"/>
      <c r="H1232" s="9"/>
      <c r="I1232" s="9"/>
      <c r="K1232" s="217"/>
      <c r="L1232" s="217"/>
      <c r="M1232" s="256"/>
      <c r="N1232" s="226"/>
      <c r="O1232" s="257"/>
      <c r="P1232" s="235"/>
      <c r="Q1232" s="237"/>
      <c r="R1232" s="260"/>
      <c r="S1232" s="218"/>
      <c r="T1232" s="219"/>
      <c r="U1232" s="30"/>
      <c r="V1232" s="31"/>
      <c r="W1232" s="30"/>
      <c r="X1232" s="220" t="str">
        <f>IFERROR(VLOOKUP(H1232,NAICS!$A$4:$B$1072,2,FALSE),"Unknown")</f>
        <v>Unknown</v>
      </c>
      <c r="Y1232" s="139">
        <f t="shared" si="36"/>
        <v>0</v>
      </c>
      <c r="Z1232" s="9">
        <f t="shared" si="37"/>
        <v>1</v>
      </c>
    </row>
    <row r="1233" spans="1:26">
      <c r="A1233"/>
      <c r="E1233" s="32"/>
      <c r="F1233" s="32"/>
      <c r="G1233" s="32"/>
      <c r="H1233" s="9"/>
      <c r="I1233" s="9"/>
      <c r="K1233" s="217"/>
      <c r="L1233" s="217"/>
      <c r="M1233" s="256"/>
      <c r="N1233" s="222"/>
      <c r="O1233" s="257"/>
      <c r="P1233" s="223"/>
      <c r="Q1233" s="237"/>
      <c r="R1233" s="260"/>
      <c r="S1233" s="218"/>
      <c r="T1233" s="219"/>
      <c r="U1233" s="30"/>
      <c r="V1233" s="31"/>
      <c r="W1233" s="30"/>
      <c r="X1233" s="220" t="str">
        <f>IFERROR(VLOOKUP(H1233,NAICS!$A$4:$B$1072,2,FALSE),"Unknown")</f>
        <v>Unknown</v>
      </c>
      <c r="Y1233" s="139">
        <f t="shared" si="36"/>
        <v>0</v>
      </c>
      <c r="Z1233" s="9">
        <f t="shared" si="37"/>
        <v>1</v>
      </c>
    </row>
    <row r="1234" spans="1:26">
      <c r="A1234"/>
      <c r="E1234" s="32"/>
      <c r="F1234" s="32"/>
      <c r="G1234" s="32"/>
      <c r="H1234" s="9"/>
      <c r="I1234" s="9"/>
      <c r="K1234" s="217"/>
      <c r="L1234" s="217"/>
      <c r="M1234" s="256"/>
      <c r="N1234" s="226"/>
      <c r="O1234" s="257"/>
      <c r="P1234" s="235"/>
      <c r="Q1234" s="237"/>
      <c r="R1234" s="260"/>
      <c r="S1234" s="218"/>
      <c r="T1234" s="219"/>
      <c r="U1234" s="30"/>
      <c r="V1234" s="31"/>
      <c r="W1234" s="30"/>
      <c r="X1234" s="220" t="str">
        <f>IFERROR(VLOOKUP(H1234,NAICS!$A$4:$B$1072,2,FALSE),"Unknown")</f>
        <v>Unknown</v>
      </c>
      <c r="Y1234" s="139">
        <f t="shared" si="36"/>
        <v>0</v>
      </c>
      <c r="Z1234" s="9">
        <f t="shared" si="37"/>
        <v>1</v>
      </c>
    </row>
    <row r="1235" spans="1:26">
      <c r="A1235"/>
      <c r="E1235" s="32"/>
      <c r="F1235" s="32"/>
      <c r="G1235" s="32"/>
      <c r="H1235" s="9"/>
      <c r="I1235" s="9"/>
      <c r="K1235" s="217"/>
      <c r="L1235" s="217"/>
      <c r="M1235" s="256"/>
      <c r="N1235" s="226"/>
      <c r="O1235" s="257"/>
      <c r="P1235" s="235"/>
      <c r="Q1235" s="237"/>
      <c r="R1235" s="260"/>
      <c r="S1235" s="218"/>
      <c r="T1235" s="219"/>
      <c r="U1235" s="30"/>
      <c r="V1235" s="31"/>
      <c r="W1235" s="30"/>
      <c r="X1235" s="220" t="str">
        <f>IFERROR(VLOOKUP(H1235,NAICS!$A$4:$B$1072,2,FALSE),"Unknown")</f>
        <v>Unknown</v>
      </c>
      <c r="Y1235" s="139">
        <f t="shared" si="36"/>
        <v>0</v>
      </c>
      <c r="Z1235" s="9">
        <f t="shared" si="37"/>
        <v>1</v>
      </c>
    </row>
    <row r="1236" spans="1:26">
      <c r="A1236"/>
      <c r="E1236" s="32"/>
      <c r="F1236" s="32"/>
      <c r="G1236" s="32"/>
      <c r="H1236" s="9"/>
      <c r="I1236" s="9"/>
      <c r="K1236" s="217"/>
      <c r="L1236" s="217"/>
      <c r="M1236" s="256"/>
      <c r="N1236" s="226"/>
      <c r="O1236" s="257"/>
      <c r="P1236" s="235"/>
      <c r="Q1236" s="237"/>
      <c r="R1236" s="260"/>
      <c r="S1236" s="218"/>
      <c r="T1236" s="219"/>
      <c r="U1236" s="30"/>
      <c r="V1236" s="31"/>
      <c r="W1236" s="30"/>
      <c r="X1236" s="220" t="str">
        <f>IFERROR(VLOOKUP(H1236,NAICS!$A$4:$B$1072,2,FALSE),"Unknown")</f>
        <v>Unknown</v>
      </c>
      <c r="Y1236" s="139">
        <f t="shared" si="36"/>
        <v>0</v>
      </c>
      <c r="Z1236" s="9">
        <f t="shared" si="37"/>
        <v>1</v>
      </c>
    </row>
    <row r="1237" spans="1:26">
      <c r="A1237"/>
      <c r="E1237" s="242"/>
      <c r="F1237" s="214"/>
      <c r="G1237" s="214"/>
      <c r="H1237" s="232"/>
      <c r="I1237" s="9"/>
      <c r="K1237" s="217"/>
      <c r="L1237" s="217"/>
      <c r="M1237" s="256"/>
      <c r="N1237" s="176"/>
      <c r="O1237" s="257"/>
      <c r="P1237" s="236"/>
      <c r="Q1237" s="238"/>
      <c r="R1237" s="260"/>
      <c r="S1237" s="218"/>
      <c r="T1237" s="219"/>
      <c r="U1237" s="30"/>
      <c r="V1237" s="31"/>
      <c r="W1237" s="30"/>
      <c r="X1237" s="220" t="str">
        <f>IFERROR(VLOOKUP(H1237,NAICS!$A$4:$B$1072,2,FALSE),"Unknown")</f>
        <v>Unknown</v>
      </c>
      <c r="Y1237" s="139">
        <f t="shared" si="36"/>
        <v>0</v>
      </c>
      <c r="Z1237" s="9">
        <f t="shared" si="37"/>
        <v>1</v>
      </c>
    </row>
    <row r="1238" spans="1:26">
      <c r="A1238"/>
      <c r="E1238" s="32"/>
      <c r="F1238" s="32"/>
      <c r="G1238" s="32"/>
      <c r="H1238" s="9"/>
      <c r="I1238" s="9"/>
      <c r="K1238" s="217"/>
      <c r="L1238" s="217"/>
      <c r="M1238" s="256"/>
      <c r="N1238" s="226"/>
      <c r="O1238" s="257"/>
      <c r="P1238" s="235"/>
      <c r="Q1238" s="237"/>
      <c r="R1238" s="260"/>
      <c r="S1238" s="218"/>
      <c r="T1238" s="219"/>
      <c r="U1238" s="30"/>
      <c r="V1238" s="31"/>
      <c r="W1238" s="30"/>
      <c r="X1238" s="220" t="str">
        <f>IFERROR(VLOOKUP(H1238,NAICS!$A$4:$B$1072,2,FALSE),"Unknown")</f>
        <v>Unknown</v>
      </c>
      <c r="Y1238" s="139">
        <f t="shared" si="36"/>
        <v>0</v>
      </c>
      <c r="Z1238" s="9">
        <f t="shared" si="37"/>
        <v>1</v>
      </c>
    </row>
    <row r="1239" spans="1:26">
      <c r="A1239"/>
      <c r="E1239" s="32"/>
      <c r="F1239" s="32"/>
      <c r="G1239" s="32"/>
      <c r="H1239" s="9"/>
      <c r="I1239" s="9"/>
      <c r="K1239" s="217"/>
      <c r="L1239" s="217"/>
      <c r="M1239" s="256"/>
      <c r="N1239" s="226"/>
      <c r="O1239" s="257"/>
      <c r="P1239" s="235"/>
      <c r="Q1239" s="237"/>
      <c r="R1239" s="260"/>
      <c r="S1239" s="218"/>
      <c r="T1239" s="219"/>
      <c r="U1239" s="30"/>
      <c r="V1239" s="31"/>
      <c r="W1239" s="30"/>
      <c r="X1239" s="220" t="str">
        <f>IFERROR(VLOOKUP(H1239,NAICS!$A$4:$B$1072,2,FALSE),"Unknown")</f>
        <v>Unknown</v>
      </c>
      <c r="Y1239" s="139">
        <f t="shared" si="36"/>
        <v>0</v>
      </c>
      <c r="Z1239" s="9">
        <f t="shared" si="37"/>
        <v>1</v>
      </c>
    </row>
    <row r="1240" spans="1:26">
      <c r="A1240"/>
      <c r="E1240" s="32"/>
      <c r="F1240" s="32"/>
      <c r="G1240" s="32"/>
      <c r="H1240" s="9"/>
      <c r="I1240" s="9"/>
      <c r="K1240" s="217"/>
      <c r="L1240" s="217"/>
      <c r="M1240" s="256"/>
      <c r="N1240" s="226"/>
      <c r="O1240" s="257"/>
      <c r="P1240" s="235"/>
      <c r="Q1240" s="237"/>
      <c r="R1240" s="260"/>
      <c r="S1240" s="218"/>
      <c r="T1240" s="219"/>
      <c r="U1240" s="30"/>
      <c r="V1240" s="31"/>
      <c r="W1240" s="30"/>
      <c r="X1240" s="220" t="str">
        <f>IFERROR(VLOOKUP(H1240,NAICS!$A$4:$B$1072,2,FALSE),"Unknown")</f>
        <v>Unknown</v>
      </c>
      <c r="Y1240" s="139">
        <f t="shared" si="36"/>
        <v>0</v>
      </c>
      <c r="Z1240" s="9">
        <f t="shared" si="37"/>
        <v>1</v>
      </c>
    </row>
    <row r="1241" spans="1:26">
      <c r="A1241"/>
      <c r="E1241" s="32"/>
      <c r="F1241" s="32"/>
      <c r="G1241" s="32"/>
      <c r="H1241" s="9"/>
      <c r="I1241" s="9"/>
      <c r="K1241" s="217"/>
      <c r="L1241" s="217"/>
      <c r="M1241" s="256"/>
      <c r="N1241" s="226"/>
      <c r="O1241" s="257"/>
      <c r="P1241" s="235"/>
      <c r="Q1241" s="237"/>
      <c r="R1241" s="260"/>
      <c r="S1241" s="218"/>
      <c r="T1241" s="219"/>
      <c r="U1241" s="30"/>
      <c r="V1241" s="31"/>
      <c r="W1241" s="30"/>
      <c r="X1241" s="220" t="str">
        <f>IFERROR(VLOOKUP(H1241,NAICS!$A$4:$B$1072,2,FALSE),"Unknown")</f>
        <v>Unknown</v>
      </c>
      <c r="Y1241" s="139">
        <f t="shared" si="36"/>
        <v>0</v>
      </c>
      <c r="Z1241" s="9">
        <f t="shared" si="37"/>
        <v>1</v>
      </c>
    </row>
    <row r="1242" spans="1:26">
      <c r="A1242"/>
      <c r="E1242" s="32"/>
      <c r="F1242" s="32"/>
      <c r="G1242" s="32"/>
      <c r="H1242" s="9"/>
      <c r="I1242" s="9"/>
      <c r="K1242" s="217"/>
      <c r="L1242" s="217"/>
      <c r="M1242" s="256"/>
      <c r="N1242" s="226"/>
      <c r="O1242" s="257"/>
      <c r="P1242" s="235"/>
      <c r="Q1242" s="237"/>
      <c r="R1242" s="260"/>
      <c r="S1242" s="218"/>
      <c r="T1242" s="219"/>
      <c r="U1242" s="30"/>
      <c r="V1242" s="31"/>
      <c r="W1242" s="30"/>
      <c r="X1242" s="220" t="str">
        <f>IFERROR(VLOOKUP(H1242,NAICS!$A$4:$B$1072,2,FALSE),"Unknown")</f>
        <v>Unknown</v>
      </c>
      <c r="Y1242" s="139">
        <f t="shared" si="36"/>
        <v>0</v>
      </c>
      <c r="Z1242" s="9">
        <f t="shared" si="37"/>
        <v>1</v>
      </c>
    </row>
    <row r="1243" spans="1:26">
      <c r="A1243"/>
      <c r="E1243" s="32"/>
      <c r="F1243" s="32"/>
      <c r="G1243" s="32"/>
      <c r="H1243" s="9"/>
      <c r="I1243" s="9"/>
      <c r="K1243" s="217"/>
      <c r="L1243" s="217"/>
      <c r="M1243" s="256"/>
      <c r="N1243" s="226"/>
      <c r="O1243" s="257"/>
      <c r="P1243" s="235"/>
      <c r="Q1243" s="237"/>
      <c r="R1243" s="260"/>
      <c r="S1243" s="218"/>
      <c r="T1243" s="219"/>
      <c r="U1243" s="30"/>
      <c r="V1243" s="31"/>
      <c r="W1243" s="30"/>
      <c r="X1243" s="220" t="str">
        <f>IFERROR(VLOOKUP(H1243,NAICS!$A$4:$B$1072,2,FALSE),"Unknown")</f>
        <v>Unknown</v>
      </c>
      <c r="Y1243" s="139">
        <f t="shared" si="36"/>
        <v>0</v>
      </c>
      <c r="Z1243" s="9">
        <f t="shared" si="37"/>
        <v>1</v>
      </c>
    </row>
    <row r="1244" spans="1:26">
      <c r="A1244"/>
      <c r="E1244" s="32"/>
      <c r="F1244" s="32"/>
      <c r="G1244" s="32"/>
      <c r="H1244" s="9"/>
      <c r="I1244" s="9"/>
      <c r="K1244" s="217"/>
      <c r="L1244" s="217"/>
      <c r="M1244" s="256"/>
      <c r="N1244" s="226"/>
      <c r="O1244" s="257"/>
      <c r="P1244" s="235"/>
      <c r="Q1244" s="237"/>
      <c r="R1244" s="260"/>
      <c r="S1244" s="218"/>
      <c r="T1244" s="219"/>
      <c r="U1244" s="30"/>
      <c r="V1244" s="31"/>
      <c r="W1244" s="30"/>
      <c r="X1244" s="220" t="str">
        <f>IFERROR(VLOOKUP(H1244,NAICS!$A$4:$B$1072,2,FALSE),"Unknown")</f>
        <v>Unknown</v>
      </c>
      <c r="Y1244" s="139">
        <f t="shared" si="36"/>
        <v>0</v>
      </c>
      <c r="Z1244" s="9">
        <f t="shared" si="37"/>
        <v>1</v>
      </c>
    </row>
    <row r="1245" spans="1:26">
      <c r="A1245"/>
      <c r="E1245" s="32"/>
      <c r="F1245" s="32"/>
      <c r="G1245" s="32"/>
      <c r="H1245" s="9"/>
      <c r="I1245" s="9"/>
      <c r="K1245" s="217"/>
      <c r="L1245" s="217"/>
      <c r="M1245" s="256"/>
      <c r="N1245" s="226"/>
      <c r="O1245" s="257"/>
      <c r="P1245" s="235"/>
      <c r="Q1245" s="237"/>
      <c r="R1245" s="260"/>
      <c r="S1245" s="218"/>
      <c r="T1245" s="219"/>
      <c r="U1245" s="30"/>
      <c r="V1245" s="31"/>
      <c r="W1245" s="30"/>
      <c r="X1245" s="220" t="str">
        <f>IFERROR(VLOOKUP(H1245,NAICS!$A$4:$B$1072,2,FALSE),"Unknown")</f>
        <v>Unknown</v>
      </c>
      <c r="Y1245" s="139">
        <f t="shared" si="36"/>
        <v>0</v>
      </c>
      <c r="Z1245" s="9">
        <f t="shared" si="37"/>
        <v>1</v>
      </c>
    </row>
    <row r="1246" spans="1:26">
      <c r="A1246"/>
      <c r="E1246" s="32"/>
      <c r="F1246" s="32"/>
      <c r="G1246" s="32"/>
      <c r="H1246" s="9"/>
      <c r="I1246" s="9"/>
      <c r="K1246" s="217"/>
      <c r="L1246" s="217"/>
      <c r="M1246" s="256"/>
      <c r="N1246" s="226"/>
      <c r="O1246" s="257"/>
      <c r="P1246" s="235"/>
      <c r="Q1246" s="237"/>
      <c r="R1246" s="260"/>
      <c r="S1246" s="218"/>
      <c r="T1246" s="219"/>
      <c r="U1246" s="30"/>
      <c r="V1246" s="31"/>
      <c r="W1246" s="30"/>
      <c r="X1246" s="220" t="str">
        <f>IFERROR(VLOOKUP(H1246,NAICS!$A$4:$B$1072,2,FALSE),"Unknown")</f>
        <v>Unknown</v>
      </c>
      <c r="Y1246" s="139">
        <f t="shared" si="36"/>
        <v>0</v>
      </c>
      <c r="Z1246" s="9">
        <f t="shared" si="37"/>
        <v>1</v>
      </c>
    </row>
    <row r="1247" spans="1:26">
      <c r="A1247"/>
      <c r="E1247" s="32"/>
      <c r="F1247" s="32"/>
      <c r="G1247" s="32"/>
      <c r="H1247" s="9"/>
      <c r="I1247" s="9"/>
      <c r="K1247" s="217"/>
      <c r="L1247" s="217"/>
      <c r="M1247" s="256"/>
      <c r="N1247" s="226"/>
      <c r="O1247" s="257"/>
      <c r="P1247" s="235"/>
      <c r="Q1247" s="237"/>
      <c r="R1247" s="260"/>
      <c r="S1247" s="218"/>
      <c r="T1247" s="219"/>
      <c r="U1247" s="30"/>
      <c r="V1247" s="31"/>
      <c r="W1247" s="30"/>
      <c r="X1247" s="220" t="str">
        <f>IFERROR(VLOOKUP(H1247,NAICS!$A$4:$B$1072,2,FALSE),"Unknown")</f>
        <v>Unknown</v>
      </c>
      <c r="Y1247" s="139">
        <f t="shared" si="36"/>
        <v>0</v>
      </c>
      <c r="Z1247" s="9">
        <f t="shared" si="37"/>
        <v>1</v>
      </c>
    </row>
    <row r="1248" spans="1:26">
      <c r="A1248"/>
      <c r="E1248" s="32"/>
      <c r="F1248" s="32"/>
      <c r="G1248" s="32"/>
      <c r="H1248" s="9"/>
      <c r="I1248" s="9"/>
      <c r="K1248" s="217"/>
      <c r="L1248" s="217"/>
      <c r="M1248" s="256"/>
      <c r="N1248" s="226"/>
      <c r="O1248" s="257"/>
      <c r="P1248" s="235"/>
      <c r="Q1248" s="237"/>
      <c r="R1248" s="260"/>
      <c r="S1248" s="218"/>
      <c r="T1248" s="219"/>
      <c r="U1248" s="30"/>
      <c r="V1248" s="31"/>
      <c r="W1248" s="30"/>
      <c r="X1248" s="220" t="str">
        <f>IFERROR(VLOOKUP(H1248,NAICS!$A$4:$B$1072,2,FALSE),"Unknown")</f>
        <v>Unknown</v>
      </c>
      <c r="Y1248" s="139">
        <f t="shared" si="36"/>
        <v>0</v>
      </c>
      <c r="Z1248" s="9">
        <f t="shared" si="37"/>
        <v>1</v>
      </c>
    </row>
    <row r="1249" spans="1:26">
      <c r="A1249"/>
      <c r="E1249" s="242"/>
      <c r="F1249" s="214"/>
      <c r="G1249" s="214"/>
      <c r="H1249" s="232"/>
      <c r="I1249" s="9"/>
      <c r="K1249" s="217"/>
      <c r="L1249" s="217"/>
      <c r="M1249" s="256"/>
      <c r="N1249" s="176"/>
      <c r="O1249" s="257"/>
      <c r="P1249" s="236"/>
      <c r="Q1249" s="238"/>
      <c r="R1249" s="260"/>
      <c r="S1249" s="218"/>
      <c r="T1249" s="219"/>
      <c r="U1249" s="30"/>
      <c r="V1249" s="31"/>
      <c r="W1249" s="30"/>
      <c r="X1249" s="220" t="str">
        <f>IFERROR(VLOOKUP(H1249,NAICS!$A$4:$B$1072,2,FALSE),"Unknown")</f>
        <v>Unknown</v>
      </c>
      <c r="Y1249" s="139">
        <f t="shared" si="36"/>
        <v>0</v>
      </c>
      <c r="Z1249" s="9">
        <f t="shared" si="37"/>
        <v>1</v>
      </c>
    </row>
    <row r="1250" spans="1:26">
      <c r="A1250"/>
      <c r="E1250" s="242"/>
      <c r="F1250" s="227"/>
      <c r="G1250" s="227"/>
      <c r="H1250" s="233"/>
      <c r="I1250" s="9"/>
      <c r="K1250" s="217"/>
      <c r="L1250" s="217"/>
      <c r="M1250" s="256"/>
      <c r="N1250" s="176"/>
      <c r="O1250" s="257"/>
      <c r="P1250" s="236"/>
      <c r="Q1250" s="238"/>
      <c r="R1250" s="260"/>
      <c r="S1250" s="218"/>
      <c r="T1250" s="219"/>
      <c r="U1250" s="30"/>
      <c r="V1250" s="31"/>
      <c r="W1250" s="30"/>
      <c r="X1250" s="220" t="str">
        <f>IFERROR(VLOOKUP(H1250,NAICS!$A$4:$B$1072,2,FALSE),"Unknown")</f>
        <v>Unknown</v>
      </c>
      <c r="Y1250" s="139">
        <f t="shared" si="36"/>
        <v>0</v>
      </c>
      <c r="Z1250" s="9">
        <f t="shared" si="37"/>
        <v>1</v>
      </c>
    </row>
    <row r="1251" spans="1:26">
      <c r="A1251"/>
      <c r="E1251" s="32"/>
      <c r="F1251" s="32"/>
      <c r="G1251" s="32"/>
      <c r="H1251" s="9"/>
      <c r="I1251" s="9"/>
      <c r="K1251" s="217"/>
      <c r="L1251" s="217"/>
      <c r="M1251" s="256"/>
      <c r="N1251" s="226"/>
      <c r="O1251" s="257"/>
      <c r="P1251" s="235"/>
      <c r="Q1251" s="237"/>
      <c r="R1251" s="260"/>
      <c r="S1251" s="218"/>
      <c r="T1251" s="219"/>
      <c r="U1251" s="30"/>
      <c r="V1251" s="31"/>
      <c r="W1251" s="30"/>
      <c r="X1251" s="220" t="str">
        <f>IFERROR(VLOOKUP(H1251,NAICS!$A$4:$B$1072,2,FALSE),"Unknown")</f>
        <v>Unknown</v>
      </c>
      <c r="Y1251" s="139">
        <f t="shared" si="36"/>
        <v>0</v>
      </c>
      <c r="Z1251" s="9">
        <f t="shared" si="37"/>
        <v>1</v>
      </c>
    </row>
    <row r="1252" spans="1:26">
      <c r="A1252"/>
      <c r="E1252" s="242"/>
      <c r="F1252" s="214"/>
      <c r="G1252" s="214"/>
      <c r="H1252" s="232"/>
      <c r="I1252" s="9"/>
      <c r="K1252" s="217"/>
      <c r="L1252" s="217"/>
      <c r="M1252" s="256"/>
      <c r="N1252" s="176"/>
      <c r="O1252" s="257"/>
      <c r="P1252" s="236"/>
      <c r="Q1252" s="238"/>
      <c r="R1252" s="260"/>
      <c r="S1252" s="218"/>
      <c r="T1252" s="219"/>
      <c r="U1252" s="30"/>
      <c r="V1252" s="31"/>
      <c r="W1252" s="30"/>
      <c r="X1252" s="220" t="str">
        <f>IFERROR(VLOOKUP(H1252,NAICS!$A$4:$B$1072,2,FALSE),"Unknown")</f>
        <v>Unknown</v>
      </c>
      <c r="Y1252" s="139">
        <f t="shared" si="36"/>
        <v>0</v>
      </c>
      <c r="Z1252" s="9">
        <f t="shared" si="37"/>
        <v>1</v>
      </c>
    </row>
    <row r="1253" spans="1:26">
      <c r="A1253"/>
      <c r="E1253" s="32"/>
      <c r="F1253" s="32"/>
      <c r="G1253" s="32"/>
      <c r="H1253" s="9"/>
      <c r="I1253" s="9"/>
      <c r="K1253" s="217"/>
      <c r="L1253" s="217"/>
      <c r="M1253" s="256"/>
      <c r="N1253" s="226"/>
      <c r="O1253" s="257"/>
      <c r="P1253" s="235"/>
      <c r="Q1253" s="237"/>
      <c r="R1253" s="260"/>
      <c r="S1253" s="218"/>
      <c r="T1253" s="219"/>
      <c r="U1253" s="30"/>
      <c r="V1253" s="31"/>
      <c r="W1253" s="30"/>
      <c r="X1253" s="220" t="str">
        <f>IFERROR(VLOOKUP(H1253,NAICS!$A$4:$B$1072,2,FALSE),"Unknown")</f>
        <v>Unknown</v>
      </c>
      <c r="Y1253" s="139">
        <f t="shared" si="36"/>
        <v>0</v>
      </c>
      <c r="Z1253" s="9">
        <f t="shared" si="37"/>
        <v>1</v>
      </c>
    </row>
    <row r="1254" spans="1:26">
      <c r="A1254"/>
      <c r="E1254" s="32"/>
      <c r="F1254" s="32"/>
      <c r="G1254" s="32"/>
      <c r="H1254" s="9"/>
      <c r="I1254" s="9"/>
      <c r="K1254" s="217"/>
      <c r="L1254" s="217"/>
      <c r="M1254" s="256"/>
      <c r="N1254" s="226"/>
      <c r="O1254" s="257"/>
      <c r="P1254" s="235"/>
      <c r="Q1254" s="237"/>
      <c r="R1254" s="260"/>
      <c r="S1254" s="218"/>
      <c r="T1254" s="219"/>
      <c r="U1254" s="30"/>
      <c r="V1254" s="31"/>
      <c r="W1254" s="30"/>
      <c r="X1254" s="220" t="str">
        <f>IFERROR(VLOOKUP(H1254,NAICS!$A$4:$B$1072,2,FALSE),"Unknown")</f>
        <v>Unknown</v>
      </c>
      <c r="Y1254" s="139">
        <f t="shared" si="36"/>
        <v>0</v>
      </c>
      <c r="Z1254" s="9">
        <f t="shared" si="37"/>
        <v>1</v>
      </c>
    </row>
    <row r="1255" spans="1:26">
      <c r="A1255"/>
      <c r="E1255" s="32"/>
      <c r="F1255" s="32"/>
      <c r="G1255" s="32"/>
      <c r="H1255" s="9"/>
      <c r="I1255" s="9"/>
      <c r="K1255" s="217"/>
      <c r="L1255" s="217"/>
      <c r="M1255" s="256"/>
      <c r="N1255" s="226"/>
      <c r="O1255" s="257"/>
      <c r="P1255" s="235"/>
      <c r="Q1255" s="237"/>
      <c r="R1255" s="260"/>
      <c r="S1255" s="218"/>
      <c r="T1255" s="219"/>
      <c r="U1255" s="30"/>
      <c r="V1255" s="31"/>
      <c r="W1255" s="30"/>
      <c r="X1255" s="220" t="str">
        <f>IFERROR(VLOOKUP(H1255,NAICS!$A$4:$B$1072,2,FALSE),"Unknown")</f>
        <v>Unknown</v>
      </c>
      <c r="Y1255" s="139">
        <f t="shared" si="36"/>
        <v>0</v>
      </c>
      <c r="Z1255" s="9">
        <f t="shared" si="37"/>
        <v>1</v>
      </c>
    </row>
    <row r="1256" spans="1:26">
      <c r="A1256"/>
      <c r="E1256" s="32"/>
      <c r="F1256" s="32"/>
      <c r="G1256" s="32"/>
      <c r="H1256" s="9"/>
      <c r="I1256" s="9"/>
      <c r="K1256" s="217"/>
      <c r="L1256" s="217"/>
      <c r="M1256" s="256"/>
      <c r="N1256" s="226"/>
      <c r="O1256" s="257"/>
      <c r="P1256" s="235"/>
      <c r="Q1256" s="237"/>
      <c r="R1256" s="260"/>
      <c r="S1256" s="218"/>
      <c r="T1256" s="219"/>
      <c r="U1256" s="30"/>
      <c r="V1256" s="31"/>
      <c r="W1256" s="30"/>
      <c r="X1256" s="220" t="str">
        <f>IFERROR(VLOOKUP(H1256,NAICS!$A$4:$B$1072,2,FALSE),"Unknown")</f>
        <v>Unknown</v>
      </c>
      <c r="Y1256" s="139">
        <f t="shared" si="36"/>
        <v>0</v>
      </c>
      <c r="Z1256" s="9">
        <f t="shared" si="37"/>
        <v>1</v>
      </c>
    </row>
    <row r="1257" spans="1:26">
      <c r="A1257"/>
      <c r="E1257" s="32"/>
      <c r="F1257" s="32"/>
      <c r="G1257" s="32"/>
      <c r="H1257" s="9"/>
      <c r="I1257" s="9"/>
      <c r="K1257" s="217"/>
      <c r="L1257" s="217"/>
      <c r="M1257" s="256"/>
      <c r="N1257" s="226"/>
      <c r="O1257" s="257"/>
      <c r="P1257" s="235"/>
      <c r="Q1257" s="237"/>
      <c r="R1257" s="260"/>
      <c r="S1257" s="218"/>
      <c r="T1257" s="219"/>
      <c r="U1257" s="30"/>
      <c r="V1257" s="31"/>
      <c r="W1257" s="30"/>
      <c r="X1257" s="220" t="str">
        <f>IFERROR(VLOOKUP(H1257,NAICS!$A$4:$B$1072,2,FALSE),"Unknown")</f>
        <v>Unknown</v>
      </c>
      <c r="Y1257" s="139">
        <f t="shared" si="36"/>
        <v>0</v>
      </c>
      <c r="Z1257" s="9">
        <f t="shared" si="37"/>
        <v>1</v>
      </c>
    </row>
    <row r="1258" spans="1:26">
      <c r="A1258"/>
      <c r="E1258" s="242"/>
      <c r="F1258" s="227"/>
      <c r="G1258" s="227"/>
      <c r="H1258" s="232"/>
      <c r="I1258" s="9"/>
      <c r="K1258" s="217"/>
      <c r="L1258" s="217"/>
      <c r="M1258" s="256"/>
      <c r="N1258" s="176"/>
      <c r="O1258" s="257"/>
      <c r="P1258" s="236"/>
      <c r="Q1258" s="238"/>
      <c r="R1258" s="260"/>
      <c r="S1258" s="218"/>
      <c r="T1258" s="219"/>
      <c r="U1258" s="30"/>
      <c r="V1258" s="31"/>
      <c r="W1258" s="30"/>
      <c r="X1258" s="220" t="str">
        <f>IFERROR(VLOOKUP(H1258,NAICS!$A$4:$B$1072,2,FALSE),"Unknown")</f>
        <v>Unknown</v>
      </c>
      <c r="Y1258" s="139">
        <f t="shared" si="36"/>
        <v>0</v>
      </c>
      <c r="Z1258" s="9">
        <f t="shared" si="37"/>
        <v>1</v>
      </c>
    </row>
    <row r="1259" spans="1:26">
      <c r="A1259"/>
      <c r="E1259" s="32"/>
      <c r="F1259" s="32"/>
      <c r="G1259" s="32"/>
      <c r="H1259" s="9"/>
      <c r="I1259" s="9"/>
      <c r="K1259" s="217"/>
      <c r="L1259" s="217"/>
      <c r="M1259" s="256"/>
      <c r="N1259" s="226"/>
      <c r="O1259" s="257"/>
      <c r="P1259" s="235"/>
      <c r="Q1259" s="237"/>
      <c r="R1259" s="260"/>
      <c r="S1259" s="218"/>
      <c r="T1259" s="219"/>
      <c r="U1259" s="30"/>
      <c r="V1259" s="31"/>
      <c r="W1259" s="30"/>
      <c r="X1259" s="220" t="str">
        <f>IFERROR(VLOOKUP(H1259,NAICS!$A$4:$B$1072,2,FALSE),"Unknown")</f>
        <v>Unknown</v>
      </c>
      <c r="Y1259" s="139">
        <f t="shared" si="36"/>
        <v>0</v>
      </c>
      <c r="Z1259" s="9">
        <f t="shared" si="37"/>
        <v>1</v>
      </c>
    </row>
    <row r="1260" spans="1:26">
      <c r="A1260"/>
      <c r="E1260" s="242"/>
      <c r="F1260" s="214"/>
      <c r="G1260" s="214"/>
      <c r="H1260" s="232"/>
      <c r="I1260" s="9"/>
      <c r="K1260" s="217"/>
      <c r="L1260" s="217"/>
      <c r="M1260" s="256"/>
      <c r="N1260" s="176"/>
      <c r="O1260" s="257"/>
      <c r="P1260" s="236"/>
      <c r="Q1260" s="238"/>
      <c r="R1260" s="260"/>
      <c r="S1260" s="218"/>
      <c r="T1260" s="219"/>
      <c r="U1260" s="30"/>
      <c r="V1260" s="31"/>
      <c r="W1260" s="30"/>
      <c r="X1260" s="220" t="str">
        <f>IFERROR(VLOOKUP(H1260,NAICS!$A$4:$B$1072,2,FALSE),"Unknown")</f>
        <v>Unknown</v>
      </c>
      <c r="Y1260" s="139">
        <f t="shared" si="36"/>
        <v>0</v>
      </c>
      <c r="Z1260" s="9">
        <f t="shared" si="37"/>
        <v>1</v>
      </c>
    </row>
    <row r="1261" spans="1:26">
      <c r="A1261"/>
      <c r="E1261" s="32"/>
      <c r="F1261" s="32"/>
      <c r="G1261" s="32"/>
      <c r="H1261" s="9"/>
      <c r="I1261" s="9"/>
      <c r="K1261" s="217"/>
      <c r="L1261" s="217"/>
      <c r="M1261" s="256"/>
      <c r="N1261" s="226"/>
      <c r="O1261" s="257"/>
      <c r="P1261" s="235"/>
      <c r="Q1261" s="237"/>
      <c r="R1261" s="260"/>
      <c r="S1261" s="218"/>
      <c r="T1261" s="219"/>
      <c r="U1261" s="30"/>
      <c r="V1261" s="31"/>
      <c r="W1261" s="30"/>
      <c r="X1261" s="220" t="str">
        <f>IFERROR(VLOOKUP(H1261,NAICS!$A$4:$B$1072,2,FALSE),"Unknown")</f>
        <v>Unknown</v>
      </c>
      <c r="Y1261" s="139">
        <f t="shared" si="36"/>
        <v>0</v>
      </c>
      <c r="Z1261" s="9">
        <f t="shared" si="37"/>
        <v>1</v>
      </c>
    </row>
    <row r="1262" spans="1:26">
      <c r="A1262"/>
      <c r="E1262" s="32"/>
      <c r="F1262" s="32"/>
      <c r="G1262" s="32"/>
      <c r="H1262" s="9"/>
      <c r="I1262" s="9"/>
      <c r="K1262" s="217"/>
      <c r="L1262" s="217"/>
      <c r="M1262" s="256"/>
      <c r="N1262" s="226"/>
      <c r="O1262" s="257"/>
      <c r="P1262" s="235"/>
      <c r="Q1262" s="237"/>
      <c r="R1262" s="260"/>
      <c r="S1262" s="218"/>
      <c r="T1262" s="219"/>
      <c r="U1262" s="30"/>
      <c r="V1262" s="31"/>
      <c r="W1262" s="30"/>
      <c r="X1262" s="220" t="str">
        <f>IFERROR(VLOOKUP(H1262,NAICS!$A$4:$B$1072,2,FALSE),"Unknown")</f>
        <v>Unknown</v>
      </c>
      <c r="Y1262" s="139">
        <f t="shared" si="36"/>
        <v>0</v>
      </c>
      <c r="Z1262" s="9">
        <f t="shared" si="37"/>
        <v>1</v>
      </c>
    </row>
    <row r="1263" spans="1:26">
      <c r="A1263"/>
      <c r="E1263" s="32"/>
      <c r="F1263" s="32"/>
      <c r="G1263" s="32"/>
      <c r="H1263" s="9"/>
      <c r="I1263" s="9"/>
      <c r="K1263" s="217"/>
      <c r="L1263" s="217"/>
      <c r="M1263" s="256"/>
      <c r="N1263" s="226"/>
      <c r="O1263" s="257"/>
      <c r="P1263" s="235"/>
      <c r="Q1263" s="237"/>
      <c r="R1263" s="260"/>
      <c r="S1263" s="218"/>
      <c r="T1263" s="219"/>
      <c r="U1263" s="30"/>
      <c r="V1263" s="31"/>
      <c r="W1263" s="30"/>
      <c r="X1263" s="220" t="str">
        <f>IFERROR(VLOOKUP(H1263,NAICS!$A$4:$B$1072,2,FALSE),"Unknown")</f>
        <v>Unknown</v>
      </c>
      <c r="Y1263" s="139">
        <f t="shared" si="36"/>
        <v>0</v>
      </c>
      <c r="Z1263" s="9">
        <f t="shared" si="37"/>
        <v>1</v>
      </c>
    </row>
    <row r="1264" spans="1:26">
      <c r="A1264"/>
      <c r="E1264" s="242"/>
      <c r="F1264" s="214"/>
      <c r="G1264" s="214"/>
      <c r="H1264" s="232"/>
      <c r="I1264" s="9"/>
      <c r="K1264" s="217"/>
      <c r="L1264" s="217"/>
      <c r="M1264" s="256"/>
      <c r="N1264" s="176"/>
      <c r="O1264" s="257"/>
      <c r="P1264" s="236"/>
      <c r="Q1264" s="238"/>
      <c r="R1264" s="260"/>
      <c r="S1264" s="218"/>
      <c r="T1264" s="219"/>
      <c r="U1264" s="30"/>
      <c r="V1264" s="31"/>
      <c r="W1264" s="30"/>
      <c r="X1264" s="220" t="str">
        <f>IFERROR(VLOOKUP(H1264,NAICS!$A$4:$B$1072,2,FALSE),"Unknown")</f>
        <v>Unknown</v>
      </c>
      <c r="Y1264" s="139">
        <f t="shared" si="36"/>
        <v>0</v>
      </c>
      <c r="Z1264" s="9">
        <f t="shared" si="37"/>
        <v>1</v>
      </c>
    </row>
    <row r="1265" spans="1:26">
      <c r="A1265"/>
      <c r="E1265" s="242"/>
      <c r="F1265" s="214"/>
      <c r="G1265" s="214"/>
      <c r="H1265" s="232"/>
      <c r="I1265" s="9"/>
      <c r="K1265" s="217"/>
      <c r="L1265" s="217"/>
      <c r="M1265" s="256"/>
      <c r="N1265" s="176"/>
      <c r="O1265" s="257"/>
      <c r="P1265" s="236"/>
      <c r="Q1265" s="238"/>
      <c r="R1265" s="260"/>
      <c r="S1265" s="218"/>
      <c r="T1265" s="219"/>
      <c r="U1265" s="30"/>
      <c r="V1265" s="31"/>
      <c r="W1265" s="30"/>
      <c r="X1265" s="220" t="str">
        <f>IFERROR(VLOOKUP(H1265,NAICS!$A$4:$B$1072,2,FALSE),"Unknown")</f>
        <v>Unknown</v>
      </c>
      <c r="Y1265" s="139">
        <f t="shared" si="36"/>
        <v>0</v>
      </c>
      <c r="Z1265" s="9">
        <f t="shared" si="37"/>
        <v>1</v>
      </c>
    </row>
    <row r="1266" spans="1:26">
      <c r="A1266"/>
      <c r="E1266" s="32"/>
      <c r="F1266" s="32"/>
      <c r="G1266" s="32"/>
      <c r="H1266" s="9"/>
      <c r="I1266" s="9"/>
      <c r="K1266" s="217"/>
      <c r="L1266" s="217"/>
      <c r="M1266" s="256"/>
      <c r="N1266" s="226"/>
      <c r="O1266" s="257"/>
      <c r="P1266" s="235"/>
      <c r="Q1266" s="237"/>
      <c r="R1266" s="260"/>
      <c r="S1266" s="218"/>
      <c r="T1266" s="219"/>
      <c r="U1266" s="30"/>
      <c r="V1266" s="31"/>
      <c r="W1266" s="30"/>
      <c r="X1266" s="220" t="str">
        <f>IFERROR(VLOOKUP(H1266,NAICS!$A$4:$B$1072,2,FALSE),"Unknown")</f>
        <v>Unknown</v>
      </c>
      <c r="Y1266" s="139">
        <f t="shared" si="36"/>
        <v>0</v>
      </c>
      <c r="Z1266" s="9">
        <f t="shared" si="37"/>
        <v>1</v>
      </c>
    </row>
    <row r="1267" spans="1:26">
      <c r="A1267"/>
      <c r="E1267" s="242"/>
      <c r="F1267" s="214"/>
      <c r="G1267" s="214"/>
      <c r="H1267" s="232"/>
      <c r="I1267" s="9"/>
      <c r="K1267" s="217"/>
      <c r="L1267" s="217"/>
      <c r="M1267" s="256"/>
      <c r="N1267" s="176"/>
      <c r="O1267" s="257"/>
      <c r="P1267" s="236"/>
      <c r="Q1267" s="238"/>
      <c r="R1267" s="260"/>
      <c r="S1267" s="218"/>
      <c r="T1267" s="219"/>
      <c r="U1267" s="30"/>
      <c r="V1267" s="31"/>
      <c r="W1267" s="30"/>
      <c r="X1267" s="220" t="str">
        <f>IFERROR(VLOOKUP(H1267,NAICS!$A$4:$B$1072,2,FALSE),"Unknown")</f>
        <v>Unknown</v>
      </c>
      <c r="Y1267" s="139">
        <f t="shared" si="36"/>
        <v>0</v>
      </c>
      <c r="Z1267" s="9">
        <f t="shared" si="37"/>
        <v>1</v>
      </c>
    </row>
    <row r="1268" spans="1:26">
      <c r="A1268"/>
      <c r="E1268" s="242"/>
      <c r="F1268" s="214"/>
      <c r="G1268" s="214"/>
      <c r="H1268" s="232"/>
      <c r="I1268" s="9"/>
      <c r="K1268" s="217"/>
      <c r="L1268" s="217"/>
      <c r="M1268" s="256"/>
      <c r="N1268" s="176"/>
      <c r="O1268" s="257"/>
      <c r="P1268" s="236"/>
      <c r="Q1268" s="238"/>
      <c r="R1268" s="260"/>
      <c r="S1268" s="218"/>
      <c r="T1268" s="219"/>
      <c r="U1268" s="30"/>
      <c r="V1268" s="31"/>
      <c r="W1268" s="30"/>
      <c r="X1268" s="220" t="str">
        <f>IFERROR(VLOOKUP(H1268,NAICS!$A$4:$B$1072,2,FALSE),"Unknown")</f>
        <v>Unknown</v>
      </c>
      <c r="Y1268" s="139">
        <f t="shared" si="36"/>
        <v>0</v>
      </c>
      <c r="Z1268" s="9">
        <f t="shared" si="37"/>
        <v>1</v>
      </c>
    </row>
    <row r="1269" spans="1:26">
      <c r="A1269"/>
      <c r="E1269" s="242"/>
      <c r="F1269" s="214"/>
      <c r="G1269" s="214"/>
      <c r="H1269" s="232"/>
      <c r="I1269" s="9"/>
      <c r="K1269" s="217"/>
      <c r="L1269" s="217"/>
      <c r="M1269" s="256"/>
      <c r="N1269" s="176"/>
      <c r="O1269" s="257"/>
      <c r="P1269" s="236"/>
      <c r="Q1269" s="238"/>
      <c r="R1269" s="260"/>
      <c r="S1269" s="218"/>
      <c r="T1269" s="219"/>
      <c r="U1269" s="30"/>
      <c r="V1269" s="31"/>
      <c r="W1269" s="30"/>
      <c r="X1269" s="220" t="str">
        <f>IFERROR(VLOOKUP(H1269,NAICS!$A$4:$B$1072,2,FALSE),"Unknown")</f>
        <v>Unknown</v>
      </c>
      <c r="Y1269" s="139">
        <f t="shared" si="36"/>
        <v>0</v>
      </c>
      <c r="Z1269" s="9">
        <f t="shared" si="37"/>
        <v>1</v>
      </c>
    </row>
    <row r="1270" spans="1:26">
      <c r="A1270"/>
      <c r="E1270" s="32"/>
      <c r="F1270" s="32"/>
      <c r="G1270" s="32"/>
      <c r="H1270" s="9"/>
      <c r="I1270" s="9"/>
      <c r="K1270" s="217"/>
      <c r="L1270" s="217"/>
      <c r="M1270" s="256"/>
      <c r="N1270" s="226"/>
      <c r="O1270" s="257"/>
      <c r="P1270" s="235"/>
      <c r="Q1270" s="237"/>
      <c r="R1270" s="260"/>
      <c r="S1270" s="218"/>
      <c r="T1270" s="219"/>
      <c r="U1270" s="30"/>
      <c r="V1270" s="31"/>
      <c r="W1270" s="30"/>
      <c r="X1270" s="220" t="str">
        <f>IFERROR(VLOOKUP(H1270,NAICS!$A$4:$B$1072,2,FALSE),"Unknown")</f>
        <v>Unknown</v>
      </c>
      <c r="Y1270" s="139">
        <f t="shared" si="36"/>
        <v>0</v>
      </c>
      <c r="Z1270" s="9">
        <f t="shared" si="37"/>
        <v>1</v>
      </c>
    </row>
    <row r="1271" spans="1:26">
      <c r="A1271"/>
      <c r="E1271" s="32"/>
      <c r="F1271" s="32"/>
      <c r="G1271" s="32"/>
      <c r="H1271" s="9"/>
      <c r="I1271" s="9"/>
      <c r="K1271" s="217"/>
      <c r="L1271" s="217"/>
      <c r="M1271" s="256"/>
      <c r="N1271" s="226"/>
      <c r="O1271" s="257"/>
      <c r="P1271" s="235"/>
      <c r="Q1271" s="237"/>
      <c r="R1271" s="260"/>
      <c r="S1271" s="218"/>
      <c r="T1271" s="219"/>
      <c r="U1271" s="30"/>
      <c r="V1271" s="31"/>
      <c r="W1271" s="30"/>
      <c r="X1271" s="220" t="str">
        <f>IFERROR(VLOOKUP(H1271,NAICS!$A$4:$B$1072,2,FALSE),"Unknown")</f>
        <v>Unknown</v>
      </c>
      <c r="Y1271" s="139">
        <f t="shared" si="36"/>
        <v>0</v>
      </c>
      <c r="Z1271" s="9">
        <f t="shared" si="37"/>
        <v>1</v>
      </c>
    </row>
    <row r="1272" spans="1:26">
      <c r="A1272"/>
      <c r="E1272" s="32"/>
      <c r="F1272" s="32"/>
      <c r="G1272" s="32"/>
      <c r="H1272" s="9"/>
      <c r="I1272" s="9"/>
      <c r="K1272" s="217"/>
      <c r="L1272" s="217"/>
      <c r="M1272" s="256"/>
      <c r="N1272" s="226"/>
      <c r="O1272" s="257"/>
      <c r="P1272" s="235"/>
      <c r="Q1272" s="237"/>
      <c r="R1272" s="260"/>
      <c r="S1272" s="218"/>
      <c r="T1272" s="219"/>
      <c r="U1272" s="30"/>
      <c r="V1272" s="31"/>
      <c r="W1272" s="30"/>
      <c r="X1272" s="220" t="str">
        <f>IFERROR(VLOOKUP(H1272,NAICS!$A$4:$B$1072,2,FALSE),"Unknown")</f>
        <v>Unknown</v>
      </c>
      <c r="Y1272" s="139">
        <f t="shared" si="36"/>
        <v>0</v>
      </c>
      <c r="Z1272" s="9">
        <f t="shared" si="37"/>
        <v>1</v>
      </c>
    </row>
    <row r="1273" spans="1:26">
      <c r="A1273"/>
      <c r="E1273" s="32"/>
      <c r="F1273" s="32"/>
      <c r="G1273" s="32"/>
      <c r="H1273" s="9"/>
      <c r="I1273" s="9"/>
      <c r="K1273" s="217"/>
      <c r="L1273" s="217"/>
      <c r="M1273" s="256"/>
      <c r="N1273" s="226"/>
      <c r="O1273" s="257"/>
      <c r="P1273" s="235"/>
      <c r="Q1273" s="237"/>
      <c r="R1273" s="260"/>
      <c r="S1273" s="218"/>
      <c r="T1273" s="219"/>
      <c r="U1273" s="30"/>
      <c r="V1273" s="31"/>
      <c r="W1273" s="30"/>
      <c r="X1273" s="220" t="str">
        <f>IFERROR(VLOOKUP(H1273,NAICS!$A$4:$B$1072,2,FALSE),"Unknown")</f>
        <v>Unknown</v>
      </c>
      <c r="Y1273" s="139">
        <f t="shared" si="36"/>
        <v>0</v>
      </c>
      <c r="Z1273" s="9">
        <f t="shared" si="37"/>
        <v>1</v>
      </c>
    </row>
    <row r="1274" spans="1:26">
      <c r="A1274"/>
      <c r="E1274" s="32"/>
      <c r="F1274" s="32"/>
      <c r="G1274" s="32"/>
      <c r="H1274" s="9"/>
      <c r="I1274" s="9"/>
      <c r="K1274" s="217"/>
      <c r="L1274" s="217"/>
      <c r="M1274" s="256"/>
      <c r="N1274" s="226"/>
      <c r="O1274" s="257"/>
      <c r="P1274" s="235"/>
      <c r="Q1274" s="237"/>
      <c r="R1274" s="260"/>
      <c r="S1274" s="218"/>
      <c r="T1274" s="219"/>
      <c r="U1274" s="30"/>
      <c r="V1274" s="31"/>
      <c r="W1274" s="30"/>
      <c r="X1274" s="220" t="str">
        <f>IFERROR(VLOOKUP(H1274,NAICS!$A$4:$B$1072,2,FALSE),"Unknown")</f>
        <v>Unknown</v>
      </c>
      <c r="Y1274" s="139">
        <f t="shared" si="36"/>
        <v>0</v>
      </c>
      <c r="Z1274" s="9">
        <f t="shared" si="37"/>
        <v>1</v>
      </c>
    </row>
    <row r="1275" spans="1:26">
      <c r="A1275"/>
      <c r="E1275" s="32"/>
      <c r="F1275" s="32"/>
      <c r="G1275" s="32"/>
      <c r="H1275" s="9"/>
      <c r="I1275" s="9"/>
      <c r="K1275" s="217"/>
      <c r="L1275" s="217"/>
      <c r="M1275" s="256"/>
      <c r="N1275" s="226"/>
      <c r="O1275" s="257"/>
      <c r="P1275" s="235"/>
      <c r="Q1275" s="237"/>
      <c r="R1275" s="260"/>
      <c r="S1275" s="218"/>
      <c r="T1275" s="219"/>
      <c r="U1275" s="30"/>
      <c r="V1275" s="31"/>
      <c r="W1275" s="30"/>
      <c r="X1275" s="220" t="str">
        <f>IFERROR(VLOOKUP(H1275,NAICS!$A$4:$B$1072,2,FALSE),"Unknown")</f>
        <v>Unknown</v>
      </c>
      <c r="Y1275" s="139">
        <f t="shared" si="36"/>
        <v>0</v>
      </c>
      <c r="Z1275" s="9">
        <f t="shared" si="37"/>
        <v>1</v>
      </c>
    </row>
    <row r="1276" spans="1:26">
      <c r="A1276"/>
      <c r="E1276" s="242"/>
      <c r="F1276" s="214"/>
      <c r="G1276" s="214"/>
      <c r="H1276" s="232"/>
      <c r="I1276" s="9"/>
      <c r="K1276" s="217"/>
      <c r="L1276" s="217"/>
      <c r="M1276" s="256"/>
      <c r="N1276" s="176"/>
      <c r="O1276" s="257"/>
      <c r="P1276" s="236"/>
      <c r="Q1276" s="238"/>
      <c r="R1276" s="260"/>
      <c r="S1276" s="218"/>
      <c r="T1276" s="219"/>
      <c r="U1276" s="30"/>
      <c r="V1276" s="31"/>
      <c r="W1276" s="30"/>
      <c r="X1276" s="220" t="str">
        <f>IFERROR(VLOOKUP(H1276,NAICS!$A$4:$B$1072,2,FALSE),"Unknown")</f>
        <v>Unknown</v>
      </c>
      <c r="Y1276" s="139">
        <f t="shared" si="36"/>
        <v>0</v>
      </c>
      <c r="Z1276" s="9">
        <f t="shared" si="37"/>
        <v>1</v>
      </c>
    </row>
    <row r="1277" spans="1:26">
      <c r="A1277"/>
      <c r="E1277" s="242"/>
      <c r="F1277" s="214"/>
      <c r="G1277" s="214"/>
      <c r="H1277" s="232"/>
      <c r="I1277" s="9"/>
      <c r="K1277" s="217"/>
      <c r="L1277" s="217"/>
      <c r="M1277" s="256"/>
      <c r="N1277" s="176"/>
      <c r="O1277" s="257"/>
      <c r="P1277" s="236"/>
      <c r="Q1277" s="238"/>
      <c r="R1277" s="260"/>
      <c r="S1277" s="218"/>
      <c r="T1277" s="219"/>
      <c r="U1277" s="30"/>
      <c r="V1277" s="31"/>
      <c r="W1277" s="30"/>
      <c r="X1277" s="220" t="str">
        <f>IFERROR(VLOOKUP(H1277,NAICS!$A$4:$B$1072,2,FALSE),"Unknown")</f>
        <v>Unknown</v>
      </c>
      <c r="Y1277" s="139">
        <f t="shared" si="36"/>
        <v>0</v>
      </c>
      <c r="Z1277" s="9">
        <f t="shared" si="37"/>
        <v>1</v>
      </c>
    </row>
    <row r="1278" spans="1:26">
      <c r="A1278"/>
      <c r="E1278" s="242"/>
      <c r="F1278" s="29"/>
      <c r="G1278" s="29"/>
      <c r="H1278" s="29"/>
      <c r="I1278" s="9"/>
      <c r="K1278" s="217"/>
      <c r="L1278" s="217"/>
      <c r="M1278" s="256"/>
      <c r="N1278" s="176"/>
      <c r="O1278" s="257"/>
      <c r="P1278" s="236"/>
      <c r="Q1278" s="238"/>
      <c r="R1278" s="260"/>
      <c r="S1278" s="218"/>
      <c r="T1278" s="219"/>
      <c r="U1278" s="30"/>
      <c r="V1278" s="31"/>
      <c r="W1278" s="30"/>
      <c r="X1278" s="220" t="str">
        <f>IFERROR(VLOOKUP(H1278,NAICS!$A$4:$B$1072,2,FALSE),"Unknown")</f>
        <v>Unknown</v>
      </c>
      <c r="Y1278" s="139">
        <f t="shared" si="36"/>
        <v>0</v>
      </c>
      <c r="Z1278" s="9">
        <f t="shared" si="37"/>
        <v>1</v>
      </c>
    </row>
    <row r="1279" spans="1:26">
      <c r="A1279"/>
      <c r="E1279" s="242"/>
      <c r="F1279" s="214"/>
      <c r="G1279" s="214"/>
      <c r="H1279" s="232"/>
      <c r="I1279" s="9"/>
      <c r="K1279" s="217"/>
      <c r="L1279" s="217"/>
      <c r="M1279" s="256"/>
      <c r="N1279" s="176"/>
      <c r="O1279" s="257"/>
      <c r="P1279" s="236"/>
      <c r="Q1279" s="238"/>
      <c r="R1279" s="260"/>
      <c r="S1279" s="218"/>
      <c r="T1279" s="219"/>
      <c r="U1279" s="30"/>
      <c r="V1279" s="31"/>
      <c r="W1279" s="30"/>
      <c r="X1279" s="220" t="str">
        <f>IFERROR(VLOOKUP(H1279,NAICS!$A$4:$B$1072,2,FALSE),"Unknown")</f>
        <v>Unknown</v>
      </c>
      <c r="Y1279" s="139">
        <f t="shared" si="36"/>
        <v>0</v>
      </c>
      <c r="Z1279" s="9">
        <f t="shared" si="37"/>
        <v>1</v>
      </c>
    </row>
    <row r="1280" spans="1:26">
      <c r="A1280"/>
      <c r="E1280" s="32"/>
      <c r="F1280" s="32"/>
      <c r="G1280" s="32"/>
      <c r="H1280" s="9"/>
      <c r="I1280" s="9"/>
      <c r="K1280" s="217"/>
      <c r="L1280" s="217"/>
      <c r="M1280" s="256"/>
      <c r="N1280" s="226"/>
      <c r="O1280" s="257"/>
      <c r="P1280" s="235"/>
      <c r="Q1280" s="237"/>
      <c r="R1280" s="260"/>
      <c r="S1280" s="218"/>
      <c r="T1280" s="219"/>
      <c r="U1280" s="30"/>
      <c r="V1280" s="31"/>
      <c r="W1280" s="30"/>
      <c r="X1280" s="220" t="str">
        <f>IFERROR(VLOOKUP(H1280,NAICS!$A$4:$B$1072,2,FALSE),"Unknown")</f>
        <v>Unknown</v>
      </c>
      <c r="Y1280" s="139">
        <f t="shared" si="36"/>
        <v>0</v>
      </c>
      <c r="Z1280" s="9">
        <f t="shared" si="37"/>
        <v>1</v>
      </c>
    </row>
    <row r="1281" spans="1:26">
      <c r="A1281"/>
      <c r="E1281" s="242"/>
      <c r="F1281" s="214"/>
      <c r="G1281" s="214"/>
      <c r="H1281" s="232"/>
      <c r="I1281" s="9"/>
      <c r="K1281" s="217"/>
      <c r="L1281" s="217"/>
      <c r="M1281" s="256"/>
      <c r="N1281" s="176"/>
      <c r="O1281" s="257"/>
      <c r="P1281" s="236"/>
      <c r="Q1281" s="238"/>
      <c r="R1281" s="260"/>
      <c r="S1281" s="218"/>
      <c r="T1281" s="219"/>
      <c r="U1281" s="30"/>
      <c r="V1281" s="31"/>
      <c r="W1281" s="30"/>
      <c r="X1281" s="220" t="str">
        <f>IFERROR(VLOOKUP(H1281,NAICS!$A$4:$B$1072,2,FALSE),"Unknown")</f>
        <v>Unknown</v>
      </c>
      <c r="Y1281" s="139">
        <f t="shared" si="36"/>
        <v>0</v>
      </c>
      <c r="Z1281" s="9">
        <f t="shared" si="37"/>
        <v>1</v>
      </c>
    </row>
    <row r="1282" spans="1:26">
      <c r="A1282"/>
      <c r="E1282" s="32"/>
      <c r="F1282" s="32"/>
      <c r="G1282" s="32"/>
      <c r="H1282" s="9"/>
      <c r="I1282" s="9"/>
      <c r="K1282" s="217"/>
      <c r="L1282" s="217"/>
      <c r="M1282" s="256"/>
      <c r="N1282" s="226"/>
      <c r="O1282" s="257"/>
      <c r="P1282" s="235"/>
      <c r="Q1282" s="237"/>
      <c r="R1282" s="260"/>
      <c r="S1282" s="218"/>
      <c r="T1282" s="219"/>
      <c r="U1282" s="30"/>
      <c r="V1282" s="31"/>
      <c r="W1282" s="30"/>
      <c r="X1282" s="220" t="str">
        <f>IFERROR(VLOOKUP(H1282,NAICS!$A$4:$B$1072,2,FALSE),"Unknown")</f>
        <v>Unknown</v>
      </c>
      <c r="Y1282" s="139">
        <f t="shared" si="36"/>
        <v>0</v>
      </c>
      <c r="Z1282" s="9">
        <f t="shared" si="37"/>
        <v>1</v>
      </c>
    </row>
    <row r="1283" spans="1:26">
      <c r="A1283"/>
      <c r="E1283" s="32"/>
      <c r="F1283" s="32"/>
      <c r="G1283" s="32"/>
      <c r="H1283" s="9"/>
      <c r="I1283" s="9"/>
      <c r="K1283" s="217"/>
      <c r="L1283" s="217"/>
      <c r="M1283" s="256"/>
      <c r="N1283" s="226"/>
      <c r="O1283" s="257"/>
      <c r="P1283" s="235"/>
      <c r="Q1283" s="237"/>
      <c r="R1283" s="260"/>
      <c r="S1283" s="218"/>
      <c r="T1283" s="219"/>
      <c r="U1283" s="30"/>
      <c r="V1283" s="31"/>
      <c r="W1283" s="30"/>
      <c r="X1283" s="220" t="str">
        <f>IFERROR(VLOOKUP(H1283,NAICS!$A$4:$B$1072,2,FALSE),"Unknown")</f>
        <v>Unknown</v>
      </c>
      <c r="Y1283" s="139">
        <f t="shared" si="36"/>
        <v>0</v>
      </c>
      <c r="Z1283" s="9">
        <f t="shared" si="37"/>
        <v>1</v>
      </c>
    </row>
    <row r="1284" spans="1:26">
      <c r="A1284"/>
      <c r="E1284" s="32"/>
      <c r="F1284" s="32"/>
      <c r="G1284" s="32"/>
      <c r="H1284" s="9"/>
      <c r="I1284" s="9"/>
      <c r="K1284" s="217"/>
      <c r="L1284" s="217"/>
      <c r="M1284" s="256"/>
      <c r="N1284" s="226"/>
      <c r="O1284" s="257"/>
      <c r="P1284" s="235"/>
      <c r="Q1284" s="237"/>
      <c r="R1284" s="260"/>
      <c r="S1284" s="218"/>
      <c r="T1284" s="219"/>
      <c r="U1284" s="30"/>
      <c r="V1284" s="31"/>
      <c r="W1284" s="30"/>
      <c r="X1284" s="220" t="str">
        <f>IFERROR(VLOOKUP(H1284,NAICS!$A$4:$B$1072,2,FALSE),"Unknown")</f>
        <v>Unknown</v>
      </c>
      <c r="Y1284" s="139">
        <f t="shared" si="36"/>
        <v>0</v>
      </c>
      <c r="Z1284" s="9">
        <f t="shared" si="37"/>
        <v>1</v>
      </c>
    </row>
    <row r="1285" spans="1:26">
      <c r="A1285"/>
      <c r="E1285" s="242"/>
      <c r="F1285" s="227"/>
      <c r="G1285" s="227"/>
      <c r="H1285" s="232"/>
      <c r="I1285" s="9"/>
      <c r="K1285" s="217"/>
      <c r="L1285" s="217"/>
      <c r="M1285" s="256"/>
      <c r="N1285" s="176"/>
      <c r="O1285" s="257"/>
      <c r="P1285" s="236"/>
      <c r="Q1285" s="238"/>
      <c r="R1285" s="260"/>
      <c r="S1285" s="218"/>
      <c r="T1285" s="219"/>
      <c r="U1285" s="30"/>
      <c r="V1285" s="31"/>
      <c r="W1285" s="30"/>
      <c r="X1285" s="220" t="str">
        <f>IFERROR(VLOOKUP(H1285,NAICS!$A$4:$B$1072,2,FALSE),"Unknown")</f>
        <v>Unknown</v>
      </c>
      <c r="Y1285" s="139">
        <f t="shared" si="36"/>
        <v>0</v>
      </c>
      <c r="Z1285" s="9">
        <f t="shared" si="37"/>
        <v>1</v>
      </c>
    </row>
    <row r="1286" spans="1:26">
      <c r="A1286"/>
      <c r="E1286" s="242"/>
      <c r="F1286" s="214"/>
      <c r="G1286" s="214"/>
      <c r="H1286" s="232"/>
      <c r="I1286" s="9"/>
      <c r="K1286" s="217"/>
      <c r="L1286" s="217"/>
      <c r="M1286" s="256"/>
      <c r="N1286" s="176"/>
      <c r="O1286" s="257"/>
      <c r="P1286" s="236"/>
      <c r="Q1286" s="238"/>
      <c r="R1286" s="260"/>
      <c r="S1286" s="218"/>
      <c r="T1286" s="219"/>
      <c r="U1286" s="30"/>
      <c r="V1286" s="31"/>
      <c r="W1286" s="30"/>
      <c r="X1286" s="220" t="str">
        <f>IFERROR(VLOOKUP(H1286,NAICS!$A$4:$B$1072,2,FALSE),"Unknown")</f>
        <v>Unknown</v>
      </c>
      <c r="Y1286" s="139">
        <f t="shared" si="36"/>
        <v>0</v>
      </c>
      <c r="Z1286" s="9">
        <f t="shared" si="37"/>
        <v>1</v>
      </c>
    </row>
    <row r="1287" spans="1:26">
      <c r="A1287"/>
      <c r="E1287" s="32"/>
      <c r="F1287" s="32"/>
      <c r="G1287" s="32"/>
      <c r="H1287" s="9"/>
      <c r="I1287" s="9"/>
      <c r="K1287" s="217"/>
      <c r="L1287" s="217"/>
      <c r="M1287" s="256"/>
      <c r="N1287" s="226"/>
      <c r="O1287" s="257"/>
      <c r="P1287" s="235"/>
      <c r="Q1287" s="237"/>
      <c r="R1287" s="260"/>
      <c r="S1287" s="218"/>
      <c r="T1287" s="219"/>
      <c r="U1287" s="30"/>
      <c r="V1287" s="31"/>
      <c r="W1287" s="30"/>
      <c r="X1287" s="220" t="str">
        <f>IFERROR(VLOOKUP(H1287,NAICS!$A$4:$B$1072,2,FALSE),"Unknown")</f>
        <v>Unknown</v>
      </c>
      <c r="Y1287" s="139">
        <f t="shared" si="36"/>
        <v>0</v>
      </c>
      <c r="Z1287" s="9">
        <f t="shared" si="37"/>
        <v>1</v>
      </c>
    </row>
    <row r="1288" spans="1:26">
      <c r="A1288"/>
      <c r="E1288" s="242"/>
      <c r="F1288" s="214"/>
      <c r="G1288" s="214"/>
      <c r="H1288" s="232"/>
      <c r="I1288" s="9"/>
      <c r="K1288" s="217"/>
      <c r="L1288" s="217"/>
      <c r="M1288" s="256"/>
      <c r="N1288" s="176"/>
      <c r="O1288" s="257"/>
      <c r="P1288" s="236"/>
      <c r="Q1288" s="238"/>
      <c r="R1288" s="260"/>
      <c r="S1288" s="218"/>
      <c r="T1288" s="219"/>
      <c r="U1288" s="30"/>
      <c r="V1288" s="31"/>
      <c r="W1288" s="30"/>
      <c r="X1288" s="220" t="str">
        <f>IFERROR(VLOOKUP(H1288,NAICS!$A$4:$B$1072,2,FALSE),"Unknown")</f>
        <v>Unknown</v>
      </c>
      <c r="Y1288" s="139">
        <f t="shared" si="36"/>
        <v>0</v>
      </c>
      <c r="Z1288" s="9">
        <f t="shared" si="37"/>
        <v>1</v>
      </c>
    </row>
    <row r="1289" spans="1:26">
      <c r="A1289"/>
      <c r="E1289" s="32"/>
      <c r="F1289" s="32"/>
      <c r="G1289" s="32"/>
      <c r="H1289" s="9"/>
      <c r="I1289" s="9"/>
      <c r="K1289" s="217"/>
      <c r="L1289" s="217"/>
      <c r="M1289" s="256"/>
      <c r="N1289" s="226"/>
      <c r="O1289" s="257"/>
      <c r="P1289" s="235"/>
      <c r="Q1289" s="237"/>
      <c r="R1289" s="260"/>
      <c r="S1289" s="218"/>
      <c r="T1289" s="219"/>
      <c r="U1289" s="30"/>
      <c r="V1289" s="31"/>
      <c r="W1289" s="30"/>
      <c r="X1289" s="220" t="str">
        <f>IFERROR(VLOOKUP(H1289,NAICS!$A$4:$B$1072,2,FALSE),"Unknown")</f>
        <v>Unknown</v>
      </c>
      <c r="Y1289" s="139">
        <f t="shared" si="36"/>
        <v>0</v>
      </c>
      <c r="Z1289" s="9">
        <f t="shared" si="37"/>
        <v>1</v>
      </c>
    </row>
    <row r="1290" spans="1:26">
      <c r="A1290"/>
      <c r="E1290" s="32"/>
      <c r="F1290" s="32"/>
      <c r="G1290" s="32"/>
      <c r="H1290" s="9"/>
      <c r="I1290" s="9"/>
      <c r="K1290" s="217"/>
      <c r="L1290" s="217"/>
      <c r="M1290" s="256"/>
      <c r="N1290" s="226"/>
      <c r="O1290" s="257"/>
      <c r="P1290" s="235"/>
      <c r="Q1290" s="237"/>
      <c r="R1290" s="260"/>
      <c r="S1290" s="218"/>
      <c r="T1290" s="219"/>
      <c r="U1290" s="30"/>
      <c r="V1290" s="31"/>
      <c r="W1290" s="30"/>
      <c r="X1290" s="220" t="str">
        <f>IFERROR(VLOOKUP(H1290,NAICS!$A$4:$B$1072,2,FALSE),"Unknown")</f>
        <v>Unknown</v>
      </c>
      <c r="Y1290" s="139">
        <f t="shared" si="36"/>
        <v>0</v>
      </c>
      <c r="Z1290" s="9">
        <f t="shared" si="37"/>
        <v>1</v>
      </c>
    </row>
    <row r="1291" spans="1:26">
      <c r="A1291"/>
      <c r="E1291" s="242"/>
      <c r="F1291" s="227"/>
      <c r="G1291" s="227"/>
      <c r="H1291" s="233"/>
      <c r="I1291" s="9"/>
      <c r="K1291" s="217"/>
      <c r="L1291" s="217"/>
      <c r="M1291" s="256"/>
      <c r="N1291" s="176"/>
      <c r="O1291" s="257"/>
      <c r="P1291" s="236"/>
      <c r="Q1291" s="238"/>
      <c r="R1291" s="260"/>
      <c r="S1291" s="218"/>
      <c r="T1291" s="219"/>
      <c r="U1291" s="30"/>
      <c r="V1291" s="31"/>
      <c r="W1291" s="30"/>
      <c r="X1291" s="220" t="str">
        <f>IFERROR(VLOOKUP(H1291,NAICS!$A$4:$B$1072,2,FALSE),"Unknown")</f>
        <v>Unknown</v>
      </c>
      <c r="Y1291" s="139">
        <f t="shared" si="36"/>
        <v>0</v>
      </c>
      <c r="Z1291" s="9">
        <f t="shared" si="37"/>
        <v>1</v>
      </c>
    </row>
    <row r="1292" spans="1:26">
      <c r="A1292"/>
      <c r="E1292" s="32"/>
      <c r="F1292" s="32"/>
      <c r="G1292" s="32"/>
      <c r="H1292" s="9"/>
      <c r="I1292" s="9"/>
      <c r="K1292" s="217"/>
      <c r="L1292" s="217"/>
      <c r="M1292" s="256"/>
      <c r="N1292" s="222"/>
      <c r="O1292" s="257"/>
      <c r="P1292" s="223"/>
      <c r="Q1292" s="237"/>
      <c r="R1292" s="260"/>
      <c r="S1292" s="218"/>
      <c r="T1292" s="219"/>
      <c r="U1292" s="30"/>
      <c r="V1292" s="31"/>
      <c r="W1292" s="30"/>
      <c r="X1292" s="220" t="str">
        <f>IFERROR(VLOOKUP(H1292,NAICS!$A$4:$B$1072,2,FALSE),"Unknown")</f>
        <v>Unknown</v>
      </c>
      <c r="Y1292" s="139">
        <f t="shared" si="36"/>
        <v>0</v>
      </c>
      <c r="Z1292" s="9">
        <f t="shared" si="37"/>
        <v>1</v>
      </c>
    </row>
    <row r="1293" spans="1:26">
      <c r="A1293"/>
      <c r="E1293" s="32"/>
      <c r="F1293" s="32"/>
      <c r="G1293" s="32"/>
      <c r="H1293" s="9"/>
      <c r="I1293" s="9"/>
      <c r="K1293" s="217"/>
      <c r="L1293" s="217"/>
      <c r="M1293" s="256"/>
      <c r="N1293" s="226"/>
      <c r="O1293" s="257"/>
      <c r="P1293" s="235"/>
      <c r="Q1293" s="237"/>
      <c r="R1293" s="260"/>
      <c r="S1293" s="218"/>
      <c r="T1293" s="219"/>
      <c r="U1293" s="30"/>
      <c r="V1293" s="31"/>
      <c r="W1293" s="30"/>
      <c r="X1293" s="220" t="str">
        <f>IFERROR(VLOOKUP(H1293,NAICS!$A$4:$B$1072,2,FALSE),"Unknown")</f>
        <v>Unknown</v>
      </c>
      <c r="Y1293" s="139">
        <f t="shared" ref="Y1293:Y1349" si="38">IF(U1293&gt;=180,IF(V1293&lt;=12,5%,IF(AND(V1293&gt;12,V1293&lt;24),3%,IF(AND(V1293&gt;24,V1293&lt;36),1%,0%))),0%)</f>
        <v>0</v>
      </c>
      <c r="Z1293" s="9">
        <f t="shared" ref="Z1293:Z1349" si="39">IF(AND(U1293&gt;=$AE$2,U1293&lt;=$AF$2),1,IF(AND(U1293&gt;$AE$3,U1293&lt;=$AF$3),2,IF(AND(U1293&gt;$AE$4,U1293&lt;=$AF$4),3,IF(AND(U1293&gt;$AE$5,U1293&lt;=$AF$5),4,IF(AND(U1293&gt;$AE$6,U1293&lt;=$AF$6),5,"")))))</f>
        <v>1</v>
      </c>
    </row>
    <row r="1294" spans="1:26">
      <c r="A1294"/>
      <c r="E1294" s="32"/>
      <c r="F1294" s="32"/>
      <c r="G1294" s="32"/>
      <c r="H1294" s="9"/>
      <c r="I1294" s="9"/>
      <c r="K1294" s="217"/>
      <c r="L1294" s="217"/>
      <c r="M1294" s="256"/>
      <c r="N1294" s="226"/>
      <c r="O1294" s="257"/>
      <c r="P1294" s="235"/>
      <c r="Q1294" s="237"/>
      <c r="R1294" s="260"/>
      <c r="S1294" s="218"/>
      <c r="T1294" s="219"/>
      <c r="U1294" s="30"/>
      <c r="V1294" s="31"/>
      <c r="W1294" s="30"/>
      <c r="X1294" s="220" t="str">
        <f>IFERROR(VLOOKUP(H1294,NAICS!$A$4:$B$1072,2,FALSE),"Unknown")</f>
        <v>Unknown</v>
      </c>
      <c r="Y1294" s="139">
        <f t="shared" si="38"/>
        <v>0</v>
      </c>
      <c r="Z1294" s="9">
        <f t="shared" si="39"/>
        <v>1</v>
      </c>
    </row>
    <row r="1295" spans="1:26">
      <c r="A1295"/>
      <c r="E1295" s="242"/>
      <c r="F1295" s="214"/>
      <c r="G1295" s="214"/>
      <c r="H1295" s="232"/>
      <c r="I1295" s="9"/>
      <c r="K1295" s="217"/>
      <c r="L1295" s="217"/>
      <c r="M1295" s="256"/>
      <c r="N1295" s="176"/>
      <c r="O1295" s="257"/>
      <c r="P1295" s="236"/>
      <c r="Q1295" s="238"/>
      <c r="R1295" s="260"/>
      <c r="S1295" s="218"/>
      <c r="T1295" s="219"/>
      <c r="U1295" s="30"/>
      <c r="V1295" s="31"/>
      <c r="W1295" s="30"/>
      <c r="X1295" s="220" t="str">
        <f>IFERROR(VLOOKUP(H1295,NAICS!$A$4:$B$1072,2,FALSE),"Unknown")</f>
        <v>Unknown</v>
      </c>
      <c r="Y1295" s="139">
        <f t="shared" si="38"/>
        <v>0</v>
      </c>
      <c r="Z1295" s="9">
        <f t="shared" si="39"/>
        <v>1</v>
      </c>
    </row>
    <row r="1296" spans="1:26">
      <c r="A1296"/>
      <c r="E1296" s="32"/>
      <c r="F1296" s="32"/>
      <c r="G1296" s="32"/>
      <c r="H1296" s="9"/>
      <c r="I1296" s="9"/>
      <c r="K1296" s="217"/>
      <c r="L1296" s="217"/>
      <c r="M1296" s="256"/>
      <c r="N1296" s="226"/>
      <c r="O1296" s="257"/>
      <c r="P1296" s="235"/>
      <c r="Q1296" s="237"/>
      <c r="R1296" s="260"/>
      <c r="S1296" s="218"/>
      <c r="T1296" s="219"/>
      <c r="U1296" s="30"/>
      <c r="V1296" s="31"/>
      <c r="W1296" s="30"/>
      <c r="X1296" s="220" t="str">
        <f>IFERROR(VLOOKUP(H1296,NAICS!$A$4:$B$1072,2,FALSE),"Unknown")</f>
        <v>Unknown</v>
      </c>
      <c r="Y1296" s="139">
        <f t="shared" si="38"/>
        <v>0</v>
      </c>
      <c r="Z1296" s="9">
        <f t="shared" si="39"/>
        <v>1</v>
      </c>
    </row>
    <row r="1297" spans="1:26">
      <c r="A1297"/>
      <c r="E1297" s="32"/>
      <c r="F1297" s="32"/>
      <c r="G1297" s="32"/>
      <c r="H1297" s="9"/>
      <c r="I1297" s="9"/>
      <c r="K1297" s="217"/>
      <c r="L1297" s="217"/>
      <c r="M1297" s="256"/>
      <c r="N1297" s="226"/>
      <c r="O1297" s="257"/>
      <c r="P1297" s="235"/>
      <c r="Q1297" s="237"/>
      <c r="R1297" s="260"/>
      <c r="S1297" s="218"/>
      <c r="T1297" s="219"/>
      <c r="U1297" s="30"/>
      <c r="V1297" s="31"/>
      <c r="W1297" s="30"/>
      <c r="X1297" s="220" t="str">
        <f>IFERROR(VLOOKUP(H1297,NAICS!$A$4:$B$1072,2,FALSE),"Unknown")</f>
        <v>Unknown</v>
      </c>
      <c r="Y1297" s="139">
        <f t="shared" si="38"/>
        <v>0</v>
      </c>
      <c r="Z1297" s="9">
        <f t="shared" si="39"/>
        <v>1</v>
      </c>
    </row>
    <row r="1298" spans="1:26">
      <c r="A1298"/>
      <c r="E1298" s="242"/>
      <c r="F1298" s="227"/>
      <c r="G1298" s="227"/>
      <c r="H1298" s="232"/>
      <c r="I1298" s="9"/>
      <c r="K1298" s="217"/>
      <c r="L1298" s="217"/>
      <c r="M1298" s="256"/>
      <c r="N1298" s="176"/>
      <c r="O1298" s="257"/>
      <c r="P1298" s="236"/>
      <c r="Q1298" s="238"/>
      <c r="R1298" s="260"/>
      <c r="S1298" s="218"/>
      <c r="T1298" s="219"/>
      <c r="U1298" s="30"/>
      <c r="V1298" s="31"/>
      <c r="W1298" s="30"/>
      <c r="X1298" s="220" t="str">
        <f>IFERROR(VLOOKUP(H1298,NAICS!$A$4:$B$1072,2,FALSE),"Unknown")</f>
        <v>Unknown</v>
      </c>
      <c r="Y1298" s="139">
        <f t="shared" si="38"/>
        <v>0</v>
      </c>
      <c r="Z1298" s="9">
        <f t="shared" si="39"/>
        <v>1</v>
      </c>
    </row>
    <row r="1299" spans="1:26">
      <c r="A1299"/>
      <c r="E1299" s="242"/>
      <c r="F1299" s="214"/>
      <c r="G1299" s="214"/>
      <c r="H1299" s="232"/>
      <c r="I1299" s="9"/>
      <c r="K1299" s="217"/>
      <c r="L1299" s="217"/>
      <c r="M1299" s="256"/>
      <c r="N1299" s="176"/>
      <c r="O1299" s="257"/>
      <c r="P1299" s="236"/>
      <c r="Q1299" s="238"/>
      <c r="R1299" s="260"/>
      <c r="S1299" s="218"/>
      <c r="T1299" s="219"/>
      <c r="U1299" s="30"/>
      <c r="V1299" s="31"/>
      <c r="W1299" s="30"/>
      <c r="X1299" s="220" t="str">
        <f>IFERROR(VLOOKUP(H1299,NAICS!$A$4:$B$1072,2,FALSE),"Unknown")</f>
        <v>Unknown</v>
      </c>
      <c r="Y1299" s="139">
        <f t="shared" si="38"/>
        <v>0</v>
      </c>
      <c r="Z1299" s="9">
        <f t="shared" si="39"/>
        <v>1</v>
      </c>
    </row>
    <row r="1300" spans="1:26">
      <c r="A1300"/>
      <c r="E1300" s="242"/>
      <c r="F1300" s="214"/>
      <c r="G1300" s="214"/>
      <c r="H1300" s="232"/>
      <c r="I1300" s="9"/>
      <c r="K1300" s="217"/>
      <c r="L1300" s="217"/>
      <c r="M1300" s="256"/>
      <c r="N1300" s="176"/>
      <c r="O1300" s="257"/>
      <c r="P1300" s="236"/>
      <c r="Q1300" s="238"/>
      <c r="R1300" s="260"/>
      <c r="S1300" s="218"/>
      <c r="T1300" s="219"/>
      <c r="U1300" s="30"/>
      <c r="V1300" s="31"/>
      <c r="W1300" s="30"/>
      <c r="X1300" s="220" t="str">
        <f>IFERROR(VLOOKUP(H1300,NAICS!$A$4:$B$1072,2,FALSE),"Unknown")</f>
        <v>Unknown</v>
      </c>
      <c r="Y1300" s="139">
        <f t="shared" si="38"/>
        <v>0</v>
      </c>
      <c r="Z1300" s="9">
        <f t="shared" si="39"/>
        <v>1</v>
      </c>
    </row>
    <row r="1301" spans="1:26">
      <c r="A1301"/>
      <c r="E1301" s="32"/>
      <c r="F1301" s="32"/>
      <c r="G1301" s="32"/>
      <c r="H1301" s="9"/>
      <c r="I1301" s="9"/>
      <c r="K1301" s="217"/>
      <c r="L1301" s="217"/>
      <c r="M1301" s="256"/>
      <c r="N1301" s="226"/>
      <c r="O1301" s="257"/>
      <c r="P1301" s="235"/>
      <c r="Q1301" s="237"/>
      <c r="R1301" s="260"/>
      <c r="S1301" s="218"/>
      <c r="T1301" s="219"/>
      <c r="U1301" s="30"/>
      <c r="V1301" s="31"/>
      <c r="W1301" s="30"/>
      <c r="X1301" s="220" t="str">
        <f>IFERROR(VLOOKUP(H1301,NAICS!$A$4:$B$1072,2,FALSE),"Unknown")</f>
        <v>Unknown</v>
      </c>
      <c r="Y1301" s="139">
        <f t="shared" si="38"/>
        <v>0</v>
      </c>
      <c r="Z1301" s="9">
        <f t="shared" si="39"/>
        <v>1</v>
      </c>
    </row>
    <row r="1302" spans="1:26">
      <c r="A1302"/>
      <c r="E1302" s="242"/>
      <c r="F1302" s="214"/>
      <c r="G1302" s="214"/>
      <c r="H1302" s="232"/>
      <c r="I1302" s="9"/>
      <c r="K1302" s="217"/>
      <c r="L1302" s="217"/>
      <c r="M1302" s="256"/>
      <c r="N1302" s="176"/>
      <c r="O1302" s="257"/>
      <c r="P1302" s="236"/>
      <c r="Q1302" s="238"/>
      <c r="R1302" s="260"/>
      <c r="S1302" s="218"/>
      <c r="T1302" s="219"/>
      <c r="U1302" s="30"/>
      <c r="V1302" s="31"/>
      <c r="W1302" s="30"/>
      <c r="X1302" s="220" t="str">
        <f>IFERROR(VLOOKUP(H1302,NAICS!$A$4:$B$1072,2,FALSE),"Unknown")</f>
        <v>Unknown</v>
      </c>
      <c r="Y1302" s="139">
        <f t="shared" si="38"/>
        <v>0</v>
      </c>
      <c r="Z1302" s="9">
        <f t="shared" si="39"/>
        <v>1</v>
      </c>
    </row>
    <row r="1303" spans="1:26">
      <c r="A1303"/>
      <c r="E1303" s="32"/>
      <c r="F1303" s="32"/>
      <c r="G1303" s="32"/>
      <c r="H1303" s="9"/>
      <c r="I1303" s="9"/>
      <c r="K1303" s="217"/>
      <c r="L1303" s="217"/>
      <c r="M1303" s="256"/>
      <c r="N1303" s="226"/>
      <c r="O1303" s="257"/>
      <c r="P1303" s="235"/>
      <c r="Q1303" s="237"/>
      <c r="R1303" s="260"/>
      <c r="S1303" s="218"/>
      <c r="T1303" s="219"/>
      <c r="U1303" s="30"/>
      <c r="V1303" s="31"/>
      <c r="W1303" s="30"/>
      <c r="X1303" s="220" t="str">
        <f>IFERROR(VLOOKUP(H1303,NAICS!$A$4:$B$1072,2,FALSE),"Unknown")</f>
        <v>Unknown</v>
      </c>
      <c r="Y1303" s="139">
        <f t="shared" si="38"/>
        <v>0</v>
      </c>
      <c r="Z1303" s="9">
        <f t="shared" si="39"/>
        <v>1</v>
      </c>
    </row>
    <row r="1304" spans="1:26">
      <c r="A1304"/>
      <c r="E1304" s="32"/>
      <c r="F1304" s="32"/>
      <c r="G1304" s="32"/>
      <c r="H1304" s="9"/>
      <c r="I1304" s="9"/>
      <c r="K1304" s="217"/>
      <c r="L1304" s="217"/>
      <c r="M1304" s="256"/>
      <c r="N1304" s="226"/>
      <c r="O1304" s="257"/>
      <c r="P1304" s="235"/>
      <c r="Q1304" s="237"/>
      <c r="R1304" s="260"/>
      <c r="S1304" s="218"/>
      <c r="T1304" s="219"/>
      <c r="U1304" s="30"/>
      <c r="V1304" s="31"/>
      <c r="W1304" s="30"/>
      <c r="X1304" s="220" t="str">
        <f>IFERROR(VLOOKUP(H1304,NAICS!$A$4:$B$1072,2,FALSE),"Unknown")</f>
        <v>Unknown</v>
      </c>
      <c r="Y1304" s="139">
        <f t="shared" si="38"/>
        <v>0</v>
      </c>
      <c r="Z1304" s="9">
        <f t="shared" si="39"/>
        <v>1</v>
      </c>
    </row>
    <row r="1305" spans="1:26">
      <c r="A1305"/>
      <c r="E1305" s="242"/>
      <c r="F1305" s="214"/>
      <c r="G1305" s="214"/>
      <c r="H1305" s="232"/>
      <c r="I1305" s="9"/>
      <c r="K1305" s="217"/>
      <c r="L1305" s="217"/>
      <c r="M1305" s="256"/>
      <c r="N1305" s="176"/>
      <c r="O1305" s="257"/>
      <c r="P1305" s="236"/>
      <c r="Q1305" s="238"/>
      <c r="R1305" s="260"/>
      <c r="S1305" s="218"/>
      <c r="T1305" s="219"/>
      <c r="U1305" s="30"/>
      <c r="V1305" s="31"/>
      <c r="W1305" s="30"/>
      <c r="X1305" s="220" t="str">
        <f>IFERROR(VLOOKUP(H1305,NAICS!$A$4:$B$1072,2,FALSE),"Unknown")</f>
        <v>Unknown</v>
      </c>
      <c r="Y1305" s="139">
        <f t="shared" si="38"/>
        <v>0</v>
      </c>
      <c r="Z1305" s="9">
        <f t="shared" si="39"/>
        <v>1</v>
      </c>
    </row>
    <row r="1306" spans="1:26">
      <c r="A1306"/>
      <c r="E1306" s="32"/>
      <c r="F1306" s="32"/>
      <c r="G1306" s="32"/>
      <c r="H1306" s="9"/>
      <c r="I1306" s="9"/>
      <c r="K1306" s="217"/>
      <c r="L1306" s="217"/>
      <c r="M1306" s="256"/>
      <c r="N1306" s="226"/>
      <c r="O1306" s="257"/>
      <c r="P1306" s="235"/>
      <c r="Q1306" s="237"/>
      <c r="R1306" s="260"/>
      <c r="S1306" s="218"/>
      <c r="T1306" s="219"/>
      <c r="U1306" s="30"/>
      <c r="V1306" s="31"/>
      <c r="W1306" s="30"/>
      <c r="X1306" s="220" t="str">
        <f>IFERROR(VLOOKUP(H1306,NAICS!$A$4:$B$1072,2,FALSE),"Unknown")</f>
        <v>Unknown</v>
      </c>
      <c r="Y1306" s="139">
        <f t="shared" si="38"/>
        <v>0</v>
      </c>
      <c r="Z1306" s="9">
        <f t="shared" si="39"/>
        <v>1</v>
      </c>
    </row>
    <row r="1307" spans="1:26">
      <c r="A1307"/>
      <c r="E1307" s="242"/>
      <c r="F1307" s="29"/>
      <c r="G1307" s="29"/>
      <c r="H1307" s="29"/>
      <c r="I1307" s="9"/>
      <c r="K1307" s="217"/>
      <c r="L1307" s="217"/>
      <c r="M1307" s="256"/>
      <c r="N1307" s="176"/>
      <c r="O1307" s="257"/>
      <c r="P1307" s="236"/>
      <c r="Q1307" s="238"/>
      <c r="R1307" s="260"/>
      <c r="S1307" s="218"/>
      <c r="T1307" s="219"/>
      <c r="U1307" s="30"/>
      <c r="V1307" s="31"/>
      <c r="W1307" s="30"/>
      <c r="X1307" s="220" t="str">
        <f>IFERROR(VLOOKUP(H1307,NAICS!$A$4:$B$1072,2,FALSE),"Unknown")</f>
        <v>Unknown</v>
      </c>
      <c r="Y1307" s="139">
        <f t="shared" si="38"/>
        <v>0</v>
      </c>
      <c r="Z1307" s="9">
        <f t="shared" si="39"/>
        <v>1</v>
      </c>
    </row>
    <row r="1308" spans="1:26">
      <c r="A1308"/>
      <c r="E1308" s="32"/>
      <c r="F1308" s="32"/>
      <c r="G1308" s="32"/>
      <c r="H1308" s="9"/>
      <c r="I1308" s="9"/>
      <c r="K1308" s="217"/>
      <c r="L1308" s="217"/>
      <c r="M1308" s="256"/>
      <c r="N1308" s="226"/>
      <c r="O1308" s="257"/>
      <c r="P1308" s="235"/>
      <c r="Q1308" s="237"/>
      <c r="R1308" s="260"/>
      <c r="S1308" s="218"/>
      <c r="T1308" s="219"/>
      <c r="U1308" s="30"/>
      <c r="V1308" s="31"/>
      <c r="W1308" s="30"/>
      <c r="X1308" s="220" t="str">
        <f>IFERROR(VLOOKUP(H1308,NAICS!$A$4:$B$1072,2,FALSE),"Unknown")</f>
        <v>Unknown</v>
      </c>
      <c r="Y1308" s="139">
        <f t="shared" si="38"/>
        <v>0</v>
      </c>
      <c r="Z1308" s="9">
        <f t="shared" si="39"/>
        <v>1</v>
      </c>
    </row>
    <row r="1309" spans="1:26">
      <c r="A1309"/>
      <c r="E1309" s="242"/>
      <c r="F1309" s="214"/>
      <c r="G1309" s="214"/>
      <c r="H1309" s="232"/>
      <c r="I1309" s="9"/>
      <c r="K1309" s="217"/>
      <c r="L1309" s="217"/>
      <c r="M1309" s="256"/>
      <c r="N1309" s="176"/>
      <c r="O1309" s="257"/>
      <c r="P1309" s="236"/>
      <c r="Q1309" s="238"/>
      <c r="R1309" s="260"/>
      <c r="S1309" s="218"/>
      <c r="T1309" s="219"/>
      <c r="U1309" s="30"/>
      <c r="V1309" s="31"/>
      <c r="W1309" s="30"/>
      <c r="X1309" s="220" t="str">
        <f>IFERROR(VLOOKUP(H1309,NAICS!$A$4:$B$1072,2,FALSE),"Unknown")</f>
        <v>Unknown</v>
      </c>
      <c r="Y1309" s="139">
        <f t="shared" si="38"/>
        <v>0</v>
      </c>
      <c r="Z1309" s="9">
        <f t="shared" si="39"/>
        <v>1</v>
      </c>
    </row>
    <row r="1310" spans="1:26">
      <c r="A1310"/>
      <c r="E1310" s="32"/>
      <c r="F1310" s="32"/>
      <c r="G1310" s="32"/>
      <c r="H1310" s="9"/>
      <c r="I1310" s="9"/>
      <c r="K1310" s="217"/>
      <c r="L1310" s="217"/>
      <c r="M1310" s="256"/>
      <c r="N1310" s="226"/>
      <c r="O1310" s="257"/>
      <c r="P1310" s="235"/>
      <c r="Q1310" s="237"/>
      <c r="R1310" s="260"/>
      <c r="S1310" s="218"/>
      <c r="T1310" s="219"/>
      <c r="U1310" s="30"/>
      <c r="V1310" s="31"/>
      <c r="W1310" s="30"/>
      <c r="X1310" s="220" t="str">
        <f>IFERROR(VLOOKUP(H1310,NAICS!$A$4:$B$1072,2,FALSE),"Unknown")</f>
        <v>Unknown</v>
      </c>
      <c r="Y1310" s="139">
        <f t="shared" si="38"/>
        <v>0</v>
      </c>
      <c r="Z1310" s="9">
        <f t="shared" si="39"/>
        <v>1</v>
      </c>
    </row>
    <row r="1311" spans="1:26">
      <c r="A1311"/>
      <c r="E1311" s="242"/>
      <c r="F1311" s="214"/>
      <c r="G1311" s="214"/>
      <c r="H1311" s="232"/>
      <c r="I1311" s="9"/>
      <c r="K1311" s="217"/>
      <c r="L1311" s="217"/>
      <c r="M1311" s="256"/>
      <c r="N1311" s="176"/>
      <c r="O1311" s="257"/>
      <c r="P1311" s="236"/>
      <c r="Q1311" s="238"/>
      <c r="R1311" s="260"/>
      <c r="S1311" s="218"/>
      <c r="T1311" s="219"/>
      <c r="U1311" s="30"/>
      <c r="V1311" s="31"/>
      <c r="W1311" s="30"/>
      <c r="X1311" s="220" t="str">
        <f>IFERROR(VLOOKUP(H1311,NAICS!$A$4:$B$1072,2,FALSE),"Unknown")</f>
        <v>Unknown</v>
      </c>
      <c r="Y1311" s="139">
        <f t="shared" si="38"/>
        <v>0</v>
      </c>
      <c r="Z1311" s="9">
        <f t="shared" si="39"/>
        <v>1</v>
      </c>
    </row>
    <row r="1312" spans="1:26">
      <c r="A1312"/>
      <c r="E1312" s="32"/>
      <c r="F1312" s="32"/>
      <c r="G1312" s="32"/>
      <c r="H1312" s="9"/>
      <c r="I1312" s="9"/>
      <c r="K1312" s="217"/>
      <c r="L1312" s="217"/>
      <c r="M1312" s="256"/>
      <c r="N1312" s="226"/>
      <c r="O1312" s="257"/>
      <c r="P1312" s="235"/>
      <c r="Q1312" s="237"/>
      <c r="R1312" s="260"/>
      <c r="S1312" s="218"/>
      <c r="T1312" s="219"/>
      <c r="U1312" s="30"/>
      <c r="V1312" s="31"/>
      <c r="W1312" s="30"/>
      <c r="X1312" s="220" t="str">
        <f>IFERROR(VLOOKUP(H1312,NAICS!$A$4:$B$1072,2,FALSE),"Unknown")</f>
        <v>Unknown</v>
      </c>
      <c r="Y1312" s="139">
        <f t="shared" si="38"/>
        <v>0</v>
      </c>
      <c r="Z1312" s="9">
        <f t="shared" si="39"/>
        <v>1</v>
      </c>
    </row>
    <row r="1313" spans="1:26">
      <c r="A1313"/>
      <c r="E1313" s="242"/>
      <c r="F1313" s="214"/>
      <c r="G1313" s="214"/>
      <c r="H1313" s="232"/>
      <c r="I1313" s="9"/>
      <c r="K1313" s="217"/>
      <c r="L1313" s="217"/>
      <c r="M1313" s="256"/>
      <c r="N1313" s="176"/>
      <c r="O1313" s="257"/>
      <c r="P1313" s="236"/>
      <c r="Q1313" s="238"/>
      <c r="R1313" s="260"/>
      <c r="S1313" s="218"/>
      <c r="T1313" s="219"/>
      <c r="U1313" s="30"/>
      <c r="V1313" s="31"/>
      <c r="W1313" s="30"/>
      <c r="X1313" s="220" t="str">
        <f>IFERROR(VLOOKUP(H1313,NAICS!$A$4:$B$1072,2,FALSE),"Unknown")</f>
        <v>Unknown</v>
      </c>
      <c r="Y1313" s="139">
        <f t="shared" si="38"/>
        <v>0</v>
      </c>
      <c r="Z1313" s="9">
        <f t="shared" si="39"/>
        <v>1</v>
      </c>
    </row>
    <row r="1314" spans="1:26">
      <c r="A1314"/>
      <c r="E1314" s="242"/>
      <c r="F1314" s="214"/>
      <c r="G1314" s="214"/>
      <c r="H1314" s="232"/>
      <c r="I1314" s="9"/>
      <c r="K1314" s="217"/>
      <c r="L1314" s="217"/>
      <c r="M1314" s="256"/>
      <c r="N1314" s="176"/>
      <c r="O1314" s="257"/>
      <c r="P1314" s="236"/>
      <c r="Q1314" s="238"/>
      <c r="R1314" s="260"/>
      <c r="S1314" s="218"/>
      <c r="T1314" s="219"/>
      <c r="U1314" s="30"/>
      <c r="V1314" s="31"/>
      <c r="W1314" s="30"/>
      <c r="X1314" s="220" t="str">
        <f>IFERROR(VLOOKUP(H1314,NAICS!$A$4:$B$1072,2,FALSE),"Unknown")</f>
        <v>Unknown</v>
      </c>
      <c r="Y1314" s="139">
        <f t="shared" si="38"/>
        <v>0</v>
      </c>
      <c r="Z1314" s="9">
        <f t="shared" si="39"/>
        <v>1</v>
      </c>
    </row>
    <row r="1315" spans="1:26">
      <c r="A1315"/>
      <c r="E1315" s="32"/>
      <c r="F1315" s="32"/>
      <c r="G1315" s="32"/>
      <c r="H1315" s="9"/>
      <c r="I1315" s="9"/>
      <c r="K1315" s="217"/>
      <c r="L1315" s="217"/>
      <c r="M1315" s="256"/>
      <c r="N1315" s="226"/>
      <c r="O1315" s="257"/>
      <c r="P1315" s="235"/>
      <c r="Q1315" s="237"/>
      <c r="R1315" s="260"/>
      <c r="S1315" s="218"/>
      <c r="T1315" s="219"/>
      <c r="U1315" s="30"/>
      <c r="V1315" s="31"/>
      <c r="W1315" s="30"/>
      <c r="X1315" s="220" t="str">
        <f>IFERROR(VLOOKUP(H1315,NAICS!$A$4:$B$1072,2,FALSE),"Unknown")</f>
        <v>Unknown</v>
      </c>
      <c r="Y1315" s="139">
        <f t="shared" si="38"/>
        <v>0</v>
      </c>
      <c r="Z1315" s="9">
        <f t="shared" si="39"/>
        <v>1</v>
      </c>
    </row>
    <row r="1316" spans="1:26">
      <c r="A1316"/>
      <c r="E1316" s="32"/>
      <c r="F1316" s="32"/>
      <c r="G1316" s="32"/>
      <c r="H1316" s="9"/>
      <c r="I1316" s="9"/>
      <c r="K1316" s="217"/>
      <c r="L1316" s="217"/>
      <c r="M1316" s="256"/>
      <c r="N1316" s="226"/>
      <c r="O1316" s="257"/>
      <c r="P1316" s="235"/>
      <c r="Q1316" s="237"/>
      <c r="R1316" s="260"/>
      <c r="S1316" s="218"/>
      <c r="T1316" s="219"/>
      <c r="U1316" s="30"/>
      <c r="V1316" s="31"/>
      <c r="W1316" s="30"/>
      <c r="X1316" s="220" t="str">
        <f>IFERROR(VLOOKUP(H1316,NAICS!$A$4:$B$1072,2,FALSE),"Unknown")</f>
        <v>Unknown</v>
      </c>
      <c r="Y1316" s="139">
        <f t="shared" si="38"/>
        <v>0</v>
      </c>
      <c r="Z1316" s="9">
        <f t="shared" si="39"/>
        <v>1</v>
      </c>
    </row>
    <row r="1317" spans="1:26">
      <c r="A1317"/>
      <c r="E1317" s="242"/>
      <c r="F1317" s="214"/>
      <c r="G1317" s="214"/>
      <c r="H1317" s="232"/>
      <c r="I1317" s="9"/>
      <c r="K1317" s="217"/>
      <c r="L1317" s="217"/>
      <c r="M1317" s="256"/>
      <c r="N1317" s="176"/>
      <c r="O1317" s="257"/>
      <c r="P1317" s="236"/>
      <c r="Q1317" s="238"/>
      <c r="R1317" s="260"/>
      <c r="S1317" s="218"/>
      <c r="T1317" s="219"/>
      <c r="U1317" s="30"/>
      <c r="V1317" s="31"/>
      <c r="W1317" s="30"/>
      <c r="X1317" s="220" t="str">
        <f>IFERROR(VLOOKUP(H1317,NAICS!$A$4:$B$1072,2,FALSE),"Unknown")</f>
        <v>Unknown</v>
      </c>
      <c r="Y1317" s="139">
        <f t="shared" si="38"/>
        <v>0</v>
      </c>
      <c r="Z1317" s="9">
        <f t="shared" si="39"/>
        <v>1</v>
      </c>
    </row>
    <row r="1318" spans="1:26">
      <c r="A1318"/>
      <c r="E1318" s="242"/>
      <c r="F1318" s="227"/>
      <c r="G1318" s="227"/>
      <c r="H1318" s="233"/>
      <c r="I1318" s="9"/>
      <c r="K1318" s="217"/>
      <c r="L1318" s="217"/>
      <c r="M1318" s="256"/>
      <c r="N1318" s="176"/>
      <c r="O1318" s="257"/>
      <c r="P1318" s="236"/>
      <c r="Q1318" s="238"/>
      <c r="R1318" s="260"/>
      <c r="S1318" s="218"/>
      <c r="T1318" s="219"/>
      <c r="U1318" s="30"/>
      <c r="V1318" s="31"/>
      <c r="W1318" s="30"/>
      <c r="X1318" s="220" t="str">
        <f>IFERROR(VLOOKUP(H1318,NAICS!$A$4:$B$1072,2,FALSE),"Unknown")</f>
        <v>Unknown</v>
      </c>
      <c r="Y1318" s="139">
        <f t="shared" si="38"/>
        <v>0</v>
      </c>
      <c r="Z1318" s="9">
        <f t="shared" si="39"/>
        <v>1</v>
      </c>
    </row>
    <row r="1319" spans="1:26">
      <c r="A1319"/>
      <c r="E1319" s="32"/>
      <c r="F1319" s="32"/>
      <c r="G1319" s="32"/>
      <c r="H1319" s="9"/>
      <c r="I1319" s="9"/>
      <c r="K1319" s="217"/>
      <c r="L1319" s="217"/>
      <c r="M1319" s="256"/>
      <c r="N1319" s="226"/>
      <c r="O1319" s="257"/>
      <c r="P1319" s="235"/>
      <c r="Q1319" s="237"/>
      <c r="R1319" s="260"/>
      <c r="S1319" s="218"/>
      <c r="T1319" s="219"/>
      <c r="U1319" s="30"/>
      <c r="V1319" s="31"/>
      <c r="W1319" s="30"/>
      <c r="X1319" s="220" t="str">
        <f>IFERROR(VLOOKUP(H1319,NAICS!$A$4:$B$1072,2,FALSE),"Unknown")</f>
        <v>Unknown</v>
      </c>
      <c r="Y1319" s="139">
        <f t="shared" si="38"/>
        <v>0</v>
      </c>
      <c r="Z1319" s="9">
        <f t="shared" si="39"/>
        <v>1</v>
      </c>
    </row>
    <row r="1320" spans="1:26">
      <c r="A1320"/>
      <c r="E1320" s="242"/>
      <c r="F1320" s="227"/>
      <c r="G1320" s="227"/>
      <c r="H1320" s="233"/>
      <c r="I1320" s="9"/>
      <c r="K1320" s="217"/>
      <c r="L1320" s="217"/>
      <c r="M1320" s="256"/>
      <c r="N1320" s="176"/>
      <c r="O1320" s="257"/>
      <c r="P1320" s="236"/>
      <c r="Q1320" s="238"/>
      <c r="R1320" s="260"/>
      <c r="S1320" s="218"/>
      <c r="T1320" s="219"/>
      <c r="U1320" s="30"/>
      <c r="V1320" s="31"/>
      <c r="W1320" s="30"/>
      <c r="X1320" s="220" t="str">
        <f>IFERROR(VLOOKUP(H1320,NAICS!$A$4:$B$1072,2,FALSE),"Unknown")</f>
        <v>Unknown</v>
      </c>
      <c r="Y1320" s="139">
        <f t="shared" si="38"/>
        <v>0</v>
      </c>
      <c r="Z1320" s="9">
        <f t="shared" si="39"/>
        <v>1</v>
      </c>
    </row>
    <row r="1321" spans="1:26">
      <c r="A1321"/>
      <c r="E1321" s="242"/>
      <c r="F1321" s="214"/>
      <c r="G1321" s="214"/>
      <c r="H1321" s="232"/>
      <c r="I1321" s="9"/>
      <c r="K1321" s="217"/>
      <c r="L1321" s="217"/>
      <c r="M1321" s="256"/>
      <c r="N1321" s="176"/>
      <c r="O1321" s="257"/>
      <c r="P1321" s="236"/>
      <c r="Q1321" s="238"/>
      <c r="R1321" s="260"/>
      <c r="S1321" s="218"/>
      <c r="T1321" s="219"/>
      <c r="U1321" s="30"/>
      <c r="V1321" s="31"/>
      <c r="W1321" s="30"/>
      <c r="X1321" s="220" t="str">
        <f>IFERROR(VLOOKUP(H1321,NAICS!$A$4:$B$1072,2,FALSE),"Unknown")</f>
        <v>Unknown</v>
      </c>
      <c r="Y1321" s="139">
        <f t="shared" si="38"/>
        <v>0</v>
      </c>
      <c r="Z1321" s="9">
        <f t="shared" si="39"/>
        <v>1</v>
      </c>
    </row>
    <row r="1322" spans="1:26">
      <c r="A1322"/>
      <c r="E1322" s="242"/>
      <c r="F1322" s="29"/>
      <c r="G1322" s="29"/>
      <c r="H1322" s="29"/>
      <c r="I1322" s="9"/>
      <c r="K1322" s="217"/>
      <c r="L1322" s="217"/>
      <c r="M1322" s="256"/>
      <c r="N1322" s="176"/>
      <c r="O1322" s="257"/>
      <c r="P1322" s="236"/>
      <c r="Q1322" s="238"/>
      <c r="R1322" s="260"/>
      <c r="S1322" s="218"/>
      <c r="T1322" s="219"/>
      <c r="U1322" s="30"/>
      <c r="V1322" s="31"/>
      <c r="W1322" s="30"/>
      <c r="X1322" s="220" t="str">
        <f>IFERROR(VLOOKUP(H1322,NAICS!$A$4:$B$1072,2,FALSE),"Unknown")</f>
        <v>Unknown</v>
      </c>
      <c r="Y1322" s="139">
        <f t="shared" si="38"/>
        <v>0</v>
      </c>
      <c r="Z1322" s="9">
        <f t="shared" si="39"/>
        <v>1</v>
      </c>
    </row>
    <row r="1323" spans="1:26">
      <c r="A1323"/>
      <c r="E1323" s="32"/>
      <c r="F1323" s="32"/>
      <c r="G1323" s="32"/>
      <c r="H1323" s="9"/>
      <c r="I1323" s="9"/>
      <c r="K1323" s="217"/>
      <c r="L1323" s="217"/>
      <c r="M1323" s="256"/>
      <c r="N1323" s="226"/>
      <c r="O1323" s="257"/>
      <c r="P1323" s="235"/>
      <c r="Q1323" s="237"/>
      <c r="R1323" s="260"/>
      <c r="S1323" s="218"/>
      <c r="T1323" s="219"/>
      <c r="U1323" s="30"/>
      <c r="V1323" s="31"/>
      <c r="W1323" s="30"/>
      <c r="X1323" s="220" t="str">
        <f>IFERROR(VLOOKUP(H1323,NAICS!$A$4:$B$1072,2,FALSE),"Unknown")</f>
        <v>Unknown</v>
      </c>
      <c r="Y1323" s="139">
        <f t="shared" si="38"/>
        <v>0</v>
      </c>
      <c r="Z1323" s="9">
        <f t="shared" si="39"/>
        <v>1</v>
      </c>
    </row>
    <row r="1324" spans="1:26">
      <c r="A1324"/>
      <c r="E1324" s="242"/>
      <c r="F1324" s="214"/>
      <c r="G1324" s="214"/>
      <c r="H1324" s="232"/>
      <c r="I1324" s="9"/>
      <c r="K1324" s="217"/>
      <c r="L1324" s="217"/>
      <c r="M1324" s="256"/>
      <c r="N1324" s="176"/>
      <c r="O1324" s="257"/>
      <c r="P1324" s="236"/>
      <c r="Q1324" s="238"/>
      <c r="R1324" s="260"/>
      <c r="S1324" s="218"/>
      <c r="T1324" s="219"/>
      <c r="U1324" s="30"/>
      <c r="V1324" s="31"/>
      <c r="W1324" s="30"/>
      <c r="X1324" s="220" t="str">
        <f>IFERROR(VLOOKUP(H1324,NAICS!$A$4:$B$1072,2,FALSE),"Unknown")</f>
        <v>Unknown</v>
      </c>
      <c r="Y1324" s="139">
        <f t="shared" si="38"/>
        <v>0</v>
      </c>
      <c r="Z1324" s="9">
        <f t="shared" si="39"/>
        <v>1</v>
      </c>
    </row>
    <row r="1325" spans="1:26">
      <c r="A1325"/>
      <c r="E1325" s="242"/>
      <c r="F1325" s="58"/>
      <c r="G1325" s="58"/>
      <c r="H1325" s="234"/>
      <c r="I1325" s="9"/>
      <c r="K1325" s="217"/>
      <c r="L1325" s="217"/>
      <c r="M1325" s="256"/>
      <c r="N1325" s="176"/>
      <c r="O1325" s="257"/>
      <c r="P1325" s="236"/>
      <c r="Q1325" s="238"/>
      <c r="R1325" s="260"/>
      <c r="S1325" s="218"/>
      <c r="T1325" s="219"/>
      <c r="U1325" s="30"/>
      <c r="V1325" s="31"/>
      <c r="W1325" s="30"/>
      <c r="X1325" s="220" t="str">
        <f>IFERROR(VLOOKUP(H1325,NAICS!$A$4:$B$1072,2,FALSE),"Unknown")</f>
        <v>Unknown</v>
      </c>
      <c r="Y1325" s="139">
        <f t="shared" si="38"/>
        <v>0</v>
      </c>
      <c r="Z1325" s="9">
        <f t="shared" si="39"/>
        <v>1</v>
      </c>
    </row>
    <row r="1326" spans="1:26">
      <c r="A1326"/>
      <c r="E1326" s="242"/>
      <c r="F1326" s="227"/>
      <c r="G1326" s="227"/>
      <c r="H1326" s="233"/>
      <c r="I1326" s="9"/>
      <c r="K1326" s="217"/>
      <c r="L1326" s="217"/>
      <c r="M1326" s="256"/>
      <c r="N1326" s="176"/>
      <c r="O1326" s="257"/>
      <c r="P1326" s="236"/>
      <c r="Q1326" s="238"/>
      <c r="R1326" s="260"/>
      <c r="S1326" s="218"/>
      <c r="T1326" s="219"/>
      <c r="U1326" s="30"/>
      <c r="V1326" s="31"/>
      <c r="W1326" s="30"/>
      <c r="X1326" s="220" t="str">
        <f>IFERROR(VLOOKUP(H1326,NAICS!$A$4:$B$1072,2,FALSE),"Unknown")</f>
        <v>Unknown</v>
      </c>
      <c r="Y1326" s="139">
        <f t="shared" si="38"/>
        <v>0</v>
      </c>
      <c r="Z1326" s="9">
        <f t="shared" si="39"/>
        <v>1</v>
      </c>
    </row>
    <row r="1327" spans="1:26">
      <c r="A1327"/>
      <c r="E1327" s="32"/>
      <c r="F1327" s="32"/>
      <c r="G1327" s="32"/>
      <c r="H1327" s="9"/>
      <c r="I1327" s="9"/>
      <c r="K1327" s="217"/>
      <c r="L1327" s="217"/>
      <c r="M1327" s="256"/>
      <c r="N1327" s="226"/>
      <c r="O1327" s="257"/>
      <c r="P1327" s="235"/>
      <c r="Q1327" s="237"/>
      <c r="R1327" s="260"/>
      <c r="S1327" s="218"/>
      <c r="T1327" s="219"/>
      <c r="U1327" s="30"/>
      <c r="V1327" s="31"/>
      <c r="W1327" s="30"/>
      <c r="X1327" s="220" t="str">
        <f>IFERROR(VLOOKUP(H1327,NAICS!$A$4:$B$1072,2,FALSE),"Unknown")</f>
        <v>Unknown</v>
      </c>
      <c r="Y1327" s="139">
        <f t="shared" si="38"/>
        <v>0</v>
      </c>
      <c r="Z1327" s="9">
        <f t="shared" si="39"/>
        <v>1</v>
      </c>
    </row>
    <row r="1328" spans="1:26">
      <c r="A1328"/>
      <c r="E1328" s="32"/>
      <c r="F1328" s="32"/>
      <c r="G1328" s="32"/>
      <c r="H1328" s="9"/>
      <c r="I1328" s="9"/>
      <c r="K1328" s="217"/>
      <c r="L1328" s="217"/>
      <c r="M1328" s="256"/>
      <c r="N1328" s="226"/>
      <c r="O1328" s="257"/>
      <c r="P1328" s="235"/>
      <c r="Q1328" s="237"/>
      <c r="R1328" s="260"/>
      <c r="S1328" s="218"/>
      <c r="T1328" s="219"/>
      <c r="U1328" s="30"/>
      <c r="V1328" s="31"/>
      <c r="W1328" s="30"/>
      <c r="X1328" s="220" t="str">
        <f>IFERROR(VLOOKUP(H1328,NAICS!$A$4:$B$1072,2,FALSE),"Unknown")</f>
        <v>Unknown</v>
      </c>
      <c r="Y1328" s="139">
        <f t="shared" si="38"/>
        <v>0</v>
      </c>
      <c r="Z1328" s="9">
        <f t="shared" si="39"/>
        <v>1</v>
      </c>
    </row>
    <row r="1329" spans="1:26">
      <c r="A1329"/>
      <c r="E1329" s="242"/>
      <c r="F1329" s="227"/>
      <c r="G1329" s="227"/>
      <c r="H1329" s="233"/>
      <c r="I1329" s="9"/>
      <c r="K1329" s="217"/>
      <c r="L1329" s="217"/>
      <c r="M1329" s="256"/>
      <c r="N1329" s="176"/>
      <c r="O1329" s="257"/>
      <c r="P1329" s="236"/>
      <c r="Q1329" s="238"/>
      <c r="R1329" s="260"/>
      <c r="S1329" s="218"/>
      <c r="T1329" s="219"/>
      <c r="U1329" s="30"/>
      <c r="V1329" s="31"/>
      <c r="W1329" s="30"/>
      <c r="X1329" s="220" t="str">
        <f>IFERROR(VLOOKUP(H1329,NAICS!$A$4:$B$1072,2,FALSE),"Unknown")</f>
        <v>Unknown</v>
      </c>
      <c r="Y1329" s="139">
        <f t="shared" si="38"/>
        <v>0</v>
      </c>
      <c r="Z1329" s="9">
        <f t="shared" si="39"/>
        <v>1</v>
      </c>
    </row>
    <row r="1330" spans="1:26">
      <c r="A1330"/>
      <c r="E1330" s="32"/>
      <c r="F1330" s="32"/>
      <c r="G1330" s="32"/>
      <c r="H1330" s="9"/>
      <c r="I1330" s="9"/>
      <c r="K1330" s="217"/>
      <c r="L1330" s="217"/>
      <c r="M1330" s="256"/>
      <c r="N1330" s="226"/>
      <c r="O1330" s="257"/>
      <c r="P1330" s="235"/>
      <c r="Q1330" s="237"/>
      <c r="R1330" s="260"/>
      <c r="S1330" s="218"/>
      <c r="T1330" s="219"/>
      <c r="U1330" s="30"/>
      <c r="V1330" s="31"/>
      <c r="W1330" s="30"/>
      <c r="X1330" s="220" t="str">
        <f>IFERROR(VLOOKUP(H1330,NAICS!$A$4:$B$1072,2,FALSE),"Unknown")</f>
        <v>Unknown</v>
      </c>
      <c r="Y1330" s="139">
        <f t="shared" si="38"/>
        <v>0</v>
      </c>
      <c r="Z1330" s="9">
        <f t="shared" si="39"/>
        <v>1</v>
      </c>
    </row>
    <row r="1331" spans="1:26">
      <c r="A1331"/>
      <c r="E1331" s="32"/>
      <c r="F1331" s="32"/>
      <c r="G1331" s="32"/>
      <c r="H1331" s="9"/>
      <c r="I1331" s="9"/>
      <c r="K1331" s="217"/>
      <c r="L1331" s="217"/>
      <c r="M1331" s="256"/>
      <c r="N1331" s="226"/>
      <c r="O1331" s="257"/>
      <c r="P1331" s="235"/>
      <c r="Q1331" s="237"/>
      <c r="R1331" s="260"/>
      <c r="S1331" s="218"/>
      <c r="T1331" s="219"/>
      <c r="U1331" s="30"/>
      <c r="V1331" s="31"/>
      <c r="W1331" s="30"/>
      <c r="X1331" s="220" t="str">
        <f>IFERROR(VLOOKUP(H1331,NAICS!$A$4:$B$1072,2,FALSE),"Unknown")</f>
        <v>Unknown</v>
      </c>
      <c r="Y1331" s="139">
        <f t="shared" si="38"/>
        <v>0</v>
      </c>
      <c r="Z1331" s="9">
        <f t="shared" si="39"/>
        <v>1</v>
      </c>
    </row>
    <row r="1332" spans="1:26">
      <c r="A1332"/>
      <c r="E1332" s="32"/>
      <c r="F1332" s="32"/>
      <c r="G1332" s="32"/>
      <c r="H1332" s="9"/>
      <c r="I1332" s="9"/>
      <c r="K1332" s="217"/>
      <c r="L1332" s="217"/>
      <c r="M1332" s="256"/>
      <c r="N1332" s="226"/>
      <c r="O1332" s="257"/>
      <c r="P1332" s="235"/>
      <c r="Q1332" s="237"/>
      <c r="R1332" s="260"/>
      <c r="S1332" s="218"/>
      <c r="T1332" s="219"/>
      <c r="U1332" s="30"/>
      <c r="V1332" s="31"/>
      <c r="W1332" s="30"/>
      <c r="X1332" s="220" t="str">
        <f>IFERROR(VLOOKUP(H1332,NAICS!$A$4:$B$1072,2,FALSE),"Unknown")</f>
        <v>Unknown</v>
      </c>
      <c r="Y1332" s="139">
        <f t="shared" si="38"/>
        <v>0</v>
      </c>
      <c r="Z1332" s="9">
        <f t="shared" si="39"/>
        <v>1</v>
      </c>
    </row>
    <row r="1333" spans="1:26">
      <c r="A1333"/>
      <c r="E1333" s="242"/>
      <c r="F1333" s="227"/>
      <c r="G1333" s="227"/>
      <c r="H1333" s="233"/>
      <c r="I1333" s="9"/>
      <c r="K1333" s="217"/>
      <c r="L1333" s="217"/>
      <c r="M1333" s="256"/>
      <c r="N1333" s="176"/>
      <c r="O1333" s="257"/>
      <c r="P1333" s="236"/>
      <c r="Q1333" s="238"/>
      <c r="R1333" s="260"/>
      <c r="S1333" s="218"/>
      <c r="T1333" s="219"/>
      <c r="U1333" s="30"/>
      <c r="V1333" s="31"/>
      <c r="W1333" s="30"/>
      <c r="X1333" s="220" t="str">
        <f>IFERROR(VLOOKUP(H1333,NAICS!$A$4:$B$1072,2,FALSE),"Unknown")</f>
        <v>Unknown</v>
      </c>
      <c r="Y1333" s="139">
        <f t="shared" si="38"/>
        <v>0</v>
      </c>
      <c r="Z1333" s="9">
        <f t="shared" si="39"/>
        <v>1</v>
      </c>
    </row>
    <row r="1334" spans="1:26">
      <c r="A1334"/>
      <c r="E1334" s="32"/>
      <c r="F1334" s="32"/>
      <c r="G1334" s="32"/>
      <c r="H1334" s="9"/>
      <c r="I1334" s="9"/>
      <c r="K1334" s="217"/>
      <c r="L1334" s="217"/>
      <c r="M1334" s="256"/>
      <c r="N1334" s="226"/>
      <c r="O1334" s="257"/>
      <c r="P1334" s="235"/>
      <c r="Q1334" s="237"/>
      <c r="R1334" s="260"/>
      <c r="S1334" s="218"/>
      <c r="T1334" s="219"/>
      <c r="U1334" s="30"/>
      <c r="V1334" s="31"/>
      <c r="W1334" s="30"/>
      <c r="X1334" s="220" t="str">
        <f>IFERROR(VLOOKUP(H1334,NAICS!$A$4:$B$1072,2,FALSE),"Unknown")</f>
        <v>Unknown</v>
      </c>
      <c r="Y1334" s="139">
        <f t="shared" si="38"/>
        <v>0</v>
      </c>
      <c r="Z1334" s="9">
        <f t="shared" si="39"/>
        <v>1</v>
      </c>
    </row>
    <row r="1335" spans="1:26">
      <c r="A1335"/>
      <c r="E1335" s="242"/>
      <c r="F1335" s="214"/>
      <c r="G1335" s="214"/>
      <c r="H1335" s="232"/>
      <c r="I1335" s="9"/>
      <c r="K1335" s="217"/>
      <c r="L1335" s="217"/>
      <c r="M1335" s="256"/>
      <c r="N1335" s="176"/>
      <c r="O1335" s="257"/>
      <c r="P1335" s="236"/>
      <c r="Q1335" s="238"/>
      <c r="R1335" s="260"/>
      <c r="S1335" s="218"/>
      <c r="T1335" s="219"/>
      <c r="U1335" s="30"/>
      <c r="V1335" s="31"/>
      <c r="W1335" s="30"/>
      <c r="X1335" s="220" t="str">
        <f>IFERROR(VLOOKUP(H1335,NAICS!$A$4:$B$1072,2,FALSE),"Unknown")</f>
        <v>Unknown</v>
      </c>
      <c r="Y1335" s="139">
        <f t="shared" si="38"/>
        <v>0</v>
      </c>
      <c r="Z1335" s="9">
        <f t="shared" si="39"/>
        <v>1</v>
      </c>
    </row>
    <row r="1336" spans="1:26">
      <c r="A1336"/>
      <c r="E1336" s="32"/>
      <c r="F1336" s="32"/>
      <c r="G1336" s="32"/>
      <c r="H1336" s="9"/>
      <c r="I1336" s="9"/>
      <c r="K1336" s="217"/>
      <c r="L1336" s="217"/>
      <c r="M1336" s="256"/>
      <c r="N1336" s="226"/>
      <c r="O1336" s="257"/>
      <c r="P1336" s="235"/>
      <c r="Q1336" s="237"/>
      <c r="R1336" s="260"/>
      <c r="S1336" s="218"/>
      <c r="T1336" s="219"/>
      <c r="U1336" s="30"/>
      <c r="V1336" s="31"/>
      <c r="W1336" s="30"/>
      <c r="X1336" s="220" t="str">
        <f>IFERROR(VLOOKUP(H1336,NAICS!$A$4:$B$1072,2,FALSE),"Unknown")</f>
        <v>Unknown</v>
      </c>
      <c r="Y1336" s="139">
        <f t="shared" si="38"/>
        <v>0</v>
      </c>
      <c r="Z1336" s="9">
        <f t="shared" si="39"/>
        <v>1</v>
      </c>
    </row>
    <row r="1337" spans="1:26">
      <c r="A1337"/>
      <c r="E1337" s="32"/>
      <c r="F1337" s="32"/>
      <c r="G1337" s="32"/>
      <c r="H1337" s="9"/>
      <c r="I1337" s="9"/>
      <c r="K1337" s="217"/>
      <c r="L1337" s="217"/>
      <c r="M1337" s="256"/>
      <c r="N1337" s="226"/>
      <c r="O1337" s="257"/>
      <c r="P1337" s="235"/>
      <c r="Q1337" s="237"/>
      <c r="R1337" s="260"/>
      <c r="S1337" s="218"/>
      <c r="T1337" s="219"/>
      <c r="U1337" s="30"/>
      <c r="V1337" s="31"/>
      <c r="W1337" s="30"/>
      <c r="X1337" s="220" t="str">
        <f>IFERROR(VLOOKUP(H1337,NAICS!$A$4:$B$1072,2,FALSE),"Unknown")</f>
        <v>Unknown</v>
      </c>
      <c r="Y1337" s="139">
        <f t="shared" si="38"/>
        <v>0</v>
      </c>
      <c r="Z1337" s="9">
        <f t="shared" si="39"/>
        <v>1</v>
      </c>
    </row>
    <row r="1338" spans="1:26">
      <c r="A1338"/>
      <c r="E1338" s="242"/>
      <c r="F1338" s="227"/>
      <c r="G1338" s="227"/>
      <c r="H1338" s="233"/>
      <c r="I1338" s="9"/>
      <c r="K1338" s="217"/>
      <c r="L1338" s="217"/>
      <c r="M1338" s="256"/>
      <c r="N1338" s="176"/>
      <c r="O1338" s="257"/>
      <c r="P1338" s="236"/>
      <c r="Q1338" s="238"/>
      <c r="R1338" s="260"/>
      <c r="S1338" s="218"/>
      <c r="T1338" s="219"/>
      <c r="U1338" s="30"/>
      <c r="V1338" s="31"/>
      <c r="W1338" s="30"/>
      <c r="X1338" s="220" t="str">
        <f>IFERROR(VLOOKUP(H1338,NAICS!$A$4:$B$1072,2,FALSE),"Unknown")</f>
        <v>Unknown</v>
      </c>
      <c r="Y1338" s="139">
        <f t="shared" si="38"/>
        <v>0</v>
      </c>
      <c r="Z1338" s="9">
        <f t="shared" si="39"/>
        <v>1</v>
      </c>
    </row>
    <row r="1339" spans="1:26">
      <c r="A1339"/>
      <c r="E1339" s="32"/>
      <c r="F1339" s="32"/>
      <c r="G1339" s="32"/>
      <c r="H1339" s="9"/>
      <c r="I1339" s="9"/>
      <c r="K1339" s="217"/>
      <c r="L1339" s="217"/>
      <c r="M1339" s="256"/>
      <c r="N1339" s="226"/>
      <c r="O1339" s="257"/>
      <c r="P1339" s="235"/>
      <c r="Q1339" s="237"/>
      <c r="R1339" s="260"/>
      <c r="S1339" s="218"/>
      <c r="T1339" s="219"/>
      <c r="U1339" s="30"/>
      <c r="V1339" s="31"/>
      <c r="W1339" s="30"/>
      <c r="X1339" s="220" t="str">
        <f>IFERROR(VLOOKUP(H1339,NAICS!$A$4:$B$1072,2,FALSE),"Unknown")</f>
        <v>Unknown</v>
      </c>
      <c r="Y1339" s="139">
        <f t="shared" si="38"/>
        <v>0</v>
      </c>
      <c r="Z1339" s="9">
        <f t="shared" si="39"/>
        <v>1</v>
      </c>
    </row>
    <row r="1340" spans="1:26">
      <c r="A1340"/>
      <c r="E1340" s="242"/>
      <c r="F1340" s="214"/>
      <c r="G1340" s="214"/>
      <c r="H1340" s="232"/>
      <c r="I1340" s="9"/>
      <c r="K1340" s="217"/>
      <c r="L1340" s="217"/>
      <c r="M1340" s="256"/>
      <c r="N1340" s="176"/>
      <c r="O1340" s="257"/>
      <c r="P1340" s="236"/>
      <c r="Q1340" s="238"/>
      <c r="R1340" s="260"/>
      <c r="S1340" s="218"/>
      <c r="T1340" s="219"/>
      <c r="U1340" s="30"/>
      <c r="V1340" s="31"/>
      <c r="W1340" s="30"/>
      <c r="X1340" s="220" t="str">
        <f>IFERROR(VLOOKUP(H1340,NAICS!$A$4:$B$1072,2,FALSE),"Unknown")</f>
        <v>Unknown</v>
      </c>
      <c r="Y1340" s="139">
        <f t="shared" si="38"/>
        <v>0</v>
      </c>
      <c r="Z1340" s="9">
        <f t="shared" si="39"/>
        <v>1</v>
      </c>
    </row>
    <row r="1341" spans="1:26">
      <c r="A1341"/>
      <c r="E1341" s="32"/>
      <c r="F1341" s="32"/>
      <c r="G1341" s="32"/>
      <c r="H1341" s="9"/>
      <c r="I1341" s="9"/>
      <c r="K1341" s="217"/>
      <c r="L1341" s="217"/>
      <c r="M1341" s="256"/>
      <c r="N1341" s="226"/>
      <c r="O1341" s="257"/>
      <c r="P1341" s="235"/>
      <c r="Q1341" s="237"/>
      <c r="R1341" s="260"/>
      <c r="S1341" s="218"/>
      <c r="T1341" s="219"/>
      <c r="U1341" s="30"/>
      <c r="V1341" s="31"/>
      <c r="W1341" s="30"/>
      <c r="X1341" s="220" t="str">
        <f>IFERROR(VLOOKUP(H1341,NAICS!$A$4:$B$1072,2,FALSE),"Unknown")</f>
        <v>Unknown</v>
      </c>
      <c r="Y1341" s="139">
        <f t="shared" si="38"/>
        <v>0</v>
      </c>
      <c r="Z1341" s="9">
        <f t="shared" si="39"/>
        <v>1</v>
      </c>
    </row>
    <row r="1342" spans="1:26">
      <c r="A1342"/>
      <c r="E1342" s="32"/>
      <c r="F1342" s="32"/>
      <c r="G1342" s="32"/>
      <c r="H1342" s="9"/>
      <c r="I1342" s="9"/>
      <c r="K1342" s="217"/>
      <c r="L1342" s="217"/>
      <c r="M1342" s="256"/>
      <c r="N1342" s="226"/>
      <c r="O1342" s="257"/>
      <c r="P1342" s="235"/>
      <c r="Q1342" s="237"/>
      <c r="R1342" s="260"/>
      <c r="S1342" s="218"/>
      <c r="T1342" s="219"/>
      <c r="U1342" s="30"/>
      <c r="V1342" s="31"/>
      <c r="W1342" s="30"/>
      <c r="X1342" s="220" t="str">
        <f>IFERROR(VLOOKUP(H1342,NAICS!$A$4:$B$1072,2,FALSE),"Unknown")</f>
        <v>Unknown</v>
      </c>
      <c r="Y1342" s="139">
        <f t="shared" si="38"/>
        <v>0</v>
      </c>
      <c r="Z1342" s="9">
        <f t="shared" si="39"/>
        <v>1</v>
      </c>
    </row>
    <row r="1343" spans="1:26">
      <c r="A1343"/>
      <c r="E1343" s="32"/>
      <c r="F1343" s="32"/>
      <c r="G1343" s="32"/>
      <c r="H1343" s="9"/>
      <c r="I1343" s="9"/>
      <c r="K1343" s="217"/>
      <c r="L1343" s="217"/>
      <c r="M1343" s="256"/>
      <c r="N1343" s="226"/>
      <c r="O1343" s="257"/>
      <c r="P1343" s="235"/>
      <c r="Q1343" s="237"/>
      <c r="R1343" s="260"/>
      <c r="S1343" s="218"/>
      <c r="T1343" s="219"/>
      <c r="U1343" s="30"/>
      <c r="V1343" s="31"/>
      <c r="W1343" s="30"/>
      <c r="X1343" s="220" t="str">
        <f>IFERROR(VLOOKUP(H1343,NAICS!$A$4:$B$1072,2,FALSE),"Unknown")</f>
        <v>Unknown</v>
      </c>
      <c r="Y1343" s="139">
        <f t="shared" si="38"/>
        <v>0</v>
      </c>
      <c r="Z1343" s="9">
        <f t="shared" si="39"/>
        <v>1</v>
      </c>
    </row>
    <row r="1344" spans="1:26">
      <c r="A1344"/>
      <c r="E1344" s="242"/>
      <c r="F1344" s="214"/>
      <c r="G1344" s="214"/>
      <c r="H1344" s="232"/>
      <c r="I1344" s="9"/>
      <c r="K1344" s="217"/>
      <c r="L1344" s="217"/>
      <c r="M1344" s="256"/>
      <c r="N1344" s="176"/>
      <c r="O1344" s="257"/>
      <c r="P1344" s="236"/>
      <c r="Q1344" s="238"/>
      <c r="R1344" s="260"/>
      <c r="S1344" s="218"/>
      <c r="T1344" s="219"/>
      <c r="U1344" s="30"/>
      <c r="V1344" s="31"/>
      <c r="W1344" s="30"/>
      <c r="X1344" s="220" t="str">
        <f>IFERROR(VLOOKUP(H1344,NAICS!$A$4:$B$1072,2,FALSE),"Unknown")</f>
        <v>Unknown</v>
      </c>
      <c r="Y1344" s="139">
        <f t="shared" si="38"/>
        <v>0</v>
      </c>
      <c r="Z1344" s="9">
        <f t="shared" si="39"/>
        <v>1</v>
      </c>
    </row>
    <row r="1345" spans="1:26">
      <c r="A1345"/>
      <c r="E1345" s="242"/>
      <c r="F1345" s="214"/>
      <c r="G1345" s="214"/>
      <c r="H1345" s="232"/>
      <c r="I1345" s="9"/>
      <c r="K1345" s="217"/>
      <c r="L1345" s="217"/>
      <c r="M1345" s="256"/>
      <c r="N1345" s="176"/>
      <c r="O1345" s="257"/>
      <c r="P1345" s="236"/>
      <c r="Q1345" s="238"/>
      <c r="R1345" s="260"/>
      <c r="S1345" s="218"/>
      <c r="T1345" s="219"/>
      <c r="U1345" s="30"/>
      <c r="V1345" s="31"/>
      <c r="W1345" s="30"/>
      <c r="X1345" s="220" t="str">
        <f>IFERROR(VLOOKUP(H1345,NAICS!$A$4:$B$1072,2,FALSE),"Unknown")</f>
        <v>Unknown</v>
      </c>
      <c r="Y1345" s="139">
        <f t="shared" si="38"/>
        <v>0</v>
      </c>
      <c r="Z1345" s="9">
        <f t="shared" si="39"/>
        <v>1</v>
      </c>
    </row>
    <row r="1346" spans="1:26">
      <c r="A1346"/>
      <c r="E1346" s="32"/>
      <c r="F1346" s="32"/>
      <c r="G1346" s="32"/>
      <c r="H1346" s="9"/>
      <c r="I1346" s="9"/>
      <c r="K1346" s="217"/>
      <c r="L1346" s="217"/>
      <c r="M1346" s="256"/>
      <c r="N1346" s="226"/>
      <c r="O1346" s="257"/>
      <c r="P1346" s="235"/>
      <c r="Q1346" s="237"/>
      <c r="R1346" s="260"/>
      <c r="S1346" s="218"/>
      <c r="T1346" s="219"/>
      <c r="U1346" s="30"/>
      <c r="V1346" s="31"/>
      <c r="W1346" s="30"/>
      <c r="X1346" s="220" t="str">
        <f>IFERROR(VLOOKUP(H1346,NAICS!$A$4:$B$1072,2,FALSE),"Unknown")</f>
        <v>Unknown</v>
      </c>
      <c r="Y1346" s="139">
        <f t="shared" si="38"/>
        <v>0</v>
      </c>
      <c r="Z1346" s="9">
        <f t="shared" si="39"/>
        <v>1</v>
      </c>
    </row>
    <row r="1347" spans="1:26">
      <c r="A1347"/>
      <c r="E1347" s="242"/>
      <c r="F1347" s="214"/>
      <c r="G1347" s="214"/>
      <c r="H1347" s="232"/>
      <c r="I1347" s="9"/>
      <c r="K1347" s="217"/>
      <c r="L1347" s="217"/>
      <c r="M1347" s="256"/>
      <c r="N1347" s="176"/>
      <c r="O1347" s="257"/>
      <c r="P1347" s="236"/>
      <c r="Q1347" s="238"/>
      <c r="R1347" s="260"/>
      <c r="S1347" s="218"/>
      <c r="T1347" s="219"/>
      <c r="U1347" s="30"/>
      <c r="V1347" s="31"/>
      <c r="W1347" s="30"/>
      <c r="X1347" s="220" t="str">
        <f>IFERROR(VLOOKUP(H1347,NAICS!$A$4:$B$1072,2,FALSE),"Unknown")</f>
        <v>Unknown</v>
      </c>
      <c r="Y1347" s="139">
        <f t="shared" si="38"/>
        <v>0</v>
      </c>
      <c r="Z1347" s="9">
        <f t="shared" si="39"/>
        <v>1</v>
      </c>
    </row>
    <row r="1348" spans="1:26">
      <c r="A1348"/>
      <c r="E1348" s="242"/>
      <c r="F1348" s="29"/>
      <c r="G1348" s="29"/>
      <c r="H1348" s="29"/>
      <c r="I1348" s="9"/>
      <c r="K1348" s="217"/>
      <c r="L1348" s="217"/>
      <c r="M1348" s="256"/>
      <c r="N1348" s="176"/>
      <c r="O1348" s="257"/>
      <c r="P1348" s="236"/>
      <c r="Q1348" s="238"/>
      <c r="R1348" s="260"/>
      <c r="S1348" s="218"/>
      <c r="T1348" s="219"/>
      <c r="U1348" s="30"/>
      <c r="V1348" s="31"/>
      <c r="W1348" s="30"/>
      <c r="X1348" s="220" t="str">
        <f>IFERROR(VLOOKUP(H1348,NAICS!$A$4:$B$1072,2,FALSE),"Unknown")</f>
        <v>Unknown</v>
      </c>
      <c r="Y1348" s="139">
        <f t="shared" si="38"/>
        <v>0</v>
      </c>
      <c r="Z1348" s="9">
        <f t="shared" si="39"/>
        <v>1</v>
      </c>
    </row>
    <row r="1349" spans="1:26">
      <c r="A1349"/>
      <c r="E1349" s="32"/>
      <c r="F1349" s="32"/>
      <c r="G1349" s="32"/>
      <c r="H1349" s="9"/>
      <c r="I1349" s="9"/>
      <c r="K1349" s="217"/>
      <c r="L1349" s="217"/>
      <c r="M1349" s="256"/>
      <c r="N1349" s="226"/>
      <c r="O1349" s="257"/>
      <c r="P1349" s="235"/>
      <c r="Q1349" s="237"/>
      <c r="R1349" s="260"/>
      <c r="S1349" s="218"/>
      <c r="T1349" s="219"/>
      <c r="U1349" s="30"/>
      <c r="V1349" s="31"/>
      <c r="W1349" s="30"/>
      <c r="X1349" s="220" t="str">
        <f>IFERROR(VLOOKUP(H1349,NAICS!$A$4:$B$1072,2,FALSE),"Unknown")</f>
        <v>Unknown</v>
      </c>
      <c r="Y1349" s="139">
        <f t="shared" si="38"/>
        <v>0</v>
      </c>
      <c r="Z1349" s="9">
        <f t="shared" si="39"/>
        <v>1</v>
      </c>
    </row>
  </sheetData>
  <autoFilter ref="A13:AC1349" xr:uid="{A5E33064-4F3D-4043-87F4-AAFFC920C1C9}">
    <sortState xmlns:xlrd2="http://schemas.microsoft.com/office/spreadsheetml/2017/richdata2" ref="A14:AC1349">
      <sortCondition descending="1" ref="V13:V1349"/>
    </sortState>
  </autoFilter>
  <phoneticPr fontId="15" type="noConversion"/>
  <conditionalFormatting sqref="B1:D12 B13">
    <cfRule type="duplicateValues" dxfId="5" priority="61"/>
  </conditionalFormatting>
  <conditionalFormatting sqref="B8:D12 B13">
    <cfRule type="duplicateValues" dxfId="4" priority="4"/>
  </conditionalFormatting>
  <conditionalFormatting sqref="E878:E980">
    <cfRule type="duplicateValues" dxfId="3" priority="60"/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41F7-2C51-4D9B-A1B6-BF2CC194C5AA}">
  <dimension ref="A2:N1048570"/>
  <sheetViews>
    <sheetView showGridLines="0" tabSelected="1" workbookViewId="0">
      <selection activeCell="F10" sqref="F10"/>
    </sheetView>
  </sheetViews>
  <sheetFormatPr defaultRowHeight="15"/>
  <cols>
    <col min="2" max="2" width="19.42578125" customWidth="1"/>
    <col min="3" max="3" width="12.28515625" bestFit="1" customWidth="1"/>
    <col min="4" max="4" width="13.42578125" bestFit="1" customWidth="1"/>
    <col min="5" max="5" width="12.5703125" bestFit="1" customWidth="1"/>
    <col min="6" max="6" width="13.28515625" bestFit="1" customWidth="1"/>
    <col min="7" max="7" width="9.42578125" customWidth="1"/>
    <col min="8" max="8" width="17.7109375" bestFit="1" customWidth="1"/>
    <col min="9" max="9" width="14.28515625" bestFit="1" customWidth="1"/>
    <col min="10" max="10" width="23" bestFit="1" customWidth="1"/>
    <col min="12" max="12" width="15.28515625" bestFit="1" customWidth="1"/>
    <col min="13" max="13" width="12.28515625" bestFit="1" customWidth="1"/>
  </cols>
  <sheetData>
    <row r="2" spans="1:14">
      <c r="B2" s="335" t="s">
        <v>1244</v>
      </c>
      <c r="C2" s="335"/>
      <c r="D2" s="335"/>
      <c r="E2" s="335"/>
      <c r="F2" s="335"/>
      <c r="G2" s="69"/>
      <c r="H2" s="69"/>
      <c r="I2" s="69"/>
      <c r="J2" s="69"/>
    </row>
    <row r="3" spans="1:14">
      <c r="B3" s="70" t="s">
        <v>347</v>
      </c>
      <c r="C3" s="71" t="s">
        <v>347</v>
      </c>
      <c r="D3" s="71" t="s">
        <v>348</v>
      </c>
      <c r="E3" s="71" t="s">
        <v>349</v>
      </c>
      <c r="F3" s="72"/>
      <c r="G3" s="73"/>
      <c r="H3" s="73"/>
      <c r="I3" s="73"/>
      <c r="J3" s="73"/>
    </row>
    <row r="4" spans="1:14">
      <c r="A4" s="152" t="s">
        <v>1231</v>
      </c>
      <c r="B4" s="74" t="s">
        <v>350</v>
      </c>
      <c r="C4" s="75" t="s">
        <v>351</v>
      </c>
      <c r="D4" s="75" t="s">
        <v>351</v>
      </c>
      <c r="E4" s="75" t="s">
        <v>352</v>
      </c>
      <c r="F4" s="151" t="s">
        <v>1230</v>
      </c>
      <c r="G4" s="76" t="s">
        <v>353</v>
      </c>
      <c r="H4" s="76" t="s">
        <v>354</v>
      </c>
      <c r="I4" s="76" t="s">
        <v>1241</v>
      </c>
      <c r="J4" s="76" t="s">
        <v>1242</v>
      </c>
    </row>
    <row r="5" spans="1:14">
      <c r="A5" s="152">
        <v>1</v>
      </c>
      <c r="B5" s="146" t="s">
        <v>355</v>
      </c>
      <c r="C5" s="147">
        <f>SUMIF('Loan Tape'!$Z$14:$Z$9706,Summary!$A5,'Loan Tape'!$R$14:$R$9706)</f>
        <v>0</v>
      </c>
      <c r="D5" s="144">
        <f>C5/$C$10</f>
        <v>0</v>
      </c>
      <c r="E5" s="148" cm="1">
        <f t="array" ref="E5">IFERROR(SUMPRODUCT(--('Loan Tape'!$Z$14:$Z$9706=Summary!$A5),'Loan Tape'!$P$14:$P$9706,'Loan Tape'!$R$14:$R9706)/SUMIF('Loan Tape'!$Z$14:$Z$9706,Summary!$A5,'Loan Tape'!$R$14:$R$9706),0)</f>
        <v>0</v>
      </c>
      <c r="F5" s="241">
        <v>0</v>
      </c>
      <c r="G5" s="229" cm="1">
        <f t="array" ref="G5">IFERROR(SUMPRODUCT(--('Loan Tape'!$Z$14:$Z$9706=Summary!$A5),'Loan Tape'!$V$14:$V$9706,'Loan Tape'!$R$14:$R$9706)/SUMIF('Loan Tape'!$Z$14:$Z$9706,Summary!$A5,'Loan Tape'!$R$14:$R$9706),0)</f>
        <v>0</v>
      </c>
      <c r="H5" s="229" cm="1">
        <f t="array" ref="H5">IFERROR(SUMPRODUCT(--('Loan Tape'!$Z$14:$Z$9706=Summary!$A5),'Loan Tape'!$W$14:$W$9706,'Loan Tape'!$R$14:$R$9706)/SUMIF('Loan Tape'!$Z$14:$Z$9706,Summary!$A5,'Loan Tape'!$R$14:$R$9706),0)</f>
        <v>0</v>
      </c>
      <c r="I5" s="160">
        <f>50/360*E5*C5</f>
        <v>0</v>
      </c>
      <c r="J5" s="159" t="str">
        <f>IFERROR(((F5*E5*C5)+I5)/(E5*C5),"")</f>
        <v/>
      </c>
      <c r="L5" s="59"/>
    </row>
    <row r="6" spans="1:14">
      <c r="A6" s="152">
        <v>2</v>
      </c>
      <c r="B6" s="149" t="s">
        <v>356</v>
      </c>
      <c r="C6" s="228">
        <f>SUMIF('Loan Tape'!$Z$14:$Z$9706,Summary!$A6,'Loan Tape'!$R$14:$R$9706)</f>
        <v>0</v>
      </c>
      <c r="D6" s="143">
        <f>C6/$C$10</f>
        <v>0</v>
      </c>
      <c r="E6" s="145" cm="1">
        <f t="array" ref="E6">IFERROR(SUMPRODUCT(--('Loan Tape'!$Z$14:$Z$9706=Summary!$A6),'Loan Tape'!$P$14:$P$9706,'Loan Tape'!$R$14:$R$9706)/SUMIF('Loan Tape'!$Z$14:$Z$9706,Summary!$A6,'Loan Tape'!$R$14:$R$9706),0)</f>
        <v>0</v>
      </c>
      <c r="F6" s="333">
        <v>2.41</v>
      </c>
      <c r="G6" s="229" cm="1">
        <f t="array" ref="G6">IFERROR(SUMPRODUCT(--('Loan Tape'!$Z$14:$Z$9706=Summary!$A6),'Loan Tape'!$V$14:$V$9706,'Loan Tape'!$R$14:$R$9706)/SUMIF('Loan Tape'!$Z$14:$Z$9706,Summary!$A6,'Loan Tape'!$R$14:$R$9706),0)</f>
        <v>0</v>
      </c>
      <c r="H6" s="229" cm="1">
        <f t="array" ref="H6">IFERROR(SUMPRODUCT(--('Loan Tape'!$Z$14:$Z$9706=Summary!$A6),'Loan Tape'!$W$14:$W$9706,'Loan Tape'!$R$14:$R$9706)/SUMIF('Loan Tape'!$Z$14:$Z$9706,Summary!$A6,'Loan Tape'!$R$14:$R$9706),0)</f>
        <v>0</v>
      </c>
      <c r="I6" s="160">
        <f>50/360*E6*C6</f>
        <v>0</v>
      </c>
      <c r="J6" s="239" t="str">
        <f>IFERROR(((F6*E6*C6)+I6)/(E6*C6),"")</f>
        <v/>
      </c>
      <c r="L6" s="59"/>
      <c r="M6" s="224"/>
      <c r="N6" s="251"/>
    </row>
    <row r="7" spans="1:14">
      <c r="A7" s="152">
        <v>3</v>
      </c>
      <c r="B7" s="149" t="s">
        <v>357</v>
      </c>
      <c r="C7" s="228">
        <f>SUMIF('Loan Tape'!$Z$14:$Z$9706,Summary!$A7,'Loan Tape'!$R$14:$R$9706)</f>
        <v>0</v>
      </c>
      <c r="D7" s="143">
        <f>C7/$C$10</f>
        <v>0</v>
      </c>
      <c r="E7" s="145" cm="1">
        <f t="array" ref="E7">IFERROR(SUMPRODUCT(--('Loan Tape'!$Z$14:$Z$9706=Summary!$A7),'Loan Tape'!$P$14:$P$9706,'Loan Tape'!$R$14:$R$9706)/SUMIF('Loan Tape'!$Z$14:$Z$9706,Summary!$A7,'Loan Tape'!$R$14:$R$9706),0)</f>
        <v>0</v>
      </c>
      <c r="F7" s="241">
        <f>($F$9-$F$6)/3+F6</f>
        <v>2.7433333333333336</v>
      </c>
      <c r="G7" s="229" cm="1">
        <f t="array" ref="G7">IFERROR(SUMPRODUCT(--('Loan Tape'!$Z$14:$Z$9706=Summary!$A7),'Loan Tape'!$V$14:$V$9706,'Loan Tape'!$R$14:$R$9706)/SUMIF('Loan Tape'!$Z$14:$Z$9706,Summary!$A7,'Loan Tape'!$R$14:$R$9706),0)</f>
        <v>0</v>
      </c>
      <c r="H7" s="229" cm="1">
        <f t="array" ref="H7">IFERROR(SUMPRODUCT(--('Loan Tape'!$Z$14:$Z$9706=Summary!$A7),'Loan Tape'!$W$14:$W$9706,'Loan Tape'!$R$14:$R$9706)/SUMIF('Loan Tape'!$Z$14:$Z$9706,Summary!$A7,'Loan Tape'!$R$14:$R$9706),0)</f>
        <v>0</v>
      </c>
      <c r="I7" s="160">
        <f>50/360*E7*C7</f>
        <v>0</v>
      </c>
      <c r="J7" s="239" t="str">
        <f>IFERROR(((F7*E7*C7)+I7)/(E7*C7),"")</f>
        <v/>
      </c>
      <c r="L7" s="59"/>
      <c r="N7" s="251"/>
    </row>
    <row r="8" spans="1:14">
      <c r="A8" s="152">
        <v>4</v>
      </c>
      <c r="B8" s="150" t="s">
        <v>358</v>
      </c>
      <c r="C8" s="228">
        <f>SUMIF('Loan Tape'!$Z$14:$Z$9706,Summary!$A8,'Loan Tape'!$R$14:$R$9706)</f>
        <v>1602631.57</v>
      </c>
      <c r="D8" s="143">
        <f>C8/$C$10</f>
        <v>1.9818979073890089E-2</v>
      </c>
      <c r="E8" s="145" cm="1">
        <f t="array" ref="E8">IFERROR(SUMPRODUCT(--('Loan Tape'!$Z$14:$Z$9706=Summary!$A8),'Loan Tape'!$P$14:$P$9706,'Loan Tape'!$R$14:$R$9706)/SUMIF('Loan Tape'!$Z$14:$Z$9706,Summary!$A8,'Loan Tape'!$R$14:$R$9706),0)</f>
        <v>2.5758658822938325E-2</v>
      </c>
      <c r="F8" s="241">
        <f>($F$9-$F$6)/3+F7</f>
        <v>3.0766666666666671</v>
      </c>
      <c r="G8" s="229" cm="1">
        <f t="array" ref="G8">IFERROR(SUMPRODUCT(--('Loan Tape'!$Z$14:$Z$9706=Summary!$A8),'Loan Tape'!$V$14:$V$9706,'Loan Tape'!$R$14:$R$9706)/SUMIF('Loan Tape'!$Z$14:$Z$9706,Summary!$A8,'Loan Tape'!$R$14:$R$9706),0)</f>
        <v>8.1257936374515136</v>
      </c>
      <c r="H8" s="229" cm="1">
        <f t="array" ref="H8">IFERROR(SUMPRODUCT(--('Loan Tape'!$Z$14:$Z$9706=Summary!$A8),'Loan Tape'!$W$14:$W$9706,'Loan Tape'!$R$14:$R$9706)/SUMIF('Loan Tape'!$Z$14:$Z$9706,Summary!$A8,'Loan Tape'!$R$14:$R$9706),0)</f>
        <v>217.18089365687152</v>
      </c>
      <c r="I8" s="160">
        <f>50/360*E8*C8</f>
        <v>5733.5610875694447</v>
      </c>
      <c r="J8" s="239">
        <f>IFERROR(((F8*E8*C8)+I8)/(E8*C8),"")</f>
        <v>3.2155555555555559</v>
      </c>
      <c r="L8" s="59"/>
      <c r="M8" s="224"/>
    </row>
    <row r="9" spans="1:14">
      <c r="A9" s="152">
        <v>5</v>
      </c>
      <c r="B9" s="157" t="s">
        <v>359</v>
      </c>
      <c r="C9" s="228">
        <f>SUMIF('Loan Tape'!$Z$14:$Z$9706,Summary!$A9,'Loan Tape'!$R$14:$R$9706)</f>
        <v>79260846.00999999</v>
      </c>
      <c r="D9" s="143">
        <f>C9/$C$10</f>
        <v>0.98018102092611004</v>
      </c>
      <c r="E9" s="145" cm="1">
        <f t="array" ref="E9">IFERROR(SUMPRODUCT(--('Loan Tape'!$Z$14:$Z$9706=Summary!$A9),'Loan Tape'!$P$14:$P$9706,'Loan Tape'!$R$14:$R$9706)/SUMIF('Loan Tape'!$Z$14:$Z$9706,Summary!$A9,'Loan Tape'!$R$14:$R$9706),0)</f>
        <v>7.6577592842804456E-3</v>
      </c>
      <c r="F9" s="334">
        <f>F6+1</f>
        <v>3.41</v>
      </c>
      <c r="G9" s="229" cm="1">
        <f t="array" ref="G9">IFERROR(SUMPRODUCT(--('Loan Tape'!$Z$14:$Z$9706=Summary!$A9),'Loan Tape'!$V$14:$V$9706,'Loan Tape'!$R$14:$R$9706)/SUMIF('Loan Tape'!$Z$14:$Z$9706,Summary!$A9,'Loan Tape'!$R$14:$R$9706),0)</f>
        <v>2.6235575620717477</v>
      </c>
      <c r="H9" s="229" cm="1">
        <f t="array" ref="H9">IFERROR(SUMPRODUCT(--('Loan Tape'!$Z$14:$Z$9706=Summary!$A9),'Loan Tape'!$W$14:$W$9706,'Loan Tape'!$R$14:$R$9706)/SUMIF('Loan Tape'!$Z$14:$Z$9706,Summary!$A9,'Loan Tape'!$R$14:$R$9706),0)</f>
        <v>297.48407920537983</v>
      </c>
      <c r="I9" s="166">
        <f>50/360*E9*C9</f>
        <v>84300.066585138906</v>
      </c>
      <c r="J9" s="239">
        <f>IFERROR(((F9*E9*C9)+I9)/(E9*C9),"")</f>
        <v>3.5488888888888885</v>
      </c>
      <c r="L9" s="59"/>
      <c r="M9" s="224"/>
    </row>
    <row r="10" spans="1:14">
      <c r="B10" s="77" t="s">
        <v>360</v>
      </c>
      <c r="C10" s="78">
        <f>SUM(C5:C9)</f>
        <v>80863477.579999983</v>
      </c>
      <c r="D10" s="79">
        <f>SUM(D5:D9)</f>
        <v>1.0000000000000002</v>
      </c>
      <c r="E10" s="165">
        <f>SUMPRODUCT(C5:C9,E5:E9)/C10</f>
        <v>8.0165006334556935E-3</v>
      </c>
      <c r="F10" s="158">
        <f>SUMPRODUCT(C5:C9,E5:E9,F5:F9)/SUMPRODUCT(C5:C9,E5:E9)</f>
        <v>3.3887725200173269</v>
      </c>
      <c r="G10" s="80">
        <f>SUMPRODUCT(G5:G9,C5:C9)/C10</f>
        <v>2.7326062637093025</v>
      </c>
      <c r="H10" s="80">
        <f>SUMPRODUCT(H5:H9,D5:D9)/D10</f>
        <v>295.89255205142717</v>
      </c>
      <c r="I10" s="161">
        <f>SUM(I5:I9)</f>
        <v>90033.627672708346</v>
      </c>
      <c r="J10" s="158">
        <f>SUMPRODUCT(D5:D9,E5:E9,J5:J9)/SUMPRODUCT(E5:E9,D5:D9)</f>
        <v>3.5276614089062166</v>
      </c>
      <c r="L10" s="59"/>
      <c r="M10" s="224"/>
    </row>
    <row r="11" spans="1:14">
      <c r="E11" s="243"/>
      <c r="F11" s="244"/>
      <c r="G11" s="168"/>
      <c r="H11" s="168"/>
    </row>
    <row r="12" spans="1:14" ht="15.75" thickBot="1">
      <c r="B12" s="153" t="s">
        <v>1232</v>
      </c>
      <c r="C12" s="153"/>
      <c r="D12" s="154">
        <f>F10*E10*C10</f>
        <v>2196745.0800101683</v>
      </c>
      <c r="F12" s="244"/>
      <c r="G12" s="231"/>
      <c r="H12" s="59"/>
      <c r="I12" s="59"/>
      <c r="J12" s="59"/>
    </row>
    <row r="13" spans="1:14" s="153" customFormat="1" ht="15.75" thickBot="1">
      <c r="B13" s="153" t="s">
        <v>1243</v>
      </c>
      <c r="D13" s="162">
        <f>50/360*E10*C10</f>
        <v>90033.62767270836</v>
      </c>
      <c r="E13" s="175">
        <f>D13+D12</f>
        <v>2286778.7076828768</v>
      </c>
      <c r="F13" s="164"/>
      <c r="G13" s="163"/>
      <c r="H13" s="240"/>
      <c r="I13" s="59"/>
    </row>
    <row r="14" spans="1:14" s="153" customFormat="1">
      <c r="G14" s="225"/>
      <c r="I14"/>
    </row>
    <row r="15" spans="1:14" s="153" customFormat="1">
      <c r="B15" s="177" t="s">
        <v>1233</v>
      </c>
      <c r="C15" s="178"/>
      <c r="D15" s="178"/>
      <c r="E15" s="178"/>
      <c r="F15" s="178"/>
      <c r="I15"/>
    </row>
    <row r="16" spans="1:14" s="155" customFormat="1" ht="12">
      <c r="B16" s="179" t="s">
        <v>1235</v>
      </c>
      <c r="C16" s="180" t="s">
        <v>1236</v>
      </c>
      <c r="D16" s="180" t="s">
        <v>1237</v>
      </c>
      <c r="E16" s="180" t="s">
        <v>1238</v>
      </c>
      <c r="F16" s="181" t="s">
        <v>298</v>
      </c>
    </row>
    <row r="17" spans="2:11" s="153" customFormat="1" ht="12">
      <c r="B17" s="182">
        <v>0</v>
      </c>
      <c r="C17" s="183">
        <v>6</v>
      </c>
      <c r="D17" s="184">
        <f>SUMIFS('Loan Tape'!$R$14:$R$9706,'Loan Tape'!$V$14:$V$9706,"&gt;="&amp;$B17,'Loan Tape'!$V$14:$V$9706,"&lt;="&amp;$C17)</f>
        <v>75357947.099999994</v>
      </c>
      <c r="E17" s="250">
        <f t="shared" ref="E17:E22" si="0">D17/$D$23</f>
        <v>0.93191573446055109</v>
      </c>
      <c r="F17" s="185">
        <f>COUNTIFS('Loan Tape'!$V$14:$V$9706,"&gt;"&amp;$B17,'Loan Tape'!$V$14:$V$9706,"&lt;="&amp;$C17)</f>
        <v>55</v>
      </c>
      <c r="I17" s="254"/>
    </row>
    <row r="18" spans="2:11" s="153" customFormat="1" ht="12">
      <c r="B18" s="182">
        <v>6</v>
      </c>
      <c r="C18" s="183">
        <v>12</v>
      </c>
      <c r="D18" s="184">
        <f>SUMIFS('Loan Tape'!$R$14:$R$9706,'Loan Tape'!$V$14:$V$9706,"&gt;"&amp;$B18,'Loan Tape'!$V$14:$V$9706,"&lt;="&amp;$C18)</f>
        <v>5505530.4799999995</v>
      </c>
      <c r="E18" s="250">
        <f t="shared" si="0"/>
        <v>6.8084265539449004E-2</v>
      </c>
      <c r="F18" s="185">
        <f>COUNTIFS('Loan Tape'!$V$14:$V$9706,"&gt;"&amp;$B18,'Loan Tape'!$V$14:$V$9706,"&lt;="&amp;$C18)</f>
        <v>10</v>
      </c>
      <c r="G18" s="253">
        <f>E17+E18</f>
        <v>1</v>
      </c>
      <c r="H18" s="225"/>
      <c r="I18" s="254"/>
    </row>
    <row r="19" spans="2:11" s="153" customFormat="1" ht="12">
      <c r="B19" s="182">
        <v>12</v>
      </c>
      <c r="C19" s="183">
        <v>18</v>
      </c>
      <c r="D19" s="184">
        <f>SUMIFS('Loan Tape'!$R$14:$R$9706,'Loan Tape'!$V$14:$V$9706,"&gt;"&amp;$B19,'Loan Tape'!$V$14:$V$9706,"&lt;="&amp;$C19)</f>
        <v>0</v>
      </c>
      <c r="E19" s="252">
        <f t="shared" si="0"/>
        <v>0</v>
      </c>
      <c r="F19" s="185">
        <f>COUNTIFS('Loan Tape'!$V$14:$V$9706,"&gt;"&amp;$B19,'Loan Tape'!$V$14:$V$9706,"&lt;="&amp;$C19)</f>
        <v>0</v>
      </c>
      <c r="G19" s="253">
        <f>E19</f>
        <v>0</v>
      </c>
      <c r="I19" s="164"/>
    </row>
    <row r="20" spans="2:11" s="153" customFormat="1" ht="12">
      <c r="B20" s="182">
        <v>18</v>
      </c>
      <c r="C20" s="183">
        <v>24</v>
      </c>
      <c r="D20" s="184">
        <f>SUMIFS('Loan Tape'!$R$14:$R$9706,'Loan Tape'!$V$14:$V$9706,"&gt;"&amp;$B20,'Loan Tape'!$V$14:$V$9706,"&lt;="&amp;$C20)</f>
        <v>0</v>
      </c>
      <c r="E20" s="186">
        <f>D20/$D$23</f>
        <v>0</v>
      </c>
      <c r="F20" s="185">
        <f>COUNTIFS('Loan Tape'!$V$14:$V$9706,"&gt;"&amp;$B20,'Loan Tape'!$V$14:$V$9706,"&lt;="&amp;$C20)</f>
        <v>0</v>
      </c>
      <c r="I20" s="254"/>
      <c r="J20" s="245"/>
    </row>
    <row r="21" spans="2:11" s="153" customFormat="1" ht="12">
      <c r="B21" s="182">
        <v>24</v>
      </c>
      <c r="C21" s="183">
        <v>30</v>
      </c>
      <c r="D21" s="184">
        <f>SUMIFS('Loan Tape'!$R$14:$R$9706,'Loan Tape'!$V$14:$V$9706,"&gt;"&amp;$B21,'Loan Tape'!$V$14:$V$9706,"&lt;="&amp;$C21)</f>
        <v>0</v>
      </c>
      <c r="E21" s="186">
        <f t="shared" si="0"/>
        <v>0</v>
      </c>
      <c r="F21" s="185">
        <f>COUNTIFS('Loan Tape'!$V$14:$V$9706,"&gt;"&amp;$B21,'Loan Tape'!$V$14:$V$9706,"&lt;="&amp;$C21)</f>
        <v>0</v>
      </c>
      <c r="J21" s="245"/>
    </row>
    <row r="22" spans="2:11" s="153" customFormat="1" ht="12">
      <c r="B22" s="187">
        <v>30</v>
      </c>
      <c r="C22" s="188">
        <v>36</v>
      </c>
      <c r="D22" s="184">
        <f>SUMIFS('Loan Tape'!$R$14:$R$9706,'Loan Tape'!$V$14:$V$9706,"&gt;"&amp;$B22,'Loan Tape'!$V$14:$V$9706,"&lt;="&amp;$C22)</f>
        <v>0</v>
      </c>
      <c r="E22" s="189">
        <f t="shared" si="0"/>
        <v>0</v>
      </c>
      <c r="F22" s="185">
        <f>COUNTIFS('Loan Tape'!$V$14:$V$9706,"&gt;"&amp;$B22,'Loan Tape'!$V$14:$V$9706,"&lt;="&amp;$C22)</f>
        <v>0</v>
      </c>
      <c r="J22" s="245"/>
      <c r="K22" s="153" t="s">
        <v>2147</v>
      </c>
    </row>
    <row r="23" spans="2:11" s="153" customFormat="1" ht="12">
      <c r="B23" s="190" t="s">
        <v>1234</v>
      </c>
      <c r="C23" s="191"/>
      <c r="D23" s="192">
        <f>C10</f>
        <v>80863477.579999983</v>
      </c>
      <c r="E23" s="193">
        <f>SUM(E17:E22)</f>
        <v>1</v>
      </c>
      <c r="F23" s="194">
        <f>SUM(F17:F22)</f>
        <v>65</v>
      </c>
      <c r="G23" s="212"/>
      <c r="H23" s="212"/>
      <c r="J23" s="164"/>
    </row>
    <row r="24" spans="2:11" s="153" customFormat="1" ht="12"/>
    <row r="25" spans="2:11">
      <c r="J25" s="167"/>
    </row>
    <row r="26" spans="2:11" ht="24">
      <c r="B26" s="195" t="s">
        <v>16</v>
      </c>
      <c r="C26" s="196" t="s">
        <v>16</v>
      </c>
      <c r="D26" s="195" t="s">
        <v>298</v>
      </c>
      <c r="E26" s="195" t="s">
        <v>299</v>
      </c>
    </row>
    <row r="27" spans="2:11">
      <c r="B27" s="197" t="s">
        <v>327</v>
      </c>
      <c r="C27" s="198">
        <f>SUMIFS('Loan Tape'!$R$14:$R$1048576,'Loan Tape'!$R$14:$R$1048576,"&gt;"&amp;Strats!G56,'Loan Tape'!$R$14:$R$1048576,"&lt;="&amp;Strats!H56)</f>
        <v>6590673.2000000002</v>
      </c>
      <c r="D27" s="197">
        <f>COUNTIFS('Loan Tape'!$R$14:$R$1048576,"&gt;"&amp;Strats!G56,'Loan Tape'!$R$14:$R$1048576,"&lt;="&amp;Strats!H56)</f>
        <v>21</v>
      </c>
      <c r="E27" s="199">
        <f t="shared" ref="E27:E35" si="1">C27/$C$36</f>
        <v>8.1503707201804471E-2</v>
      </c>
    </row>
    <row r="28" spans="2:11">
      <c r="B28" s="197" t="s">
        <v>328</v>
      </c>
      <c r="C28" s="198">
        <f>SUMIFS('Loan Tape'!$R$14:$R$1048576,'Loan Tape'!$R$14:$R$1048576,"&gt;"&amp;Strats!G57,'Loan Tape'!$R$14:$R$1048576,"&lt;="&amp;Strats!H57)</f>
        <v>10890685.949999999</v>
      </c>
      <c r="D28" s="197">
        <f>COUNTIFS('Loan Tape'!$R$14:$R$1048576,"&gt;"&amp;Strats!G57,'Loan Tape'!$R$14:$R$1048576,"&lt;="&amp;Strats!H57)</f>
        <v>16</v>
      </c>
      <c r="E28" s="199">
        <f t="shared" si="1"/>
        <v>0.13467991083150743</v>
      </c>
    </row>
    <row r="29" spans="2:11">
      <c r="B29" s="197" t="s">
        <v>329</v>
      </c>
      <c r="C29" s="198">
        <f>SUMIFS('Loan Tape'!$R$14:$R$1048576,'Loan Tape'!$R$14:$R$1048576,"&gt;"&amp;Strats!G58,'Loan Tape'!$R$14:$R$1048576,"&lt;="&amp;Strats!H58)</f>
        <v>11283954.210000001</v>
      </c>
      <c r="D29" s="197">
        <f>COUNTIFS('Loan Tape'!$R$14:$R$1048576,"&gt;"&amp;Strats!G58,'Loan Tape'!$R$14:$R$1048576,"&lt;="&amp;Strats!H58)</f>
        <v>9</v>
      </c>
      <c r="E29" s="199">
        <f t="shared" si="1"/>
        <v>0.13954327154476556</v>
      </c>
    </row>
    <row r="30" spans="2:11">
      <c r="B30" s="197" t="s">
        <v>330</v>
      </c>
      <c r="C30" s="198">
        <f>SUMIFS('Loan Tape'!$R$14:$R$1048576,'Loan Tape'!$R$14:$R$1048576,"&gt;"&amp;Strats!G59,'Loan Tape'!$R$14:$R$1048576,"&lt;="&amp;Strats!H59)</f>
        <v>7083318.9199999999</v>
      </c>
      <c r="D30" s="197">
        <f>COUNTIFS('Loan Tape'!$R$14:$R$1048576,"&gt;"&amp;Strats!G59,'Loan Tape'!$R$14:$R$1048576,"&lt;="&amp;Strats!H59)</f>
        <v>4</v>
      </c>
      <c r="E30" s="199">
        <f t="shared" si="1"/>
        <v>8.7596021491807827E-2</v>
      </c>
    </row>
    <row r="31" spans="2:11">
      <c r="B31" s="197" t="s">
        <v>331</v>
      </c>
      <c r="C31" s="198">
        <f>SUMIFS('Loan Tape'!$R$14:$R$1048576,'Loan Tape'!$R$14:$R$1048576,"&gt;"&amp;Strats!G60,'Loan Tape'!$R$14:$R$1048576,"&lt;="&amp;Strats!H60)</f>
        <v>11002193.289999999</v>
      </c>
      <c r="D31" s="197">
        <f>COUNTIFS('Loan Tape'!$R$14:$R$1048576,"&gt;"&amp;Strats!G60,'Loan Tape'!$R$14:$R$1048576,"&lt;="&amp;Strats!H60)</f>
        <v>5</v>
      </c>
      <c r="E31" s="200">
        <f t="shared" si="1"/>
        <v>0.13605886883995671</v>
      </c>
    </row>
    <row r="32" spans="2:11">
      <c r="B32" s="197" t="s">
        <v>332</v>
      </c>
      <c r="C32" s="198">
        <f>SUMIFS('Loan Tape'!$R$14:$R$1048576,'Loan Tape'!$R$14:$R$1048576,"&gt;"&amp;Strats!G61,'Loan Tape'!$R$14:$R$1048576,"&lt;="&amp;Strats!H61)</f>
        <v>5381250</v>
      </c>
      <c r="D32" s="197">
        <f>COUNTIFS('Loan Tape'!$R$14:$R$1048576,"&gt;"&amp;Strats!G61,'Loan Tape'!$R$14:$R$1048576,"&lt;="&amp;Strats!H61)</f>
        <v>2</v>
      </c>
      <c r="E32" s="201">
        <f t="shared" si="1"/>
        <v>6.6547348210151014E-2</v>
      </c>
    </row>
    <row r="33" spans="2:5">
      <c r="B33" s="197" t="s">
        <v>333</v>
      </c>
      <c r="C33" s="198">
        <f>SUMIFS('Loan Tape'!$R$14:$R$1048576,'Loan Tape'!$R$14:$R$1048576,"&gt;"&amp;Strats!G62,'Loan Tape'!$R$14:$R$1048576,"&lt;="&amp;Strats!H62)</f>
        <v>6300000</v>
      </c>
      <c r="D33" s="197">
        <f>COUNTIFS('Loan Tape'!$R$14:$R$1048576,"&gt;"&amp;Strats!G62,'Loan Tape'!$R$14:$R$1048576,"&lt;="&amp;Strats!H62)</f>
        <v>2</v>
      </c>
      <c r="E33" s="201">
        <f t="shared" si="1"/>
        <v>7.7909090587493873E-2</v>
      </c>
    </row>
    <row r="34" spans="2:5">
      <c r="B34" s="197" t="s">
        <v>335</v>
      </c>
      <c r="C34" s="198">
        <f>SUMIFS('Loan Tape'!$R$14:$R$1048576,'Loan Tape'!$R$14:$R$1048576,"&gt;"&amp;Strats!G63,'Loan Tape'!$R$14:$R$1048576,"&lt;="&amp;Strats!H63)</f>
        <v>22331402.009999998</v>
      </c>
      <c r="D34" s="197">
        <f>COUNTIFS('Loan Tape'!$R$14:$R$1048576,"&gt;"&amp;Strats!G63,'Loan Tape'!$R$14:$R$1048576,"&lt;="&amp;Strats!H63)</f>
        <v>6</v>
      </c>
      <c r="E34" s="201">
        <f t="shared" si="1"/>
        <v>0.27616178129251312</v>
      </c>
    </row>
    <row r="35" spans="2:5">
      <c r="B35" s="197" t="s">
        <v>336</v>
      </c>
      <c r="C35" s="198">
        <f>SUMIFS('Loan Tape'!$R$14:$R$1048576,'Loan Tape'!$R$14:$R$1048576,"&gt;"&amp;Strats!G64,'Loan Tape'!$R$14:$R$1048576,"&lt;="&amp;Strats!H64)</f>
        <v>0</v>
      </c>
      <c r="D35" s="197">
        <f>COUNTIFS('Loan Tape'!$R$14:$R$1048576,"&gt;"&amp;Strats!G64,'Loan Tape'!$R$14:$R$1048576,"&lt;="&amp;Strats!H64)</f>
        <v>0</v>
      </c>
      <c r="E35" s="201">
        <f t="shared" si="1"/>
        <v>0</v>
      </c>
    </row>
    <row r="36" spans="2:5" ht="15.75" thickBot="1">
      <c r="B36" s="202" t="s">
        <v>337</v>
      </c>
      <c r="C36" s="203">
        <f>SUM(C27:C35)</f>
        <v>80863477.579999998</v>
      </c>
      <c r="D36" s="202">
        <f>SUM(D27:D35)</f>
        <v>65</v>
      </c>
      <c r="E36" s="204">
        <f>SUM(E27:E35)</f>
        <v>1</v>
      </c>
    </row>
    <row r="37" spans="2:5" ht="15.75" thickTop="1">
      <c r="B37" s="205"/>
      <c r="C37" s="205"/>
      <c r="D37" s="205"/>
      <c r="E37" s="205"/>
    </row>
    <row r="38" spans="2:5">
      <c r="B38" s="197" t="s">
        <v>1239</v>
      </c>
      <c r="C38" s="206">
        <f>SUM(E32:E35)</f>
        <v>0.42061822009015803</v>
      </c>
      <c r="D38" s="205"/>
      <c r="E38" s="205"/>
    </row>
    <row r="1048570" spans="10:10">
      <c r="J1048570" s="73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CB8C-A156-43FE-AD9A-8BC33D1A37F9}">
  <sheetPr>
    <pageSetUpPr autoPageBreaks="0"/>
  </sheetPr>
  <dimension ref="B1:Y161"/>
  <sheetViews>
    <sheetView showGridLines="0" zoomScale="90" zoomScaleNormal="90" workbookViewId="0">
      <selection activeCell="C33" sqref="C33:C34"/>
    </sheetView>
  </sheetViews>
  <sheetFormatPr defaultRowHeight="15"/>
  <cols>
    <col min="2" max="2" width="44.85546875" style="37" customWidth="1"/>
    <col min="3" max="3" width="22.140625" style="37" customWidth="1"/>
    <col min="4" max="4" width="14" style="37" bestFit="1" customWidth="1"/>
    <col min="5" max="5" width="15.85546875" style="37" bestFit="1" customWidth="1"/>
    <col min="6" max="6" width="26.42578125" customWidth="1"/>
    <col min="7" max="7" width="26.42578125" hidden="1" customWidth="1"/>
    <col min="8" max="8" width="92" hidden="1" customWidth="1"/>
    <col min="9" max="9" width="22" hidden="1" customWidth="1"/>
    <col min="10" max="11" width="24.42578125" hidden="1" customWidth="1"/>
    <col min="12" max="12" width="13.28515625" hidden="1" customWidth="1"/>
    <col min="13" max="13" width="22" hidden="1" customWidth="1"/>
    <col min="14" max="14" width="24.42578125" hidden="1" customWidth="1"/>
    <col min="15" max="15" width="15.28515625" hidden="1" customWidth="1"/>
    <col min="16" max="16" width="38.42578125" hidden="1" customWidth="1"/>
    <col min="17" max="17" width="22" hidden="1" customWidth="1"/>
    <col min="18" max="18" width="24.42578125" hidden="1" customWidth="1"/>
    <col min="19" max="19" width="23" customWidth="1"/>
    <col min="20" max="20" width="9.140625" customWidth="1"/>
    <col min="21" max="22" width="13.140625" hidden="1" customWidth="1"/>
    <col min="23" max="23" width="22" hidden="1" customWidth="1"/>
    <col min="24" max="24" width="24.42578125" hidden="1" customWidth="1"/>
    <col min="25" max="25" width="14.7109375" hidden="1" customWidth="1"/>
    <col min="26" max="26" width="9.140625" customWidth="1"/>
    <col min="27" max="27" width="8.85546875" customWidth="1"/>
  </cols>
  <sheetData>
    <row r="1" spans="2:8">
      <c r="B1"/>
      <c r="C1" s="38"/>
      <c r="D1" s="39"/>
      <c r="E1" s="39"/>
    </row>
    <row r="2" spans="2:8">
      <c r="B2"/>
      <c r="C2" s="40"/>
      <c r="D2" s="41"/>
      <c r="E2" s="41"/>
    </row>
    <row r="3" spans="2:8" ht="25.5">
      <c r="B3" s="42" t="s">
        <v>297</v>
      </c>
      <c r="C3" s="43" t="s">
        <v>16</v>
      </c>
      <c r="D3" s="42" t="s">
        <v>298</v>
      </c>
      <c r="E3" s="42" t="s">
        <v>299</v>
      </c>
      <c r="F3" s="37"/>
      <c r="G3" s="37"/>
      <c r="H3" s="37"/>
    </row>
    <row r="4" spans="2:8">
      <c r="B4" s="39" t="s">
        <v>300</v>
      </c>
      <c r="C4" s="44" t="e">
        <f>SUMIF('Loan Tape'!$U$14:$U$1048576,"&lt;180",'Loan Tape'!#REF!)</f>
        <v>#REF!</v>
      </c>
      <c r="D4" s="39">
        <f>COUNTIFS('Loan Tape'!$R$14:$R$1048576,"&gt;0",'Loan Tape'!$U$14:$U$1048576,"&lt;180")</f>
        <v>0</v>
      </c>
      <c r="E4" s="45" t="e">
        <f>C4/$C$6</f>
        <v>#REF!</v>
      </c>
      <c r="F4" s="37"/>
      <c r="G4" s="37"/>
      <c r="H4" s="37"/>
    </row>
    <row r="5" spans="2:8">
      <c r="B5" s="39" t="s">
        <v>301</v>
      </c>
      <c r="C5" s="44" t="e">
        <f>SUMIF('Loan Tape'!$U$14:$U$1048576,"&gt;=180",'Loan Tape'!#REF!)</f>
        <v>#REF!</v>
      </c>
      <c r="D5" s="39">
        <f>COUNTIFS('Loan Tape'!$R$14:$R$1048576,"&gt;0",'Loan Tape'!$U$14:$U$1048576,"&gt;=180")</f>
        <v>65</v>
      </c>
      <c r="E5" s="45" t="e">
        <f>C5/$C$6</f>
        <v>#REF!</v>
      </c>
      <c r="F5" s="37"/>
      <c r="G5" s="37"/>
      <c r="H5" s="37"/>
    </row>
    <row r="6" spans="2:8" ht="15.75" thickBot="1">
      <c r="B6" s="46" t="s">
        <v>56</v>
      </c>
      <c r="C6" s="47" t="e">
        <f>C5+C4</f>
        <v>#REF!</v>
      </c>
      <c r="D6" s="46">
        <f>D5+D4</f>
        <v>65</v>
      </c>
      <c r="E6" s="48" t="e">
        <f>E4+E5</f>
        <v>#REF!</v>
      </c>
      <c r="F6" s="37"/>
      <c r="G6" s="37"/>
      <c r="H6" s="37"/>
    </row>
    <row r="7" spans="2:8" ht="15.75" thickTop="1">
      <c r="C7" s="38"/>
      <c r="D7" s="39"/>
      <c r="E7" s="39"/>
      <c r="F7" s="37"/>
      <c r="G7" s="37"/>
      <c r="H7" s="37"/>
    </row>
    <row r="8" spans="2:8">
      <c r="C8" s="40"/>
      <c r="D8" s="41"/>
      <c r="E8" s="41"/>
      <c r="F8" s="37"/>
      <c r="G8" s="37"/>
      <c r="H8" s="37"/>
    </row>
    <row r="9" spans="2:8" ht="25.5">
      <c r="B9" s="42" t="s">
        <v>302</v>
      </c>
      <c r="C9" s="43" t="s">
        <v>16</v>
      </c>
      <c r="D9" s="42" t="s">
        <v>298</v>
      </c>
      <c r="E9" s="42" t="s">
        <v>299</v>
      </c>
      <c r="F9" s="37"/>
      <c r="G9" s="37"/>
      <c r="H9" s="37"/>
    </row>
    <row r="10" spans="2:8">
      <c r="B10" s="39" t="s">
        <v>303</v>
      </c>
      <c r="C10" s="44">
        <f>SUMIF('Loan Tape'!$Y$14:$Y$1048576,0%,'Loan Tape'!$R$14:$R$1048576)</f>
        <v>0</v>
      </c>
      <c r="D10" s="39">
        <f>COUNTIFS('Loan Tape'!$R$14:$R$1048576,"&gt;0",'Loan Tape'!$Y$14:$Y$1048576,0%)</f>
        <v>0</v>
      </c>
      <c r="E10" s="45">
        <f>C10/$C$14</f>
        <v>0</v>
      </c>
      <c r="F10" s="37"/>
      <c r="G10" s="37"/>
      <c r="H10" s="37"/>
    </row>
    <row r="11" spans="2:8">
      <c r="B11" s="39" t="s">
        <v>304</v>
      </c>
      <c r="C11" s="44">
        <f>SUMIF('Loan Tape'!$Y$14:$Y$1048576,1%,'Loan Tape'!$R$14:$R$1048576)</f>
        <v>0</v>
      </c>
      <c r="D11" s="39">
        <f>COUNTIFS('Loan Tape'!$R$14:$R$1048576,"&gt;0",'Loan Tape'!$Y$14:$Y$1048576,1%)</f>
        <v>0</v>
      </c>
      <c r="E11" s="45">
        <f>C11/$C$14</f>
        <v>0</v>
      </c>
      <c r="F11" s="37"/>
      <c r="G11" s="37"/>
      <c r="H11" s="37"/>
    </row>
    <row r="12" spans="2:8">
      <c r="B12" s="39" t="s">
        <v>305</v>
      </c>
      <c r="C12" s="44">
        <f>SUMIF('Loan Tape'!$Y$14:$Y$1048576,3%,'Loan Tape'!$R$14:$R$1048576)</f>
        <v>0</v>
      </c>
      <c r="D12" s="39">
        <f>COUNTIFS('Loan Tape'!$R$14:$R$1048576,"&gt;0",'Loan Tape'!$Y$14:$Y$1048576,3%)</f>
        <v>0</v>
      </c>
      <c r="E12" s="45">
        <f>C12/$C$14</f>
        <v>0</v>
      </c>
      <c r="F12" s="37"/>
      <c r="G12" s="37"/>
      <c r="H12" s="37"/>
    </row>
    <row r="13" spans="2:8">
      <c r="B13" s="39" t="s">
        <v>306</v>
      </c>
      <c r="C13" s="44">
        <f>SUMIF('Loan Tape'!$Y$14:$Y$1048576,5%,'Loan Tape'!$R$14:$R$1048576)</f>
        <v>80863477.579999998</v>
      </c>
      <c r="D13" s="39">
        <f>COUNTIFS('Loan Tape'!$R$14:$R$1048576,"&gt;0",'Loan Tape'!$Y$14:$Y$1048576,5%)</f>
        <v>65</v>
      </c>
      <c r="E13" s="45">
        <f>C13/$C$14</f>
        <v>1</v>
      </c>
      <c r="F13" s="37"/>
      <c r="G13" s="37"/>
      <c r="H13" s="37"/>
    </row>
    <row r="14" spans="2:8" ht="15.75" thickBot="1">
      <c r="B14" s="46" t="s">
        <v>56</v>
      </c>
      <c r="C14" s="47">
        <f>SUM(C10:C13)</f>
        <v>80863477.579999998</v>
      </c>
      <c r="D14" s="46">
        <f>SUM(D10:D13)</f>
        <v>65</v>
      </c>
      <c r="E14" s="48">
        <f>SUM(E10:E13)</f>
        <v>1</v>
      </c>
      <c r="F14" s="37"/>
      <c r="G14" s="37"/>
      <c r="H14" s="37"/>
    </row>
    <row r="15" spans="2:8" ht="15.75" thickTop="1">
      <c r="C15" s="38"/>
      <c r="D15" s="39"/>
      <c r="E15" s="49"/>
      <c r="F15" s="37"/>
      <c r="G15" s="37"/>
      <c r="H15" s="37"/>
    </row>
    <row r="16" spans="2:8" hidden="1">
      <c r="C16" s="40"/>
      <c r="D16" s="41"/>
      <c r="E16" s="50"/>
      <c r="F16" s="37"/>
      <c r="G16" s="37"/>
      <c r="H16" s="37"/>
    </row>
    <row r="17" spans="2:8" ht="25.5" hidden="1">
      <c r="B17" s="42" t="s">
        <v>307</v>
      </c>
      <c r="C17" s="43" t="s">
        <v>16</v>
      </c>
      <c r="D17" s="42" t="s">
        <v>298</v>
      </c>
      <c r="E17" s="42" t="s">
        <v>299</v>
      </c>
      <c r="F17" s="37"/>
      <c r="G17" s="37"/>
      <c r="H17" s="37"/>
    </row>
    <row r="18" spans="2:8" hidden="1">
      <c r="B18" s="39" t="s">
        <v>1</v>
      </c>
      <c r="C18" s="44" t="e">
        <f>SUMIF(#REF!,[3]Strats!B18,#REF!)</f>
        <v>#REF!</v>
      </c>
      <c r="D18" s="39" t="e">
        <f>COUNTIF(#REF!,[3]Strats!B18)</f>
        <v>#REF!</v>
      </c>
      <c r="E18" s="45" t="e">
        <f>C18/$C$20</f>
        <v>#REF!</v>
      </c>
      <c r="F18" s="37"/>
      <c r="G18" s="37"/>
      <c r="H18" s="37"/>
    </row>
    <row r="19" spans="2:8" hidden="1">
      <c r="B19" s="39" t="s">
        <v>0</v>
      </c>
      <c r="C19" s="44" t="e">
        <f>SUMIF(#REF!,[3]Strats!B19,#REF!)</f>
        <v>#REF!</v>
      </c>
      <c r="D19" s="39" t="e">
        <f>COUNTIF(#REF!,[3]Strats!B19)</f>
        <v>#REF!</v>
      </c>
      <c r="E19" s="45" t="e">
        <f>C19/$C$20</f>
        <v>#REF!</v>
      </c>
      <c r="F19" s="37"/>
      <c r="G19" s="37"/>
      <c r="H19" s="37"/>
    </row>
    <row r="20" spans="2:8" ht="15.75" hidden="1" thickBot="1">
      <c r="B20" s="46" t="s">
        <v>56</v>
      </c>
      <c r="C20" s="47" t="e">
        <f>SUM(C18:C19)</f>
        <v>#REF!</v>
      </c>
      <c r="D20" s="46" t="e">
        <f>SUM(D18:D19)</f>
        <v>#REF!</v>
      </c>
      <c r="E20" s="48" t="e">
        <f>SUM(E18:E19)</f>
        <v>#REF!</v>
      </c>
      <c r="F20" s="37"/>
      <c r="G20" s="37"/>
      <c r="H20" s="37"/>
    </row>
    <row r="21" spans="2:8" hidden="1">
      <c r="C21" s="38"/>
      <c r="D21" s="39"/>
      <c r="E21" s="39"/>
      <c r="F21" s="37"/>
      <c r="G21" s="37"/>
      <c r="H21" s="37"/>
    </row>
    <row r="22" spans="2:8">
      <c r="C22" s="38"/>
      <c r="D22" s="39"/>
      <c r="E22" s="39"/>
      <c r="F22" s="37"/>
      <c r="G22" s="37"/>
      <c r="H22" s="37"/>
    </row>
    <row r="23" spans="2:8" ht="25.5">
      <c r="B23" s="42" t="s">
        <v>7</v>
      </c>
      <c r="C23" s="43" t="s">
        <v>16</v>
      </c>
      <c r="D23" s="42" t="s">
        <v>298</v>
      </c>
      <c r="E23" s="42" t="s">
        <v>299</v>
      </c>
      <c r="F23" s="37"/>
      <c r="G23" s="37"/>
      <c r="H23" s="37"/>
    </row>
    <row r="24" spans="2:8">
      <c r="B24" s="39" t="s">
        <v>26</v>
      </c>
      <c r="C24" s="44">
        <f>SUMIF('Loan Tape'!$I$14:$I$1048576,B24,'Loan Tape'!$R$14:$R$1048576)</f>
        <v>80863477.579999998</v>
      </c>
      <c r="D24" s="39">
        <f>COUNTIFS('Loan Tape'!$R$14:$R$1048576,"&gt;0",'Loan Tape'!$I$14:$I$1048576,B24)</f>
        <v>65</v>
      </c>
      <c r="E24" s="49">
        <f t="shared" ref="E24:E30" si="0">C24/$C$31</f>
        <v>1</v>
      </c>
      <c r="F24" s="37"/>
      <c r="G24" s="37"/>
      <c r="H24" s="37"/>
    </row>
    <row r="25" spans="2:8">
      <c r="B25" s="39" t="s">
        <v>308</v>
      </c>
      <c r="C25" s="44">
        <f>SUMIF('Loan Tape'!$I$14:$I$1048576,B25,'Loan Tape'!$R$14:$R$1048576)</f>
        <v>0</v>
      </c>
      <c r="D25" s="39">
        <f>COUNTIFS('Loan Tape'!$R$14:$R$1048576,"&gt;0",'Loan Tape'!$I$14:$I$1048576,B25)</f>
        <v>0</v>
      </c>
      <c r="E25" s="49">
        <f t="shared" si="0"/>
        <v>0</v>
      </c>
      <c r="F25" s="37"/>
      <c r="G25" s="37"/>
      <c r="H25" s="37"/>
    </row>
    <row r="26" spans="2:8">
      <c r="B26" s="39">
        <v>0</v>
      </c>
      <c r="C26" s="44">
        <f>SUMIF('Loan Tape'!$I$14:$I$1048576,B26,'Loan Tape'!$R$14:$R$1048576)</f>
        <v>0</v>
      </c>
      <c r="D26" s="39">
        <f>COUNTIFS('Loan Tape'!$R$14:$R$1048576,"&gt;0",'Loan Tape'!$I$14:$I$1048576,B26)</f>
        <v>0</v>
      </c>
      <c r="E26" s="49">
        <f t="shared" si="0"/>
        <v>0</v>
      </c>
      <c r="F26" s="37"/>
      <c r="G26" s="37"/>
      <c r="H26" s="37"/>
    </row>
    <row r="27" spans="2:8">
      <c r="B27" s="39" t="s">
        <v>309</v>
      </c>
      <c r="C27" s="44">
        <f>SUMIF('Loan Tape'!$I$14:$I$1048576,B27,'Loan Tape'!$R$14:$R$1048576)</f>
        <v>0</v>
      </c>
      <c r="D27" s="39">
        <f>COUNTIFS('Loan Tape'!$R$14:$R$1048576,"&gt;0",'Loan Tape'!$I$14:$I$1048576,B27)</f>
        <v>0</v>
      </c>
      <c r="E27" s="49">
        <f t="shared" si="0"/>
        <v>0</v>
      </c>
      <c r="F27" s="37"/>
      <c r="G27" s="37"/>
      <c r="H27" s="37"/>
    </row>
    <row r="28" spans="2:8">
      <c r="B28" s="39" t="s">
        <v>310</v>
      </c>
      <c r="C28" s="44">
        <f>SUMIF('Loan Tape'!$I$14:$I$1048576,B28,'Loan Tape'!$R$14:$R$1048576)</f>
        <v>0</v>
      </c>
      <c r="D28" s="39">
        <f>COUNTIFS('Loan Tape'!$R$14:$R$1048576,"&gt;0",'Loan Tape'!$I$14:$I$1048576,B28)</f>
        <v>0</v>
      </c>
      <c r="E28" s="49">
        <f t="shared" si="0"/>
        <v>0</v>
      </c>
      <c r="F28" s="37"/>
      <c r="G28" s="37"/>
      <c r="H28" s="37"/>
    </row>
    <row r="29" spans="2:8">
      <c r="B29" s="39" t="s">
        <v>155</v>
      </c>
      <c r="C29" s="44">
        <f>SUMIF('Loan Tape'!$I$14:$I$1048576,B29,'Loan Tape'!$R$14:$R$1048576)</f>
        <v>0</v>
      </c>
      <c r="D29" s="39">
        <f>COUNTIFS('Loan Tape'!$R$14:$R$1048576,"&gt;0",'Loan Tape'!$I$14:$I$1048576,B29)</f>
        <v>0</v>
      </c>
      <c r="E29" s="49">
        <f t="shared" si="0"/>
        <v>0</v>
      </c>
      <c r="F29" s="37"/>
      <c r="G29" s="37"/>
      <c r="H29" s="37"/>
    </row>
    <row r="30" spans="2:8">
      <c r="B30" s="39" t="s">
        <v>1248</v>
      </c>
      <c r="C30" s="44">
        <f>SUMIF('Loan Tape'!$I$14:$I$1048576,B30,'Loan Tape'!$R$14:$R$1048576)</f>
        <v>0</v>
      </c>
      <c r="D30" s="39">
        <f>COUNTIFS('Loan Tape'!$R$14:$R$1048576,"&gt;0",'Loan Tape'!$I$14:$I$1048576,B30)</f>
        <v>0</v>
      </c>
      <c r="E30" s="49">
        <f t="shared" si="0"/>
        <v>0</v>
      </c>
      <c r="F30" s="37"/>
      <c r="G30" s="37"/>
      <c r="H30" s="37"/>
    </row>
    <row r="31" spans="2:8" ht="15.75" thickBot="1">
      <c r="B31" s="46" t="s">
        <v>56</v>
      </c>
      <c r="C31" s="47">
        <f>SUM(C24:C30)</f>
        <v>80863477.579999998</v>
      </c>
      <c r="D31" s="47">
        <f>SUM(D24:D30)</f>
        <v>65</v>
      </c>
      <c r="E31" s="48">
        <f>SUM(E24:Z29)</f>
        <v>1</v>
      </c>
      <c r="F31" s="37"/>
      <c r="G31" s="37"/>
      <c r="H31" s="37"/>
    </row>
    <row r="32" spans="2:8" ht="15.75" thickTop="1">
      <c r="F32" s="37"/>
      <c r="G32" s="37"/>
      <c r="H32" s="37"/>
    </row>
    <row r="33" spans="2:24">
      <c r="F33" s="37"/>
      <c r="G33" s="37"/>
      <c r="H33" s="37"/>
    </row>
    <row r="34" spans="2:24" ht="25.5">
      <c r="B34" s="42" t="s">
        <v>311</v>
      </c>
      <c r="C34" s="43" t="s">
        <v>16</v>
      </c>
      <c r="D34" s="42" t="s">
        <v>298</v>
      </c>
      <c r="E34" s="42" t="s">
        <v>299</v>
      </c>
      <c r="F34" s="37"/>
      <c r="G34" s="37"/>
      <c r="H34" s="37"/>
    </row>
    <row r="35" spans="2:24">
      <c r="B35" s="51">
        <v>0.01</v>
      </c>
      <c r="C35" s="44">
        <f>SUMIF('Loan Tape'!$N$14:$N$1048576,B35,'Loan Tape'!$R$14:$R$1048576)</f>
        <v>3750000</v>
      </c>
      <c r="D35" s="39">
        <f>COUNTIFS('Loan Tape'!$R$14:$R$1048576,"&gt;0",'Loan Tape'!$N$14:$N$1048576,B35)</f>
        <v>1</v>
      </c>
      <c r="E35" s="45">
        <f>C35/$C$44</f>
        <v>4.6374458683032069E-2</v>
      </c>
      <c r="F35" s="37"/>
      <c r="G35" s="37"/>
      <c r="H35" s="37"/>
    </row>
    <row r="36" spans="2:24">
      <c r="B36" s="51">
        <f t="shared" ref="B36:B42" si="1">B35+0.0025</f>
        <v>1.2500000000000001E-2</v>
      </c>
      <c r="C36" s="44">
        <f>SUMIF('Loan Tape'!$N$14:$N$1048576,B36,'Loan Tape'!$R$14:$R$1048576)</f>
        <v>21274716.419999998</v>
      </c>
      <c r="D36" s="39">
        <f>COUNTIFS('Loan Tape'!$R$14:$R$1048576,"&gt;0",'Loan Tape'!$N$14:$N$1048576,B36)</f>
        <v>12</v>
      </c>
      <c r="E36" s="45">
        <f t="shared" ref="E36:E43" si="2">C36/$C$44</f>
        <v>0.26309425536333703</v>
      </c>
      <c r="F36" s="37"/>
      <c r="G36" s="37"/>
      <c r="H36" s="37"/>
    </row>
    <row r="37" spans="2:24">
      <c r="B37" s="51">
        <f t="shared" si="1"/>
        <v>1.5000000000000001E-2</v>
      </c>
      <c r="C37" s="44">
        <f>SUMIF('Loan Tape'!$N$14:$N$1048576,B37,'Loan Tape'!$R$14:$R$1048576)</f>
        <v>22289822.729999997</v>
      </c>
      <c r="D37" s="39">
        <f>COUNTIFS('Loan Tape'!$R$14:$R$1048576,"&gt;0",'Loan Tape'!$N$14:$N$1048576,B37)</f>
        <v>11</v>
      </c>
      <c r="E37" s="45">
        <f t="shared" si="2"/>
        <v>0.27564759019853169</v>
      </c>
      <c r="F37" s="37"/>
      <c r="G37" s="37"/>
      <c r="H37" s="37"/>
    </row>
    <row r="38" spans="2:24">
      <c r="B38" s="51">
        <f t="shared" si="1"/>
        <v>1.7500000000000002E-2</v>
      </c>
      <c r="C38" s="44">
        <f>SUMIF('Loan Tape'!$N$14:$N$1048576,B38,'Loan Tape'!$R$14:$R$1048576)</f>
        <v>843750</v>
      </c>
      <c r="D38" s="39">
        <f>COUNTIFS('Loan Tape'!$R$14:$R$1048576,"&gt;0",'Loan Tape'!$N$14:$N$1048576,B38)</f>
        <v>2</v>
      </c>
      <c r="E38" s="45">
        <f t="shared" si="2"/>
        <v>1.0434253203682216E-2</v>
      </c>
      <c r="F38" s="37"/>
      <c r="G38" s="37"/>
      <c r="H38" s="37"/>
    </row>
    <row r="39" spans="2:24">
      <c r="B39" s="51">
        <f t="shared" si="1"/>
        <v>0.02</v>
      </c>
      <c r="C39" s="44">
        <f>SUMIF('Loan Tape'!$N$14:$N$1048576,B39,'Loan Tape'!$R$14:$R$1048576)</f>
        <v>19889266.629999999</v>
      </c>
      <c r="D39" s="39">
        <f>COUNTIFS('Loan Tape'!$R$14:$R$1048576,"&gt;0",'Loan Tape'!$N$14:$N$1048576,B39)</f>
        <v>17</v>
      </c>
      <c r="E39" s="45">
        <f t="shared" si="2"/>
        <v>0.24596105961833159</v>
      </c>
      <c r="F39" s="37"/>
      <c r="G39" s="37"/>
      <c r="H39" s="37"/>
    </row>
    <row r="40" spans="2:24">
      <c r="B40" s="51">
        <f t="shared" si="1"/>
        <v>2.2499999999999999E-2</v>
      </c>
      <c r="C40" s="44">
        <f>SUMIF('Loan Tape'!$N$14:$N$1048576,B40,'Loan Tape'!$R$14:$R$1048576)</f>
        <v>4408725</v>
      </c>
      <c r="D40" s="39">
        <f>COUNTIFS('Loan Tape'!$R$14:$R$1048576,"&gt;0",'Loan Tape'!$N$14:$N$1048576,B40)</f>
        <v>6</v>
      </c>
      <c r="E40" s="45">
        <f t="shared" si="2"/>
        <v>5.4520596095293486E-2</v>
      </c>
      <c r="F40" s="37"/>
      <c r="G40" s="37"/>
      <c r="H40" s="37"/>
    </row>
    <row r="41" spans="2:24">
      <c r="B41" s="51">
        <f t="shared" si="1"/>
        <v>2.4999999999999998E-2</v>
      </c>
      <c r="C41" s="44">
        <f>SUMIF('Loan Tape'!$N$14:$N$1048576,B41,'Loan Tape'!$R$14:$R$1048576)</f>
        <v>2436940.23</v>
      </c>
      <c r="D41" s="39">
        <f>COUNTIFS('Loan Tape'!$R$14:$R$1048576,"&gt;0",'Loan Tape'!$N$14:$N$1048576,B41)</f>
        <v>5</v>
      </c>
      <c r="E41" s="45">
        <f t="shared" si="2"/>
        <v>3.0136475735774312E-2</v>
      </c>
      <c r="F41" s="37"/>
      <c r="G41" s="37"/>
      <c r="H41" s="37"/>
      <c r="U41" t="s">
        <v>312</v>
      </c>
      <c r="V41" t="s">
        <v>313</v>
      </c>
      <c r="W41" t="s">
        <v>314</v>
      </c>
      <c r="X41" t="s">
        <v>315</v>
      </c>
    </row>
    <row r="42" spans="2:24">
      <c r="B42" s="51">
        <f t="shared" si="1"/>
        <v>2.7499999999999997E-2</v>
      </c>
      <c r="C42" s="44">
        <f>SUMIF('Loan Tape'!$N$14:$N$1048576,B42,'Loan Tape'!$R$14:$R$1048576)</f>
        <v>4669981.57</v>
      </c>
      <c r="D42" s="39">
        <f>COUNTIFS('Loan Tape'!$R$14:$R$1048576,"&gt;0",'Loan Tape'!$N$14:$N$1048576,B42)</f>
        <v>7</v>
      </c>
      <c r="E42" s="45">
        <f t="shared" si="2"/>
        <v>5.7751431298263003E-2</v>
      </c>
      <c r="F42" s="37"/>
      <c r="G42" s="37"/>
      <c r="H42" s="37"/>
      <c r="U42" s="52" t="s">
        <v>316</v>
      </c>
      <c r="V42">
        <v>570170223.33999968</v>
      </c>
      <c r="W42">
        <v>410</v>
      </c>
      <c r="X42" s="53">
        <v>0.63615464856452042</v>
      </c>
    </row>
    <row r="43" spans="2:24">
      <c r="B43" s="51" t="s">
        <v>317</v>
      </c>
      <c r="C43" s="54">
        <f>C14-SUM(C35:C42)</f>
        <v>1300275.0000000149</v>
      </c>
      <c r="D43" s="54">
        <f>D31-SUM(D35:D42)</f>
        <v>4</v>
      </c>
      <c r="E43" s="45">
        <f t="shared" si="2"/>
        <v>1.6079879803754724E-2</v>
      </c>
      <c r="F43" s="37"/>
      <c r="G43" s="37"/>
      <c r="H43" s="37"/>
      <c r="U43" s="52" t="s">
        <v>318</v>
      </c>
      <c r="V43">
        <v>252314058.04750025</v>
      </c>
      <c r="W43">
        <v>321</v>
      </c>
      <c r="X43" s="53">
        <v>0.281513755637465</v>
      </c>
    </row>
    <row r="44" spans="2:24" ht="15.75" thickBot="1">
      <c r="B44" s="46" t="s">
        <v>56</v>
      </c>
      <c r="C44" s="47">
        <f>SUM(C35:C43)</f>
        <v>80863477.579999998</v>
      </c>
      <c r="D44" s="46">
        <f>SUM(D35:D43)</f>
        <v>65</v>
      </c>
      <c r="E44" s="48">
        <f>SUM(E35:E43)</f>
        <v>1</v>
      </c>
      <c r="F44" s="37"/>
      <c r="G44" s="37"/>
      <c r="H44" s="37"/>
      <c r="U44" s="52" t="s">
        <v>319</v>
      </c>
      <c r="V44">
        <v>45001292.350000016</v>
      </c>
      <c r="W44">
        <v>60</v>
      </c>
      <c r="X44" s="53">
        <v>5.0209183412218271E-2</v>
      </c>
    </row>
    <row r="45" spans="2:24" ht="15.75" thickTop="1">
      <c r="F45" s="37"/>
      <c r="G45" s="37"/>
      <c r="H45" s="37"/>
      <c r="U45" s="52" t="s">
        <v>320</v>
      </c>
      <c r="V45">
        <v>28790551.299999997</v>
      </c>
      <c r="W45">
        <v>54</v>
      </c>
      <c r="X45" s="53">
        <v>3.2122412385798486E-2</v>
      </c>
    </row>
    <row r="46" spans="2:24">
      <c r="F46" s="37"/>
      <c r="G46" s="37"/>
      <c r="H46" s="37"/>
      <c r="U46" s="52" t="s">
        <v>56</v>
      </c>
      <c r="V46">
        <v>896276125.037498</v>
      </c>
      <c r="W46">
        <v>845</v>
      </c>
      <c r="X46" s="53">
        <v>1</v>
      </c>
    </row>
    <row r="47" spans="2:24" ht="25.5">
      <c r="B47" s="42" t="s">
        <v>321</v>
      </c>
      <c r="C47" s="43" t="s">
        <v>16</v>
      </c>
      <c r="D47" s="42" t="s">
        <v>298</v>
      </c>
      <c r="E47" s="42" t="s">
        <v>299</v>
      </c>
      <c r="F47" s="37"/>
      <c r="G47" s="37"/>
      <c r="H47" s="37"/>
    </row>
    <row r="48" spans="2:24">
      <c r="B48" s="55" t="s">
        <v>322</v>
      </c>
      <c r="C48" s="44">
        <f>SUMIFS('Loan Tape'!$R$14:$R$1048576,'Loan Tape'!$P$14:$P$1048576,"&gt;"&amp;Strats!G48,'Loan Tape'!$P$14:$P$1048576,"&lt;="&amp;Strats!H48)</f>
        <v>61222914.150000006</v>
      </c>
      <c r="D48" s="39">
        <f>COUNTIFS('Loan Tape'!$P$14:$P$1048576,"&gt;"&amp;Strats!G48,'Loan Tape'!$P$14:$P$1048576,"&lt;="&amp;Strats!H48)</f>
        <v>30</v>
      </c>
      <c r="E48" s="45">
        <f>C48/$C$53</f>
        <v>0.75711453405439855</v>
      </c>
      <c r="F48" s="37"/>
      <c r="G48" s="56">
        <v>0</v>
      </c>
      <c r="H48" s="56">
        <v>0.01</v>
      </c>
    </row>
    <row r="49" spans="2:24">
      <c r="B49" s="55" t="s">
        <v>323</v>
      </c>
      <c r="C49" s="44">
        <f>SUMIFS('Loan Tape'!$R$14:$R$1048576,'Loan Tape'!$P$14:$P$1048576,"&gt;"&amp;Strats!G49,'Loan Tape'!$P$14:$P$1048576,"&lt;="&amp;Strats!H49)</f>
        <v>16121456.859999999</v>
      </c>
      <c r="D49" s="39">
        <f>COUNTIFS('Loan Tape'!$P$14:$P$1048576,"&gt;"&amp;Strats!G49,'Loan Tape'!$P$14:$P$1048576,"&lt;="&amp;Strats!H49)</f>
        <v>25</v>
      </c>
      <c r="E49" s="45">
        <f>C49/$C$53</f>
        <v>0.19936635601716104</v>
      </c>
      <c r="F49" s="37"/>
      <c r="G49" s="56">
        <v>0.01</v>
      </c>
      <c r="H49" s="56">
        <v>0.02</v>
      </c>
    </row>
    <row r="50" spans="2:24">
      <c r="B50" s="55" t="s">
        <v>324</v>
      </c>
      <c r="C50" s="44">
        <f>SUMIFS('Loan Tape'!$R$14:$R$1048576,'Loan Tape'!$P$14:$P$1048576,"&gt;"&amp;Strats!G50,'Loan Tape'!$P$14:$P$1048576,"&lt;="&amp;Strats!H50)</f>
        <v>3176850</v>
      </c>
      <c r="D50" s="39">
        <f>COUNTIFS('Loan Tape'!$P$14:$P$1048576,"&gt;"&amp;Strats!G50,'Loan Tape'!$P$14:$P$1048576,"&lt;="&amp;Strats!H50)</f>
        <v>9</v>
      </c>
      <c r="E50" s="45">
        <f>C50/$C$53</f>
        <v>3.9286586417917449E-2</v>
      </c>
      <c r="F50" s="37"/>
      <c r="G50" s="56">
        <v>0.02</v>
      </c>
      <c r="H50" s="56">
        <v>0.03</v>
      </c>
    </row>
    <row r="51" spans="2:24">
      <c r="B51" s="55" t="s">
        <v>325</v>
      </c>
      <c r="C51" s="44">
        <f>SUMIFS('Loan Tape'!$R$14:$R$1048576,'Loan Tape'!$P$14:$P$1048576,"&gt;"&amp;Strats!G51,'Loan Tape'!$P$14:$P$1048576,"&lt;="&amp;Strats!H51)</f>
        <v>342256.57</v>
      </c>
      <c r="D51" s="39">
        <f>COUNTIFS('Loan Tape'!$P$14:$P$1048576,"&gt;"&amp;Strats!G51,'Loan Tape'!$P$14:$P$1048576,"&lt;="&amp;Strats!H51)</f>
        <v>1</v>
      </c>
      <c r="E51" s="45">
        <f>C51/$C$53</f>
        <v>4.232523510523006E-3</v>
      </c>
      <c r="F51" s="37"/>
      <c r="G51" s="56">
        <v>0.03</v>
      </c>
      <c r="H51" s="56">
        <v>0.04</v>
      </c>
    </row>
    <row r="52" spans="2:24">
      <c r="B52" s="39" t="s">
        <v>326</v>
      </c>
      <c r="C52" s="44">
        <f>SUMIFS('Loan Tape'!$R$14:$R$1048576,'Loan Tape'!$P$14:$P$1048576,"&gt;"&amp;Strats!G52,'Loan Tape'!$P$14:$P$1048576,"&lt;="&amp;Strats!H52)</f>
        <v>0</v>
      </c>
      <c r="D52" s="39">
        <f>COUNTIFS('Loan Tape'!$P$14:$P$1048576,"&gt;"&amp;Strats!G52,'Loan Tape'!$P$14:$P$1048576,"&lt;="&amp;Strats!H52)</f>
        <v>0</v>
      </c>
      <c r="E52" s="45">
        <f>C52/$C$53</f>
        <v>0</v>
      </c>
      <c r="F52" s="37"/>
      <c r="G52" s="56">
        <v>0.04</v>
      </c>
      <c r="H52" s="56">
        <v>0.06</v>
      </c>
    </row>
    <row r="53" spans="2:24" ht="15.75" thickBot="1">
      <c r="B53" s="46" t="s">
        <v>56</v>
      </c>
      <c r="C53" s="47">
        <f>SUM(C48:C52)</f>
        <v>80863477.579999998</v>
      </c>
      <c r="D53" s="46">
        <f>SUM(D48:D52)</f>
        <v>65</v>
      </c>
      <c r="E53" s="48">
        <f>SUM(E48:E52)</f>
        <v>1</v>
      </c>
      <c r="F53" s="37"/>
      <c r="G53" s="56"/>
      <c r="H53" s="56"/>
    </row>
    <row r="54" spans="2:24" ht="15.75" thickTop="1">
      <c r="F54" s="37"/>
      <c r="G54" s="37"/>
      <c r="H54" s="37"/>
    </row>
    <row r="55" spans="2:24" hidden="1">
      <c r="F55" s="37"/>
      <c r="G55" s="37"/>
      <c r="H55" s="37"/>
    </row>
    <row r="56" spans="2:24" hidden="1">
      <c r="F56" s="37"/>
      <c r="G56" s="57">
        <v>0</v>
      </c>
      <c r="H56" s="57">
        <v>500000</v>
      </c>
    </row>
    <row r="57" spans="2:24" hidden="1">
      <c r="F57" s="37"/>
      <c r="G57" s="57">
        <v>500000</v>
      </c>
      <c r="H57" s="57">
        <v>1000000</v>
      </c>
    </row>
    <row r="58" spans="2:24" hidden="1">
      <c r="F58" s="37"/>
      <c r="G58" s="57">
        <v>1000000</v>
      </c>
      <c r="H58" s="57">
        <v>1500000</v>
      </c>
    </row>
    <row r="59" spans="2:24" hidden="1">
      <c r="F59" s="37"/>
      <c r="G59" s="57">
        <v>1500000</v>
      </c>
      <c r="H59" s="57">
        <v>2000000</v>
      </c>
    </row>
    <row r="60" spans="2:24" hidden="1">
      <c r="F60" s="37"/>
      <c r="G60" s="57">
        <v>2000000</v>
      </c>
      <c r="H60" s="57">
        <v>2500000</v>
      </c>
    </row>
    <row r="61" spans="2:24" hidden="1">
      <c r="F61" s="37"/>
      <c r="G61" s="57">
        <v>2500000</v>
      </c>
      <c r="H61" s="57">
        <v>3000000</v>
      </c>
    </row>
    <row r="62" spans="2:24" hidden="1">
      <c r="F62" s="37"/>
      <c r="G62" s="57">
        <v>3000000</v>
      </c>
      <c r="H62" s="57">
        <v>3500000</v>
      </c>
      <c r="V62" t="s">
        <v>312</v>
      </c>
      <c r="W62" t="s">
        <v>45</v>
      </c>
      <c r="X62" t="s">
        <v>334</v>
      </c>
    </row>
    <row r="63" spans="2:24" hidden="1">
      <c r="F63" s="37"/>
      <c r="G63" s="57">
        <v>3500000</v>
      </c>
      <c r="H63" s="57">
        <v>4000000</v>
      </c>
      <c r="V63" s="58" t="s">
        <v>52</v>
      </c>
      <c r="W63">
        <v>145146121.68749997</v>
      </c>
      <c r="X63">
        <v>153</v>
      </c>
    </row>
    <row r="64" spans="2:24" hidden="1">
      <c r="F64" s="37"/>
      <c r="G64" s="57">
        <v>4000000</v>
      </c>
      <c r="H64" s="57">
        <v>5000000</v>
      </c>
      <c r="V64" s="58" t="s">
        <v>42</v>
      </c>
      <c r="W64">
        <v>137324669.49499997</v>
      </c>
      <c r="X64">
        <v>108</v>
      </c>
    </row>
    <row r="65" spans="2:24" hidden="1">
      <c r="F65" s="37"/>
      <c r="G65" s="37"/>
      <c r="H65" s="37"/>
      <c r="V65" s="58" t="s">
        <v>49</v>
      </c>
      <c r="W65">
        <v>73068859.200000018</v>
      </c>
      <c r="X65">
        <v>75</v>
      </c>
    </row>
    <row r="66" spans="2:24" hidden="1">
      <c r="F66" s="37"/>
      <c r="G66" s="37"/>
      <c r="H66" s="37"/>
      <c r="V66" s="58" t="s">
        <v>40</v>
      </c>
      <c r="W66">
        <v>58328366.959999986</v>
      </c>
      <c r="X66">
        <v>60</v>
      </c>
    </row>
    <row r="67" spans="2:24">
      <c r="F67" s="37"/>
      <c r="G67" s="37"/>
      <c r="H67" s="37"/>
      <c r="V67" s="58" t="s">
        <v>29</v>
      </c>
      <c r="W67">
        <v>54187582.549999997</v>
      </c>
      <c r="X67">
        <v>43</v>
      </c>
    </row>
    <row r="68" spans="2:24" ht="25.5">
      <c r="B68" s="42" t="s">
        <v>5</v>
      </c>
      <c r="C68" s="43" t="s">
        <v>16</v>
      </c>
      <c r="D68" s="42" t="s">
        <v>298</v>
      </c>
      <c r="E68" s="42" t="s">
        <v>299</v>
      </c>
      <c r="F68" s="37"/>
      <c r="G68" s="37"/>
      <c r="H68" s="140" t="s">
        <v>312</v>
      </c>
      <c r="I68" t="s">
        <v>45</v>
      </c>
      <c r="J68" t="s">
        <v>334</v>
      </c>
      <c r="L68" s="140" t="s">
        <v>312</v>
      </c>
      <c r="M68" t="s">
        <v>45</v>
      </c>
      <c r="N68" t="s">
        <v>334</v>
      </c>
      <c r="P68" s="140" t="s">
        <v>312</v>
      </c>
      <c r="Q68" t="s">
        <v>45</v>
      </c>
      <c r="R68" t="s">
        <v>334</v>
      </c>
      <c r="V68" s="58" t="s">
        <v>76</v>
      </c>
      <c r="W68">
        <v>44592366.820000008</v>
      </c>
      <c r="X68">
        <v>38</v>
      </c>
    </row>
    <row r="69" spans="2:24">
      <c r="B69" s="39" t="s">
        <v>52</v>
      </c>
      <c r="C69" s="54">
        <v>35259984.199999996</v>
      </c>
      <c r="D69" s="39">
        <v>39</v>
      </c>
      <c r="E69" s="49">
        <f t="shared" ref="E69:E79" si="3">C69/$C$80</f>
        <v>0.43604338145260357</v>
      </c>
      <c r="F69" s="37"/>
      <c r="G69" s="37"/>
      <c r="H69" s="58" t="s">
        <v>51</v>
      </c>
      <c r="I69">
        <v>40040352.769999996</v>
      </c>
      <c r="J69">
        <v>16</v>
      </c>
      <c r="L69" s="58" t="s">
        <v>52</v>
      </c>
      <c r="M69" s="224">
        <v>35259984.199999996</v>
      </c>
      <c r="N69">
        <v>39</v>
      </c>
      <c r="O69" s="59"/>
      <c r="P69" s="58" t="s">
        <v>1252</v>
      </c>
      <c r="Q69" s="224">
        <v>22605159.34</v>
      </c>
      <c r="R69">
        <v>12</v>
      </c>
      <c r="V69" s="58" t="s">
        <v>25</v>
      </c>
      <c r="W69">
        <v>43807783.219999991</v>
      </c>
      <c r="X69">
        <v>59</v>
      </c>
    </row>
    <row r="70" spans="2:24">
      <c r="B70" s="39" t="s">
        <v>42</v>
      </c>
      <c r="C70" s="54">
        <v>18753208.780000001</v>
      </c>
      <c r="D70" s="39">
        <v>17</v>
      </c>
      <c r="E70" s="49">
        <f t="shared" si="3"/>
        <v>0.2319119748646358</v>
      </c>
      <c r="F70" s="37"/>
      <c r="G70" s="37"/>
      <c r="H70" s="58" t="s">
        <v>48</v>
      </c>
      <c r="I70">
        <v>13556865.93</v>
      </c>
      <c r="J70">
        <v>10</v>
      </c>
      <c r="L70" s="58" t="s">
        <v>42</v>
      </c>
      <c r="M70" s="224">
        <v>18753208.780000001</v>
      </c>
      <c r="N70">
        <v>17</v>
      </c>
      <c r="O70" s="59"/>
      <c r="P70" s="58" t="s">
        <v>1284</v>
      </c>
      <c r="Q70" s="224">
        <v>19751119.959999997</v>
      </c>
      <c r="R70">
        <v>21</v>
      </c>
      <c r="V70" s="58" t="s">
        <v>31</v>
      </c>
      <c r="W70">
        <v>39915859.969999991</v>
      </c>
      <c r="X70">
        <v>36</v>
      </c>
    </row>
    <row r="71" spans="2:24">
      <c r="B71" s="39" t="s">
        <v>49</v>
      </c>
      <c r="C71" s="54">
        <v>15758436.890000002</v>
      </c>
      <c r="D71" s="39">
        <v>18</v>
      </c>
      <c r="E71" s="49">
        <f t="shared" si="3"/>
        <v>0.19487706145719294</v>
      </c>
      <c r="F71" s="37"/>
      <c r="G71" s="37"/>
      <c r="H71" s="58" t="s">
        <v>86</v>
      </c>
      <c r="I71">
        <v>11874912.280000001</v>
      </c>
      <c r="J71">
        <v>10</v>
      </c>
      <c r="L71" s="58" t="s">
        <v>49</v>
      </c>
      <c r="M71" s="224">
        <v>15758436.890000002</v>
      </c>
      <c r="N71">
        <v>18</v>
      </c>
      <c r="O71" s="59"/>
      <c r="P71" s="58" t="s">
        <v>1301</v>
      </c>
      <c r="Q71" s="224">
        <v>14780098.720000001</v>
      </c>
      <c r="R71">
        <v>9</v>
      </c>
      <c r="V71" s="58" t="s">
        <v>74</v>
      </c>
      <c r="W71">
        <v>39153110.457500003</v>
      </c>
      <c r="X71">
        <v>44</v>
      </c>
    </row>
    <row r="72" spans="2:24">
      <c r="B72" s="39" t="s">
        <v>40</v>
      </c>
      <c r="C72" s="54">
        <v>13471444.449999999</v>
      </c>
      <c r="D72" s="39">
        <v>12</v>
      </c>
      <c r="E72" s="49">
        <f t="shared" si="3"/>
        <v>0.16659491841260976</v>
      </c>
      <c r="F72" s="37"/>
      <c r="G72" s="37"/>
      <c r="H72" s="58" t="s">
        <v>111</v>
      </c>
      <c r="I72">
        <v>7768335.6200000001</v>
      </c>
      <c r="J72">
        <v>9</v>
      </c>
      <c r="L72" s="58" t="s">
        <v>40</v>
      </c>
      <c r="M72" s="224">
        <v>13471444.449999999</v>
      </c>
      <c r="N72">
        <v>12</v>
      </c>
      <c r="O72" s="59"/>
      <c r="P72" s="58" t="s">
        <v>1267</v>
      </c>
      <c r="Q72" s="224">
        <v>9599149.2400000002</v>
      </c>
      <c r="R72">
        <v>9</v>
      </c>
      <c r="V72" s="58" t="s">
        <v>82</v>
      </c>
      <c r="W72">
        <v>38500743.189999998</v>
      </c>
      <c r="X72">
        <v>36</v>
      </c>
    </row>
    <row r="73" spans="2:24">
      <c r="B73" s="39" t="s">
        <v>74</v>
      </c>
      <c r="C73" s="54">
        <v>10303963.280000001</v>
      </c>
      <c r="D73" s="39">
        <v>13</v>
      </c>
      <c r="E73" s="49">
        <f t="shared" si="3"/>
        <v>0.12742419183995723</v>
      </c>
      <c r="F73" s="37"/>
      <c r="G73" s="37"/>
      <c r="H73" s="58" t="s">
        <v>67</v>
      </c>
      <c r="I73">
        <v>6547425.1000000006</v>
      </c>
      <c r="J73">
        <v>5</v>
      </c>
      <c r="L73" s="58" t="s">
        <v>74</v>
      </c>
      <c r="M73" s="224">
        <v>10303963.280000001</v>
      </c>
      <c r="N73">
        <v>13</v>
      </c>
      <c r="O73" s="59"/>
      <c r="P73" s="58" t="s">
        <v>1263</v>
      </c>
      <c r="Q73" s="224">
        <v>7795574.1500000004</v>
      </c>
      <c r="R73">
        <v>10</v>
      </c>
      <c r="V73" s="58" t="s">
        <v>120</v>
      </c>
      <c r="W73">
        <v>25997956.852500007</v>
      </c>
      <c r="X73">
        <v>28</v>
      </c>
    </row>
    <row r="74" spans="2:24">
      <c r="B74" s="39" t="s">
        <v>76</v>
      </c>
      <c r="C74" s="54">
        <v>8521845.1600000001</v>
      </c>
      <c r="D74" s="39">
        <v>6</v>
      </c>
      <c r="E74" s="49">
        <f t="shared" si="3"/>
        <v>0.10538558834016448</v>
      </c>
      <c r="F74" s="37"/>
      <c r="G74" s="37"/>
      <c r="H74" s="58" t="s">
        <v>65</v>
      </c>
      <c r="I74">
        <v>5780822.25</v>
      </c>
      <c r="J74">
        <v>4</v>
      </c>
      <c r="L74" s="58" t="s">
        <v>76</v>
      </c>
      <c r="M74" s="224">
        <v>8521845.1600000001</v>
      </c>
      <c r="N74">
        <v>6</v>
      </c>
      <c r="O74" s="59"/>
      <c r="P74" s="58" t="s">
        <v>1291</v>
      </c>
      <c r="Q74" s="224">
        <v>5946025.1699999999</v>
      </c>
      <c r="R74">
        <v>3</v>
      </c>
      <c r="V74" s="58" t="s">
        <v>109</v>
      </c>
      <c r="W74">
        <v>18282286.289999995</v>
      </c>
      <c r="X74">
        <v>21</v>
      </c>
    </row>
    <row r="75" spans="2:24">
      <c r="B75" s="39" t="s">
        <v>35</v>
      </c>
      <c r="C75" s="54">
        <v>7746729.8599999994</v>
      </c>
      <c r="D75" s="39">
        <v>8</v>
      </c>
      <c r="E75" s="49">
        <f t="shared" si="3"/>
        <v>9.5800107685648214E-2</v>
      </c>
      <c r="F75" s="37"/>
      <c r="G75" s="37"/>
      <c r="H75" s="58" t="s">
        <v>159</v>
      </c>
      <c r="I75">
        <v>5517860.2699999996</v>
      </c>
      <c r="J75">
        <v>3</v>
      </c>
      <c r="L75" s="58" t="s">
        <v>35</v>
      </c>
      <c r="M75" s="224">
        <v>7746729.8599999994</v>
      </c>
      <c r="N75">
        <v>8</v>
      </c>
      <c r="O75" s="59"/>
      <c r="P75" s="58" t="s">
        <v>1256</v>
      </c>
      <c r="Q75" s="224">
        <v>4889195.37</v>
      </c>
      <c r="R75">
        <v>11</v>
      </c>
      <c r="V75" s="58" t="s">
        <v>112</v>
      </c>
      <c r="W75">
        <v>17670068.100000001</v>
      </c>
      <c r="X75">
        <v>13</v>
      </c>
    </row>
    <row r="76" spans="2:24">
      <c r="B76" s="39" t="s">
        <v>29</v>
      </c>
      <c r="C76" s="54">
        <v>7193490.0900000008</v>
      </c>
      <c r="D76" s="39">
        <v>6</v>
      </c>
      <c r="E76" s="49">
        <f t="shared" si="3"/>
        <v>8.8958455724134841E-2</v>
      </c>
      <c r="F76" s="37"/>
      <c r="G76" s="37"/>
      <c r="H76" s="58" t="s">
        <v>34</v>
      </c>
      <c r="I76">
        <v>4985919.6900000004</v>
      </c>
      <c r="J76">
        <v>13</v>
      </c>
      <c r="L76" s="58" t="s">
        <v>29</v>
      </c>
      <c r="M76" s="224">
        <v>7193490.0900000008</v>
      </c>
      <c r="N76">
        <v>6</v>
      </c>
      <c r="O76" s="59"/>
      <c r="P76" s="58" t="s">
        <v>1257</v>
      </c>
      <c r="Q76" s="224">
        <v>3743925</v>
      </c>
      <c r="R76">
        <v>8</v>
      </c>
      <c r="V76" s="58" t="s">
        <v>87</v>
      </c>
      <c r="W76">
        <v>17182439.850000001</v>
      </c>
      <c r="X76">
        <v>13</v>
      </c>
    </row>
    <row r="77" spans="2:24">
      <c r="B77" s="39" t="s">
        <v>93</v>
      </c>
      <c r="C77" s="54">
        <v>5943300.4699999997</v>
      </c>
      <c r="D77" s="39">
        <v>7</v>
      </c>
      <c r="E77" s="49">
        <f t="shared" si="3"/>
        <v>7.3497957889829352E-2</v>
      </c>
      <c r="F77" s="37"/>
      <c r="G77" s="37"/>
      <c r="H77" s="58" t="s">
        <v>77</v>
      </c>
      <c r="I77">
        <v>4718168.7799999993</v>
      </c>
      <c r="J77">
        <v>6</v>
      </c>
      <c r="L77" s="58" t="s">
        <v>93</v>
      </c>
      <c r="M77" s="224">
        <v>5943300.4699999997</v>
      </c>
      <c r="N77">
        <v>7</v>
      </c>
      <c r="O77" s="59"/>
      <c r="P77" s="58" t="s">
        <v>1276</v>
      </c>
      <c r="Q77" s="224">
        <v>3708263.1</v>
      </c>
      <c r="R77">
        <v>1</v>
      </c>
      <c r="V77" s="58" t="s">
        <v>35</v>
      </c>
      <c r="W77">
        <v>15403622.569999998</v>
      </c>
      <c r="X77">
        <v>24</v>
      </c>
    </row>
    <row r="78" spans="2:24">
      <c r="B78" s="39" t="s">
        <v>25</v>
      </c>
      <c r="C78" s="54">
        <v>5535569.0800000001</v>
      </c>
      <c r="D78" s="39">
        <v>7</v>
      </c>
      <c r="E78" s="49">
        <f t="shared" si="3"/>
        <v>6.8455738556674625E-2</v>
      </c>
      <c r="F78" s="37"/>
      <c r="G78" s="37"/>
      <c r="H78" s="58" t="s">
        <v>58</v>
      </c>
      <c r="I78">
        <v>4194196.83</v>
      </c>
      <c r="J78">
        <v>4</v>
      </c>
      <c r="L78" s="58" t="s">
        <v>25</v>
      </c>
      <c r="M78" s="224">
        <v>5535569.0800000001</v>
      </c>
      <c r="N78">
        <v>7</v>
      </c>
      <c r="O78" s="59"/>
      <c r="P78" s="58" t="s">
        <v>1282</v>
      </c>
      <c r="Q78" s="224">
        <v>3697992.73</v>
      </c>
      <c r="R78">
        <v>1</v>
      </c>
      <c r="V78" s="58" t="s">
        <v>93</v>
      </c>
      <c r="W78">
        <v>15333651.529999999</v>
      </c>
      <c r="X78">
        <v>19</v>
      </c>
    </row>
    <row r="79" spans="2:24">
      <c r="B79" s="39" t="s">
        <v>338</v>
      </c>
      <c r="C79" s="60">
        <f>C53-SUM(C69:C78)</f>
        <v>-47624494.680000007</v>
      </c>
      <c r="D79" s="60">
        <f>D53-SUM(D69:D78)</f>
        <v>-68</v>
      </c>
      <c r="E79" s="49">
        <f t="shared" si="3"/>
        <v>-0.58894937622345089</v>
      </c>
      <c r="F79" s="37"/>
      <c r="G79" s="37"/>
      <c r="H79" s="58" t="s">
        <v>143</v>
      </c>
      <c r="I79">
        <v>4157113.98</v>
      </c>
      <c r="J79">
        <v>2</v>
      </c>
      <c r="L79" s="58" t="s">
        <v>151</v>
      </c>
      <c r="M79" s="224">
        <v>4313403.34</v>
      </c>
      <c r="N79">
        <v>4</v>
      </c>
      <c r="P79" s="58" t="s">
        <v>1258</v>
      </c>
      <c r="Q79" s="224">
        <v>3639138.97</v>
      </c>
      <c r="R79">
        <v>1</v>
      </c>
      <c r="V79" s="58" t="s">
        <v>131</v>
      </c>
      <c r="W79">
        <v>14845708.779999997</v>
      </c>
      <c r="X79">
        <v>16</v>
      </c>
    </row>
    <row r="80" spans="2:24" ht="15.75" thickBot="1">
      <c r="B80" s="61" t="s">
        <v>56</v>
      </c>
      <c r="C80" s="47">
        <f>SUM(C69:C79)</f>
        <v>80863477.579999998</v>
      </c>
      <c r="D80" s="46">
        <f>SUM(D69:D79)</f>
        <v>65</v>
      </c>
      <c r="E80" s="63">
        <f>SUM(E69:E79)</f>
        <v>0.99999999999999989</v>
      </c>
      <c r="F80" s="37"/>
      <c r="G80" s="37"/>
      <c r="H80" s="58" t="s">
        <v>100</v>
      </c>
      <c r="I80">
        <v>3441749.97</v>
      </c>
      <c r="J80">
        <v>2</v>
      </c>
      <c r="L80" s="58" t="s">
        <v>54</v>
      </c>
      <c r="M80" s="224">
        <v>3920136.87</v>
      </c>
      <c r="N80">
        <v>4</v>
      </c>
      <c r="P80" s="58" t="s">
        <v>1273</v>
      </c>
      <c r="Q80" s="224">
        <v>3576819.86</v>
      </c>
      <c r="R80">
        <v>1</v>
      </c>
      <c r="V80" s="58" t="s">
        <v>158</v>
      </c>
      <c r="W80">
        <v>14311045.310000001</v>
      </c>
      <c r="X80">
        <v>10</v>
      </c>
    </row>
    <row r="81" spans="2:24" ht="15.75" thickTop="1">
      <c r="F81" s="37"/>
      <c r="G81" s="37"/>
      <c r="H81" s="58" t="s">
        <v>39</v>
      </c>
      <c r="I81">
        <v>3109918.5200000005</v>
      </c>
      <c r="J81">
        <v>2</v>
      </c>
      <c r="L81" s="58" t="s">
        <v>60</v>
      </c>
      <c r="M81" s="224">
        <v>3608028.89</v>
      </c>
      <c r="N81">
        <v>3</v>
      </c>
      <c r="P81" s="58" t="s">
        <v>1259</v>
      </c>
      <c r="Q81" s="224">
        <v>3388089.49</v>
      </c>
      <c r="R81">
        <v>1</v>
      </c>
      <c r="V81" s="58" t="s">
        <v>54</v>
      </c>
      <c r="W81">
        <v>14084348.610000003</v>
      </c>
      <c r="X81">
        <v>13</v>
      </c>
    </row>
    <row r="82" spans="2:24">
      <c r="F82" s="37"/>
      <c r="G82" s="37"/>
      <c r="H82" s="58" t="s">
        <v>117</v>
      </c>
      <c r="I82">
        <v>2601402.5499999998</v>
      </c>
      <c r="J82">
        <v>3</v>
      </c>
      <c r="L82" s="58" t="s">
        <v>84</v>
      </c>
      <c r="M82" s="224">
        <v>3538910.01</v>
      </c>
      <c r="N82">
        <v>6</v>
      </c>
      <c r="P82" s="58" t="s">
        <v>1288</v>
      </c>
      <c r="Q82" s="224">
        <v>3254707.1399999997</v>
      </c>
      <c r="R82">
        <v>6</v>
      </c>
      <c r="V82" s="58" t="s">
        <v>69</v>
      </c>
      <c r="W82">
        <v>13876402.090000002</v>
      </c>
      <c r="X82">
        <v>7</v>
      </c>
    </row>
    <row r="83" spans="2:24" ht="25.5">
      <c r="B83" s="42" t="s">
        <v>20</v>
      </c>
      <c r="C83" s="43" t="s">
        <v>16</v>
      </c>
      <c r="D83" s="42" t="s">
        <v>298</v>
      </c>
      <c r="E83" s="42" t="s">
        <v>299</v>
      </c>
      <c r="F83" s="37"/>
      <c r="G83" s="37"/>
      <c r="H83" s="58" t="s">
        <v>654</v>
      </c>
      <c r="I83">
        <v>2183108.56</v>
      </c>
      <c r="J83">
        <v>1</v>
      </c>
      <c r="L83" s="58" t="s">
        <v>120</v>
      </c>
      <c r="M83" s="224">
        <v>2945327.27</v>
      </c>
      <c r="N83">
        <v>3</v>
      </c>
      <c r="P83" s="58" t="s">
        <v>1253</v>
      </c>
      <c r="Q83" s="224">
        <v>3238925.37</v>
      </c>
      <c r="R83">
        <v>2</v>
      </c>
      <c r="V83" s="58" t="s">
        <v>151</v>
      </c>
      <c r="W83">
        <v>13403479.140000001</v>
      </c>
      <c r="X83">
        <v>11</v>
      </c>
    </row>
    <row r="84" spans="2:24">
      <c r="B84" s="64" t="s">
        <v>51</v>
      </c>
      <c r="C84" s="54">
        <v>40040352.769999996</v>
      </c>
      <c r="D84" s="39">
        <v>16</v>
      </c>
      <c r="E84" s="230">
        <f t="shared" ref="E84:E94" si="4">C84/$C$95</f>
        <v>0.49515991604970494</v>
      </c>
      <c r="F84" s="65"/>
      <c r="G84" s="37"/>
      <c r="H84" s="58" t="s">
        <v>285</v>
      </c>
      <c r="I84">
        <v>2093187.79</v>
      </c>
      <c r="J84">
        <v>1</v>
      </c>
      <c r="L84" s="58" t="s">
        <v>109</v>
      </c>
      <c r="M84" s="224">
        <v>2830499.97</v>
      </c>
      <c r="N84">
        <v>1</v>
      </c>
      <c r="P84" s="58" t="s">
        <v>1265</v>
      </c>
      <c r="Q84" s="224">
        <v>3220500</v>
      </c>
      <c r="R84">
        <v>3</v>
      </c>
      <c r="V84" s="58" t="s">
        <v>105</v>
      </c>
      <c r="W84">
        <v>12285730.929999998</v>
      </c>
      <c r="X84">
        <v>18</v>
      </c>
    </row>
    <row r="85" spans="2:24">
      <c r="B85" s="64" t="s">
        <v>48</v>
      </c>
      <c r="C85" s="54">
        <v>13556865.93</v>
      </c>
      <c r="D85" s="39">
        <v>10</v>
      </c>
      <c r="E85" s="49">
        <f t="shared" si="4"/>
        <v>0.16765128505125071</v>
      </c>
      <c r="F85" s="65"/>
      <c r="G85" s="37"/>
      <c r="H85" s="58" t="s">
        <v>203</v>
      </c>
      <c r="I85">
        <v>2009217.65</v>
      </c>
      <c r="J85">
        <v>1</v>
      </c>
      <c r="L85" s="58" t="s">
        <v>105</v>
      </c>
      <c r="M85" s="224">
        <v>2706639.34</v>
      </c>
      <c r="N85">
        <v>3</v>
      </c>
      <c r="P85" s="58" t="s">
        <v>1294</v>
      </c>
      <c r="Q85" s="224">
        <v>3195360.4899999998</v>
      </c>
      <c r="R85">
        <v>2</v>
      </c>
      <c r="V85" s="58" t="s">
        <v>103</v>
      </c>
      <c r="W85">
        <v>10135633.73</v>
      </c>
      <c r="X85">
        <v>15</v>
      </c>
    </row>
    <row r="86" spans="2:24">
      <c r="B86" s="64" t="s">
        <v>86</v>
      </c>
      <c r="C86" s="54">
        <v>11874912.280000001</v>
      </c>
      <c r="D86" s="39">
        <v>10</v>
      </c>
      <c r="E86" s="49">
        <f t="shared" si="4"/>
        <v>0.14685136770493074</v>
      </c>
      <c r="F86" s="65"/>
      <c r="G86" s="37"/>
      <c r="H86" s="58" t="s">
        <v>1166</v>
      </c>
      <c r="I86">
        <v>1795625.84</v>
      </c>
      <c r="J86">
        <v>1</v>
      </c>
      <c r="L86" s="58" t="s">
        <v>69</v>
      </c>
      <c r="M86" s="224">
        <v>2631645.7200000002</v>
      </c>
      <c r="N86">
        <v>1</v>
      </c>
      <c r="P86" s="58" t="s">
        <v>1274</v>
      </c>
      <c r="Q86" s="224">
        <v>3060608.56</v>
      </c>
      <c r="R86">
        <v>2</v>
      </c>
      <c r="V86" s="58" t="s">
        <v>79</v>
      </c>
      <c r="W86">
        <v>9051763.4499999993</v>
      </c>
      <c r="X86">
        <v>10</v>
      </c>
    </row>
    <row r="87" spans="2:24">
      <c r="B87" s="64" t="s">
        <v>111</v>
      </c>
      <c r="C87" s="54">
        <v>7768335.6200000001</v>
      </c>
      <c r="D87" s="39">
        <v>9</v>
      </c>
      <c r="E87" s="49">
        <f t="shared" si="4"/>
        <v>9.6067295798831012E-2</v>
      </c>
      <c r="F87" s="65"/>
      <c r="G87" s="37"/>
      <c r="H87" s="58" t="s">
        <v>122</v>
      </c>
      <c r="I87">
        <v>1792265.16</v>
      </c>
      <c r="J87">
        <v>2</v>
      </c>
      <c r="L87" s="58" t="s">
        <v>131</v>
      </c>
      <c r="M87" s="224">
        <v>2444052.5499999998</v>
      </c>
      <c r="N87">
        <v>2</v>
      </c>
      <c r="P87" s="58" t="s">
        <v>1281</v>
      </c>
      <c r="Q87" s="224">
        <v>2830499.97</v>
      </c>
      <c r="R87">
        <v>1</v>
      </c>
      <c r="V87" s="58" t="s">
        <v>89</v>
      </c>
      <c r="W87">
        <v>8467654.4500000011</v>
      </c>
      <c r="X87">
        <v>12</v>
      </c>
    </row>
    <row r="88" spans="2:24">
      <c r="B88" s="64" t="s">
        <v>67</v>
      </c>
      <c r="C88" s="54">
        <v>6547425.1000000006</v>
      </c>
      <c r="D88" s="39">
        <v>5</v>
      </c>
      <c r="E88" s="49">
        <f t="shared" si="4"/>
        <v>8.0968878608052575E-2</v>
      </c>
      <c r="F88" s="65"/>
      <c r="G88" s="37"/>
      <c r="H88" s="58" t="s">
        <v>98</v>
      </c>
      <c r="I88">
        <v>1724224.3</v>
      </c>
      <c r="J88">
        <v>3</v>
      </c>
      <c r="L88" s="58" t="s">
        <v>112</v>
      </c>
      <c r="M88" s="224">
        <v>2338808.56</v>
      </c>
      <c r="N88">
        <v>2</v>
      </c>
      <c r="P88" s="58" t="s">
        <v>1262</v>
      </c>
      <c r="Q88" s="224">
        <v>2762250</v>
      </c>
      <c r="R88">
        <v>3</v>
      </c>
      <c r="V88" s="58" t="s">
        <v>84</v>
      </c>
      <c r="W88">
        <v>7093678.8400000017</v>
      </c>
      <c r="X88">
        <v>17</v>
      </c>
    </row>
    <row r="89" spans="2:24">
      <c r="B89" s="64" t="s">
        <v>65</v>
      </c>
      <c r="C89" s="54">
        <v>5780822.25</v>
      </c>
      <c r="D89" s="39">
        <v>4</v>
      </c>
      <c r="E89" s="49">
        <f t="shared" si="4"/>
        <v>7.1488667356420663E-2</v>
      </c>
      <c r="F89" s="65"/>
      <c r="G89" s="37"/>
      <c r="H89" s="58" t="s">
        <v>289</v>
      </c>
      <c r="I89">
        <v>1696125</v>
      </c>
      <c r="J89">
        <v>2</v>
      </c>
      <c r="L89" s="58" t="s">
        <v>82</v>
      </c>
      <c r="M89" s="224">
        <v>1839750</v>
      </c>
      <c r="N89">
        <v>4</v>
      </c>
      <c r="P89" s="58" t="s">
        <v>1266</v>
      </c>
      <c r="Q89" s="224">
        <v>2507770.75</v>
      </c>
      <c r="R89">
        <v>4</v>
      </c>
      <c r="V89" s="58" t="s">
        <v>47</v>
      </c>
      <c r="W89">
        <v>7070221.6300000008</v>
      </c>
      <c r="X89">
        <v>5</v>
      </c>
    </row>
    <row r="90" spans="2:24">
      <c r="B90" s="64" t="s">
        <v>159</v>
      </c>
      <c r="C90" s="54">
        <v>5517860.2699999996</v>
      </c>
      <c r="D90" s="39">
        <v>3</v>
      </c>
      <c r="E90" s="49">
        <f t="shared" si="4"/>
        <v>6.8236742162629108E-2</v>
      </c>
      <c r="F90" s="37"/>
      <c r="G90" s="37"/>
      <c r="H90" s="58" t="s">
        <v>407</v>
      </c>
      <c r="I90">
        <v>1674244.61</v>
      </c>
      <c r="J90">
        <v>1</v>
      </c>
      <c r="L90" s="58" t="s">
        <v>47</v>
      </c>
      <c r="M90" s="224">
        <v>1834745.17</v>
      </c>
      <c r="N90">
        <v>2</v>
      </c>
      <c r="P90" s="58" t="s">
        <v>1255</v>
      </c>
      <c r="Q90" s="224">
        <v>2434806.84</v>
      </c>
      <c r="R90">
        <v>3</v>
      </c>
      <c r="V90" s="58" t="s">
        <v>189</v>
      </c>
      <c r="W90">
        <v>6732337.6999999993</v>
      </c>
      <c r="X90">
        <v>7</v>
      </c>
    </row>
    <row r="91" spans="2:24">
      <c r="B91" s="64" t="s">
        <v>34</v>
      </c>
      <c r="C91" s="54">
        <v>4985919.6900000004</v>
      </c>
      <c r="D91" s="39">
        <v>13</v>
      </c>
      <c r="E91" s="49">
        <f t="shared" si="4"/>
        <v>6.1658487109552289E-2</v>
      </c>
      <c r="F91" s="37"/>
      <c r="G91" s="37"/>
      <c r="H91" s="58" t="s">
        <v>137</v>
      </c>
      <c r="I91">
        <v>1560450</v>
      </c>
      <c r="J91">
        <v>2</v>
      </c>
      <c r="L91" s="58" t="s">
        <v>31</v>
      </c>
      <c r="M91" s="224">
        <v>1502250</v>
      </c>
      <c r="N91">
        <v>2</v>
      </c>
      <c r="P91" s="58" t="s">
        <v>1264</v>
      </c>
      <c r="Q91" s="224">
        <v>2265432.02</v>
      </c>
      <c r="R91">
        <v>6</v>
      </c>
      <c r="V91" s="58" t="s">
        <v>78</v>
      </c>
      <c r="W91">
        <v>6095829.9300000006</v>
      </c>
      <c r="X91">
        <v>5</v>
      </c>
    </row>
    <row r="92" spans="2:24">
      <c r="B92" s="64" t="s">
        <v>77</v>
      </c>
      <c r="C92" s="54">
        <v>4718168.7799999993</v>
      </c>
      <c r="D92" s="39">
        <v>6</v>
      </c>
      <c r="E92" s="49">
        <f t="shared" si="4"/>
        <v>5.8347339506048479E-2</v>
      </c>
      <c r="F92" s="37"/>
      <c r="G92" s="37"/>
      <c r="H92" s="58" t="s">
        <v>97</v>
      </c>
      <c r="I92">
        <v>1530392.0299999998</v>
      </c>
      <c r="J92">
        <v>5</v>
      </c>
      <c r="L92" s="58" t="s">
        <v>189</v>
      </c>
      <c r="M92" s="224">
        <v>1356648.88</v>
      </c>
      <c r="N92">
        <v>2</v>
      </c>
      <c r="P92" s="58" t="s">
        <v>1304</v>
      </c>
      <c r="Q92" s="224">
        <v>2217839.3600000003</v>
      </c>
      <c r="R92">
        <v>4</v>
      </c>
      <c r="V92" s="58" t="s">
        <v>116</v>
      </c>
      <c r="W92">
        <v>5478220.1174999997</v>
      </c>
      <c r="X92">
        <v>8</v>
      </c>
    </row>
    <row r="93" spans="2:24">
      <c r="B93" s="64" t="s">
        <v>58</v>
      </c>
      <c r="C93" s="54">
        <v>4194196.83</v>
      </c>
      <c r="D93" s="39">
        <v>4</v>
      </c>
      <c r="E93" s="49">
        <f t="shared" si="4"/>
        <v>5.1867628693690424E-2</v>
      </c>
      <c r="F93" s="37"/>
      <c r="G93" s="37"/>
      <c r="H93" s="58" t="s">
        <v>1037</v>
      </c>
      <c r="I93">
        <v>1504442.28</v>
      </c>
      <c r="J93">
        <v>1</v>
      </c>
      <c r="L93" s="58" t="s">
        <v>172</v>
      </c>
      <c r="M93" s="224">
        <v>912975</v>
      </c>
      <c r="N93">
        <v>2</v>
      </c>
      <c r="P93" s="58" t="s">
        <v>1254</v>
      </c>
      <c r="Q93" s="224">
        <v>2196623.7200000002</v>
      </c>
      <c r="R93">
        <v>2</v>
      </c>
      <c r="V93" s="58" t="s">
        <v>60</v>
      </c>
      <c r="W93">
        <v>5293395.51</v>
      </c>
      <c r="X93">
        <v>9</v>
      </c>
    </row>
    <row r="94" spans="2:24">
      <c r="B94" s="66" t="s">
        <v>1317</v>
      </c>
      <c r="C94" s="60">
        <f>C53-SUM(C84:C93)</f>
        <v>-24121381.939999983</v>
      </c>
      <c r="D94" s="60">
        <f>D53-SUM(D84:D93)</f>
        <v>-15</v>
      </c>
      <c r="E94" s="49">
        <f t="shared" si="4"/>
        <v>-0.29829760804111072</v>
      </c>
      <c r="F94" s="37"/>
      <c r="G94" s="37"/>
      <c r="H94" s="58" t="s">
        <v>75</v>
      </c>
      <c r="I94">
        <v>1460882.99</v>
      </c>
      <c r="J94">
        <v>2</v>
      </c>
      <c r="L94" s="58" t="s">
        <v>87</v>
      </c>
      <c r="M94" s="224">
        <v>858714.37</v>
      </c>
      <c r="N94">
        <v>2</v>
      </c>
      <c r="P94" s="58" t="s">
        <v>1271</v>
      </c>
      <c r="Q94" s="224">
        <v>2093187.79</v>
      </c>
      <c r="R94">
        <v>1</v>
      </c>
      <c r="V94" s="58" t="s">
        <v>247</v>
      </c>
      <c r="W94">
        <v>5162127.7300000004</v>
      </c>
      <c r="X94">
        <v>3</v>
      </c>
    </row>
    <row r="95" spans="2:24" ht="15.75" thickBot="1">
      <c r="B95" s="61" t="s">
        <v>56</v>
      </c>
      <c r="C95" s="47">
        <f>SUM(C84:C94)</f>
        <v>80863477.579999998</v>
      </c>
      <c r="D95" s="62">
        <f>SUM(D84:D94)</f>
        <v>65</v>
      </c>
      <c r="E95" s="63">
        <f>SUM(E84:E94)</f>
        <v>1</v>
      </c>
      <c r="F95" s="37"/>
      <c r="G95" s="37"/>
      <c r="H95" s="58" t="s">
        <v>900</v>
      </c>
      <c r="I95">
        <v>1376214.05</v>
      </c>
      <c r="J95">
        <v>1</v>
      </c>
      <c r="L95" s="58" t="s">
        <v>158</v>
      </c>
      <c r="M95" s="224">
        <v>601532.6</v>
      </c>
      <c r="N95">
        <v>2</v>
      </c>
      <c r="P95" s="58" t="s">
        <v>1260</v>
      </c>
      <c r="Q95" s="224">
        <v>1982246.9799999997</v>
      </c>
      <c r="R95">
        <v>4</v>
      </c>
      <c r="V95" s="58" t="s">
        <v>37</v>
      </c>
      <c r="W95">
        <v>4890048.12</v>
      </c>
      <c r="X95">
        <v>13</v>
      </c>
    </row>
    <row r="96" spans="2:24" ht="15.75" thickTop="1">
      <c r="H96" s="58" t="s">
        <v>90</v>
      </c>
      <c r="I96">
        <v>1310685</v>
      </c>
      <c r="J96">
        <v>2</v>
      </c>
      <c r="L96" s="58" t="s">
        <v>1300</v>
      </c>
      <c r="M96" s="224">
        <v>557103.23</v>
      </c>
      <c r="N96">
        <v>1</v>
      </c>
      <c r="P96" s="58" t="s">
        <v>1302</v>
      </c>
      <c r="Q96" s="224">
        <v>1943505.2000000002</v>
      </c>
      <c r="R96">
        <v>3</v>
      </c>
      <c r="V96" s="58" t="s">
        <v>154</v>
      </c>
      <c r="W96">
        <v>4174408.7699999996</v>
      </c>
      <c r="X96">
        <v>4</v>
      </c>
    </row>
    <row r="97" spans="2:24">
      <c r="B97" s="67"/>
      <c r="C97" s="68"/>
      <c r="D97" s="67"/>
      <c r="E97" s="67"/>
      <c r="H97" s="58" t="s">
        <v>43</v>
      </c>
      <c r="I97">
        <v>1274648.21</v>
      </c>
      <c r="J97">
        <v>1</v>
      </c>
      <c r="L97" s="58" t="s">
        <v>78</v>
      </c>
      <c r="M97" s="224">
        <v>499717.44</v>
      </c>
      <c r="N97">
        <v>1</v>
      </c>
      <c r="P97" s="58" t="s">
        <v>1307</v>
      </c>
      <c r="Q97" s="224">
        <v>1765102.21</v>
      </c>
      <c r="R97">
        <v>4</v>
      </c>
      <c r="V97" s="58" t="s">
        <v>172</v>
      </c>
      <c r="W97">
        <v>3914977.04</v>
      </c>
      <c r="X97">
        <v>3</v>
      </c>
    </row>
    <row r="98" spans="2:24" ht="25.5">
      <c r="B98" s="42" t="s">
        <v>1318</v>
      </c>
      <c r="C98" s="43" t="s">
        <v>16</v>
      </c>
      <c r="D98" s="42" t="s">
        <v>298</v>
      </c>
      <c r="E98" s="42" t="s">
        <v>299</v>
      </c>
      <c r="H98" s="58" t="s">
        <v>62</v>
      </c>
      <c r="I98">
        <v>1132108.8900000001</v>
      </c>
      <c r="J98">
        <v>2</v>
      </c>
      <c r="L98" s="58" t="s">
        <v>37</v>
      </c>
      <c r="M98" s="224">
        <v>437418.73</v>
      </c>
      <c r="N98">
        <v>1</v>
      </c>
      <c r="P98" s="58" t="s">
        <v>1292</v>
      </c>
      <c r="Q98" s="224">
        <v>1425941.6600000001</v>
      </c>
      <c r="R98">
        <v>2</v>
      </c>
      <c r="V98" s="58" t="s">
        <v>190</v>
      </c>
      <c r="W98">
        <v>3689594.85</v>
      </c>
      <c r="X98">
        <v>1</v>
      </c>
    </row>
    <row r="99" spans="2:24">
      <c r="B99" s="64" t="s">
        <v>1252</v>
      </c>
      <c r="C99" s="54">
        <v>22605159.34</v>
      </c>
      <c r="D99" s="39">
        <v>12</v>
      </c>
      <c r="E99" s="230">
        <f t="shared" ref="E99:E109" si="5">C99/$C$95</f>
        <v>0.27954720742298306</v>
      </c>
      <c r="H99" s="58" t="s">
        <v>160</v>
      </c>
      <c r="I99">
        <v>1103735.6599999999</v>
      </c>
      <c r="J99">
        <v>1</v>
      </c>
      <c r="L99" s="58" t="s">
        <v>89</v>
      </c>
      <c r="M99" s="224">
        <v>255000</v>
      </c>
      <c r="N99">
        <v>1</v>
      </c>
      <c r="P99" s="58" t="s">
        <v>1261</v>
      </c>
      <c r="Q99" s="224">
        <v>1402220.1</v>
      </c>
      <c r="R99">
        <v>2</v>
      </c>
      <c r="V99" s="58" t="s">
        <v>134</v>
      </c>
      <c r="W99">
        <v>3507071.54</v>
      </c>
      <c r="X99">
        <v>5</v>
      </c>
    </row>
    <row r="100" spans="2:24">
      <c r="B100" s="64" t="s">
        <v>1284</v>
      </c>
      <c r="C100" s="54">
        <v>19751119.959999997</v>
      </c>
      <c r="D100" s="39">
        <v>21</v>
      </c>
      <c r="E100" s="49">
        <f t="shared" si="5"/>
        <v>0.24425266574096796</v>
      </c>
      <c r="H100" s="58" t="s">
        <v>162</v>
      </c>
      <c r="I100">
        <v>1081936.3700000001</v>
      </c>
      <c r="J100">
        <v>1</v>
      </c>
      <c r="L100" s="58" t="s">
        <v>107</v>
      </c>
      <c r="M100" s="224">
        <v>147674.23999999999</v>
      </c>
      <c r="N100">
        <v>1</v>
      </c>
      <c r="P100" s="58" t="s">
        <v>1309</v>
      </c>
      <c r="Q100" s="224">
        <v>1335967.44</v>
      </c>
      <c r="R100">
        <v>2</v>
      </c>
      <c r="V100" s="58" t="s">
        <v>64</v>
      </c>
      <c r="W100">
        <v>3171078.13</v>
      </c>
      <c r="X100">
        <v>4</v>
      </c>
    </row>
    <row r="101" spans="2:24">
      <c r="B101" s="64" t="s">
        <v>1301</v>
      </c>
      <c r="C101" s="54">
        <v>14780098.720000001</v>
      </c>
      <c r="D101" s="39">
        <v>9</v>
      </c>
      <c r="E101" s="49">
        <f t="shared" si="5"/>
        <v>0.18277842064580671</v>
      </c>
      <c r="H101" s="58" t="s">
        <v>524</v>
      </c>
      <c r="I101">
        <v>964801.37</v>
      </c>
      <c r="J101">
        <v>1</v>
      </c>
      <c r="L101" s="58" t="s">
        <v>79</v>
      </c>
      <c r="M101" s="224">
        <v>47258.28</v>
      </c>
      <c r="N101">
        <v>1</v>
      </c>
      <c r="P101" s="58" t="s">
        <v>1296</v>
      </c>
      <c r="Q101" s="224">
        <v>1215750</v>
      </c>
      <c r="R101">
        <v>2</v>
      </c>
      <c r="V101" s="58" t="s">
        <v>339</v>
      </c>
      <c r="W101">
        <v>2664199.48</v>
      </c>
      <c r="X101">
        <v>2</v>
      </c>
    </row>
    <row r="102" spans="2:24">
      <c r="B102" s="64" t="s">
        <v>1267</v>
      </c>
      <c r="C102" s="54">
        <v>9599149.2400000002</v>
      </c>
      <c r="D102" s="39">
        <v>9</v>
      </c>
      <c r="E102" s="49">
        <f t="shared" si="5"/>
        <v>0.11870809328603699</v>
      </c>
      <c r="H102" s="58" t="s">
        <v>180</v>
      </c>
      <c r="I102">
        <v>961565</v>
      </c>
      <c r="J102">
        <v>2</v>
      </c>
      <c r="L102" s="58" t="s">
        <v>56</v>
      </c>
      <c r="M102" s="224">
        <v>170616212.71999997</v>
      </c>
      <c r="N102">
        <v>184</v>
      </c>
      <c r="P102" s="58" t="s">
        <v>1305</v>
      </c>
      <c r="Q102" s="224">
        <v>994513.01</v>
      </c>
      <c r="R102">
        <v>2</v>
      </c>
      <c r="V102" s="58" t="s">
        <v>340</v>
      </c>
      <c r="W102">
        <v>2241543.5099999998</v>
      </c>
      <c r="X102">
        <v>1</v>
      </c>
    </row>
    <row r="103" spans="2:24">
      <c r="B103" s="64" t="s">
        <v>1263</v>
      </c>
      <c r="C103" s="54">
        <v>7795574.1500000004</v>
      </c>
      <c r="D103" s="39">
        <v>10</v>
      </c>
      <c r="E103" s="49">
        <f t="shared" si="5"/>
        <v>9.6404141687916764E-2</v>
      </c>
      <c r="H103" s="58" t="s">
        <v>178</v>
      </c>
      <c r="I103">
        <v>952500</v>
      </c>
      <c r="J103">
        <v>1</v>
      </c>
      <c r="P103" s="58" t="s">
        <v>1277</v>
      </c>
      <c r="Q103" s="224">
        <v>985500</v>
      </c>
      <c r="R103">
        <v>1</v>
      </c>
      <c r="V103" s="58" t="s">
        <v>110</v>
      </c>
      <c r="W103">
        <v>2094077.77</v>
      </c>
      <c r="X103">
        <v>4</v>
      </c>
    </row>
    <row r="104" spans="2:24">
      <c r="B104" s="64" t="s">
        <v>1291</v>
      </c>
      <c r="C104" s="54">
        <v>5946025.1699999999</v>
      </c>
      <c r="D104" s="39">
        <v>3</v>
      </c>
      <c r="E104" s="49">
        <f t="shared" si="5"/>
        <v>7.3531652953182328E-2</v>
      </c>
      <c r="H104" s="58" t="s">
        <v>55</v>
      </c>
      <c r="I104">
        <v>918750</v>
      </c>
      <c r="J104">
        <v>1</v>
      </c>
      <c r="P104" s="58" t="s">
        <v>1293</v>
      </c>
      <c r="Q104" s="224">
        <v>968250</v>
      </c>
      <c r="R104">
        <v>1</v>
      </c>
      <c r="V104" s="58" t="s">
        <v>341</v>
      </c>
      <c r="W104">
        <v>1618318.84</v>
      </c>
      <c r="X104">
        <v>2</v>
      </c>
    </row>
    <row r="105" spans="2:24">
      <c r="B105" s="64" t="s">
        <v>1256</v>
      </c>
      <c r="C105" s="54">
        <v>4889195.37</v>
      </c>
      <c r="D105" s="39">
        <v>11</v>
      </c>
      <c r="E105" s="49">
        <f t="shared" si="5"/>
        <v>6.0462343647823116E-2</v>
      </c>
      <c r="H105" s="58" t="s">
        <v>250</v>
      </c>
      <c r="I105">
        <v>883746.23</v>
      </c>
      <c r="J105">
        <v>2</v>
      </c>
      <c r="P105" s="58" t="s">
        <v>1279</v>
      </c>
      <c r="Q105" s="224">
        <v>957960</v>
      </c>
      <c r="R105">
        <v>1</v>
      </c>
      <c r="V105" s="58" t="s">
        <v>107</v>
      </c>
      <c r="W105">
        <v>1603716.12</v>
      </c>
      <c r="X105">
        <v>3</v>
      </c>
    </row>
    <row r="106" spans="2:24">
      <c r="B106" s="64" t="s">
        <v>1257</v>
      </c>
      <c r="C106" s="54">
        <v>3743925</v>
      </c>
      <c r="D106" s="39">
        <v>8</v>
      </c>
      <c r="E106" s="49">
        <f t="shared" si="5"/>
        <v>4.6299332059965559E-2</v>
      </c>
      <c r="H106" s="58" t="s">
        <v>222</v>
      </c>
      <c r="I106">
        <v>778865.63</v>
      </c>
      <c r="J106">
        <v>1</v>
      </c>
      <c r="P106" s="58" t="s">
        <v>1298</v>
      </c>
      <c r="Q106" s="224">
        <v>913653.89</v>
      </c>
      <c r="R106">
        <v>2</v>
      </c>
      <c r="V106" s="58" t="s">
        <v>342</v>
      </c>
      <c r="W106">
        <v>507301.49</v>
      </c>
      <c r="X106">
        <v>1</v>
      </c>
    </row>
    <row r="107" spans="2:24">
      <c r="B107" s="64" t="s">
        <v>1276</v>
      </c>
      <c r="C107" s="54">
        <v>3708263.1</v>
      </c>
      <c r="D107" s="39">
        <v>1</v>
      </c>
      <c r="E107" s="49">
        <f t="shared" si="5"/>
        <v>4.5858318377803312E-2</v>
      </c>
      <c r="H107" s="58" t="s">
        <v>176</v>
      </c>
      <c r="I107">
        <v>718169.8</v>
      </c>
      <c r="J107">
        <v>1</v>
      </c>
      <c r="P107" s="58" t="s">
        <v>1297</v>
      </c>
      <c r="Q107" s="224">
        <v>886656.3</v>
      </c>
      <c r="R107">
        <v>1</v>
      </c>
      <c r="V107" s="58" t="s">
        <v>183</v>
      </c>
      <c r="W107">
        <v>457189.52999999997</v>
      </c>
      <c r="X107">
        <v>3</v>
      </c>
    </row>
    <row r="108" spans="2:24">
      <c r="B108" s="64" t="s">
        <v>1282</v>
      </c>
      <c r="C108" s="54">
        <v>3697992.73</v>
      </c>
      <c r="D108" s="39">
        <v>1</v>
      </c>
      <c r="E108" s="49">
        <f t="shared" si="5"/>
        <v>4.5731309618010127E-2</v>
      </c>
      <c r="H108" s="58" t="s">
        <v>255</v>
      </c>
      <c r="I108">
        <v>680250</v>
      </c>
      <c r="J108">
        <v>1</v>
      </c>
      <c r="P108" s="58" t="s">
        <v>1289</v>
      </c>
      <c r="Q108" s="224">
        <v>865036.2</v>
      </c>
      <c r="R108">
        <v>2</v>
      </c>
      <c r="V108" s="58" t="s">
        <v>208</v>
      </c>
      <c r="W108">
        <v>435999.18</v>
      </c>
      <c r="X108">
        <v>1</v>
      </c>
    </row>
    <row r="109" spans="2:24">
      <c r="B109" s="66" t="s">
        <v>1319</v>
      </c>
      <c r="C109" s="60">
        <f>C53-SUM(C99:C108)</f>
        <v>-15653025.200000003</v>
      </c>
      <c r="D109" s="60">
        <f>D53-SUM(D99:D108)</f>
        <v>-20</v>
      </c>
      <c r="E109" s="49">
        <f t="shared" si="5"/>
        <v>-0.19357348544049599</v>
      </c>
      <c r="H109" s="58" t="s">
        <v>566</v>
      </c>
      <c r="I109">
        <v>600941.66</v>
      </c>
      <c r="J109">
        <v>1</v>
      </c>
      <c r="P109" s="58" t="s">
        <v>1285</v>
      </c>
      <c r="Q109" s="224">
        <v>843899.37</v>
      </c>
      <c r="R109">
        <v>2</v>
      </c>
      <c r="V109" s="58" t="s">
        <v>276</v>
      </c>
      <c r="W109">
        <v>262500</v>
      </c>
      <c r="X109">
        <v>1</v>
      </c>
    </row>
    <row r="110" spans="2:24" ht="15.75" thickBot="1">
      <c r="B110" s="61" t="s">
        <v>56</v>
      </c>
      <c r="C110" s="47">
        <f>SUM(C99:C109)</f>
        <v>80863477.579999998</v>
      </c>
      <c r="D110" s="47">
        <f>SUM(D99:D109)</f>
        <v>65</v>
      </c>
      <c r="E110" s="63">
        <f>SUM(E99:E109)</f>
        <v>1</v>
      </c>
      <c r="H110" s="58" t="s">
        <v>101</v>
      </c>
      <c r="I110">
        <v>597000</v>
      </c>
      <c r="J110">
        <v>1</v>
      </c>
      <c r="P110" s="58" t="s">
        <v>1315</v>
      </c>
      <c r="Q110" s="224">
        <v>825000</v>
      </c>
      <c r="R110">
        <v>1</v>
      </c>
      <c r="V110" s="58" t="s">
        <v>343</v>
      </c>
      <c r="W110">
        <v>229350</v>
      </c>
      <c r="X110">
        <v>1</v>
      </c>
    </row>
    <row r="111" spans="2:24" ht="15.75" thickTop="1">
      <c r="H111" s="58" t="s">
        <v>198</v>
      </c>
      <c r="I111">
        <v>581534.53</v>
      </c>
      <c r="J111">
        <v>2</v>
      </c>
      <c r="P111" s="58" t="s">
        <v>1313</v>
      </c>
      <c r="Q111" s="224">
        <v>810375</v>
      </c>
      <c r="R111">
        <v>1</v>
      </c>
      <c r="V111" s="58" t="s">
        <v>344</v>
      </c>
      <c r="W111">
        <v>225000</v>
      </c>
      <c r="X111">
        <v>1</v>
      </c>
    </row>
    <row r="112" spans="2:24">
      <c r="H112" s="58" t="s">
        <v>119</v>
      </c>
      <c r="I112">
        <v>568108.76</v>
      </c>
      <c r="J112">
        <v>1</v>
      </c>
      <c r="P112" s="58" t="s">
        <v>1287</v>
      </c>
      <c r="Q112" s="224">
        <v>741206.4</v>
      </c>
      <c r="R112">
        <v>3</v>
      </c>
      <c r="V112" s="58" t="s">
        <v>345</v>
      </c>
      <c r="W112">
        <v>200032.13</v>
      </c>
      <c r="X112">
        <v>2</v>
      </c>
    </row>
    <row r="113" spans="8:24">
      <c r="H113" s="58" t="s">
        <v>182</v>
      </c>
      <c r="I113">
        <v>560096.96</v>
      </c>
      <c r="J113">
        <v>1</v>
      </c>
      <c r="P113" s="58" t="s">
        <v>1275</v>
      </c>
      <c r="Q113" s="224">
        <v>674250</v>
      </c>
      <c r="R113">
        <v>1</v>
      </c>
      <c r="V113" s="58" t="s">
        <v>346</v>
      </c>
      <c r="W113">
        <v>123127.5</v>
      </c>
      <c r="X113">
        <v>1</v>
      </c>
    </row>
    <row r="114" spans="8:24">
      <c r="H114" s="58" t="s">
        <v>184</v>
      </c>
      <c r="I114">
        <v>546273.88</v>
      </c>
      <c r="J114">
        <v>1</v>
      </c>
      <c r="P114" s="58" t="s">
        <v>1295</v>
      </c>
      <c r="Q114" s="224">
        <v>667602.31999999995</v>
      </c>
      <c r="R114">
        <v>1</v>
      </c>
      <c r="V114" s="58" t="s">
        <v>56</v>
      </c>
      <c r="W114">
        <v>973292600.69000125</v>
      </c>
      <c r="X114">
        <v>989</v>
      </c>
    </row>
    <row r="115" spans="8:24">
      <c r="H115" s="58" t="s">
        <v>225</v>
      </c>
      <c r="I115">
        <v>535500</v>
      </c>
      <c r="J115">
        <v>1</v>
      </c>
      <c r="P115" s="58" t="s">
        <v>1308</v>
      </c>
      <c r="Q115" s="224">
        <v>632969.19999999995</v>
      </c>
      <c r="R115">
        <v>2</v>
      </c>
    </row>
    <row r="116" spans="8:24">
      <c r="H116" s="58" t="s">
        <v>274</v>
      </c>
      <c r="I116">
        <v>522379.11</v>
      </c>
      <c r="J116">
        <v>1</v>
      </c>
      <c r="P116" s="58" t="s">
        <v>1268</v>
      </c>
      <c r="Q116" s="224">
        <v>597000</v>
      </c>
      <c r="R116">
        <v>1</v>
      </c>
    </row>
    <row r="117" spans="8:24">
      <c r="H117" s="58" t="s">
        <v>915</v>
      </c>
      <c r="I117">
        <v>507680.1</v>
      </c>
      <c r="J117">
        <v>1</v>
      </c>
      <c r="P117" s="58" t="s">
        <v>1316</v>
      </c>
      <c r="Q117" s="224">
        <v>568108.76</v>
      </c>
      <c r="R117">
        <v>1</v>
      </c>
    </row>
    <row r="118" spans="8:24">
      <c r="H118" s="58" t="s">
        <v>130</v>
      </c>
      <c r="I118">
        <v>506775</v>
      </c>
      <c r="J118">
        <v>1</v>
      </c>
      <c r="P118" s="58" t="s">
        <v>1280</v>
      </c>
      <c r="Q118" s="224">
        <v>557103.23</v>
      </c>
      <c r="R118">
        <v>1</v>
      </c>
    </row>
    <row r="119" spans="8:24">
      <c r="H119" s="58" t="s">
        <v>113</v>
      </c>
      <c r="I119">
        <v>499717.44</v>
      </c>
      <c r="J119">
        <v>1</v>
      </c>
      <c r="P119" s="58" t="s">
        <v>1269</v>
      </c>
      <c r="Q119" s="224">
        <v>483750</v>
      </c>
      <c r="R119">
        <v>1</v>
      </c>
    </row>
    <row r="120" spans="8:24">
      <c r="H120" s="58" t="s">
        <v>275</v>
      </c>
      <c r="I120">
        <v>495000</v>
      </c>
      <c r="J120">
        <v>1</v>
      </c>
      <c r="P120" s="58" t="s">
        <v>1299</v>
      </c>
      <c r="Q120" s="224">
        <v>450750</v>
      </c>
      <c r="R120">
        <v>1</v>
      </c>
    </row>
    <row r="121" spans="8:24">
      <c r="H121" s="58" t="s">
        <v>32</v>
      </c>
      <c r="I121">
        <v>487500</v>
      </c>
      <c r="J121">
        <v>1</v>
      </c>
      <c r="P121" s="58" t="s">
        <v>1272</v>
      </c>
      <c r="Q121" s="224">
        <v>404250</v>
      </c>
      <c r="R121">
        <v>1</v>
      </c>
    </row>
    <row r="122" spans="8:24">
      <c r="H122" s="58" t="s">
        <v>232</v>
      </c>
      <c r="I122">
        <v>483750</v>
      </c>
      <c r="J122">
        <v>1</v>
      </c>
      <c r="P122" s="58" t="s">
        <v>1286</v>
      </c>
      <c r="Q122" s="224">
        <v>402847.76</v>
      </c>
      <c r="R122">
        <v>1</v>
      </c>
    </row>
    <row r="123" spans="8:24">
      <c r="H123" s="58" t="s">
        <v>33</v>
      </c>
      <c r="I123">
        <v>480088.97</v>
      </c>
      <c r="J123">
        <v>1</v>
      </c>
      <c r="P123" s="58" t="s">
        <v>1303</v>
      </c>
      <c r="Q123" s="224">
        <v>313320.83</v>
      </c>
      <c r="R123">
        <v>1</v>
      </c>
    </row>
    <row r="124" spans="8:24">
      <c r="H124" s="58" t="s">
        <v>260</v>
      </c>
      <c r="I124">
        <v>476625.83</v>
      </c>
      <c r="J124">
        <v>1</v>
      </c>
      <c r="P124" s="58" t="s">
        <v>1290</v>
      </c>
      <c r="Q124" s="224">
        <v>278362.5</v>
      </c>
      <c r="R124">
        <v>1</v>
      </c>
    </row>
    <row r="125" spans="8:24">
      <c r="H125" s="58" t="s">
        <v>114</v>
      </c>
      <c r="I125">
        <v>473250</v>
      </c>
      <c r="J125">
        <v>1</v>
      </c>
      <c r="P125" s="58" t="s">
        <v>1314</v>
      </c>
      <c r="Q125" s="224">
        <v>255000</v>
      </c>
      <c r="R125">
        <v>1</v>
      </c>
    </row>
    <row r="126" spans="8:24">
      <c r="H126" s="58" t="s">
        <v>85</v>
      </c>
      <c r="I126">
        <v>450750</v>
      </c>
      <c r="J126">
        <v>1</v>
      </c>
      <c r="P126" s="58" t="s">
        <v>1278</v>
      </c>
      <c r="Q126" s="224">
        <v>212250</v>
      </c>
      <c r="R126">
        <v>1</v>
      </c>
    </row>
    <row r="127" spans="8:24">
      <c r="H127" s="58" t="s">
        <v>977</v>
      </c>
      <c r="I127">
        <v>448578.57</v>
      </c>
      <c r="J127">
        <v>2</v>
      </c>
      <c r="P127" s="58" t="s">
        <v>1312</v>
      </c>
      <c r="Q127" s="224">
        <v>198750</v>
      </c>
      <c r="R127">
        <v>1</v>
      </c>
    </row>
    <row r="128" spans="8:24">
      <c r="H128" s="58" t="s">
        <v>71</v>
      </c>
      <c r="I128">
        <v>445922.03</v>
      </c>
      <c r="J128">
        <v>1</v>
      </c>
      <c r="P128" s="58" t="s">
        <v>1310</v>
      </c>
      <c r="Q128" s="224">
        <v>168750</v>
      </c>
      <c r="R128">
        <v>1</v>
      </c>
    </row>
    <row r="129" spans="8:18">
      <c r="H129" s="58" t="s">
        <v>496</v>
      </c>
      <c r="I129">
        <v>437418.73</v>
      </c>
      <c r="J129">
        <v>1</v>
      </c>
      <c r="P129" s="58" t="s">
        <v>1311</v>
      </c>
      <c r="Q129" s="224">
        <v>150714.37</v>
      </c>
      <c r="R129">
        <v>1</v>
      </c>
    </row>
    <row r="130" spans="8:18">
      <c r="H130" s="58" t="s">
        <v>1019</v>
      </c>
      <c r="I130">
        <v>426000</v>
      </c>
      <c r="J130">
        <v>1</v>
      </c>
      <c r="P130" s="58" t="s">
        <v>1306</v>
      </c>
      <c r="Q130" s="224">
        <v>121505.88</v>
      </c>
      <c r="R130">
        <v>1</v>
      </c>
    </row>
    <row r="131" spans="8:18">
      <c r="H131" s="58" t="s">
        <v>236</v>
      </c>
      <c r="I131">
        <v>415875</v>
      </c>
      <c r="J131">
        <v>1</v>
      </c>
      <c r="P131" s="58" t="s">
        <v>1283</v>
      </c>
      <c r="Q131" s="224">
        <v>113620.37</v>
      </c>
      <c r="R131">
        <v>1</v>
      </c>
    </row>
    <row r="132" spans="8:18">
      <c r="H132" s="58" t="s">
        <v>257</v>
      </c>
      <c r="I132">
        <v>412500</v>
      </c>
      <c r="J132">
        <v>1</v>
      </c>
      <c r="P132" s="58" t="s">
        <v>1270</v>
      </c>
      <c r="Q132" s="224">
        <v>103460.63</v>
      </c>
      <c r="R132">
        <v>1</v>
      </c>
    </row>
    <row r="133" spans="8:18">
      <c r="H133" s="58" t="s">
        <v>108</v>
      </c>
      <c r="I133">
        <v>402847.76</v>
      </c>
      <c r="J133">
        <v>1</v>
      </c>
      <c r="P133" s="58" t="s">
        <v>56</v>
      </c>
      <c r="Q133" s="224">
        <v>170616212.72000003</v>
      </c>
      <c r="R133">
        <v>184</v>
      </c>
    </row>
    <row r="134" spans="8:18">
      <c r="H134" s="58" t="s">
        <v>212</v>
      </c>
      <c r="I134">
        <v>365623.92</v>
      </c>
      <c r="J134">
        <v>1</v>
      </c>
    </row>
    <row r="135" spans="8:18">
      <c r="H135" s="58" t="s">
        <v>152</v>
      </c>
      <c r="I135">
        <v>313320.83</v>
      </c>
      <c r="J135">
        <v>1</v>
      </c>
    </row>
    <row r="136" spans="8:18">
      <c r="H136" s="58" t="s">
        <v>80</v>
      </c>
      <c r="I136">
        <v>310694.40000000002</v>
      </c>
      <c r="J136">
        <v>1</v>
      </c>
    </row>
    <row r="137" spans="8:18">
      <c r="H137" s="58" t="s">
        <v>174</v>
      </c>
      <c r="I137">
        <v>289958.52</v>
      </c>
      <c r="J137">
        <v>1</v>
      </c>
    </row>
    <row r="138" spans="8:18">
      <c r="H138" s="58" t="s">
        <v>253</v>
      </c>
      <c r="I138">
        <v>276343.21000000002</v>
      </c>
      <c r="J138">
        <v>1</v>
      </c>
    </row>
    <row r="139" spans="8:18">
      <c r="H139" s="58" t="s">
        <v>862</v>
      </c>
      <c r="I139">
        <v>276000</v>
      </c>
      <c r="J139">
        <v>1</v>
      </c>
    </row>
    <row r="140" spans="8:18">
      <c r="H140" s="58" t="s">
        <v>129</v>
      </c>
      <c r="I140">
        <v>251621.86</v>
      </c>
      <c r="J140">
        <v>1</v>
      </c>
    </row>
    <row r="141" spans="8:18">
      <c r="H141" s="58" t="s">
        <v>123</v>
      </c>
      <c r="I141">
        <v>212250</v>
      </c>
      <c r="J141">
        <v>1</v>
      </c>
    </row>
    <row r="142" spans="8:18">
      <c r="H142" s="58" t="s">
        <v>121</v>
      </c>
      <c r="I142">
        <v>203073.04</v>
      </c>
      <c r="J142">
        <v>1</v>
      </c>
    </row>
    <row r="143" spans="8:18">
      <c r="H143" s="58" t="s">
        <v>166</v>
      </c>
      <c r="I143">
        <v>202178.13</v>
      </c>
      <c r="J143">
        <v>1</v>
      </c>
    </row>
    <row r="144" spans="8:18">
      <c r="H144" s="58" t="s">
        <v>528</v>
      </c>
      <c r="I144">
        <v>201000</v>
      </c>
      <c r="J144">
        <v>1</v>
      </c>
    </row>
    <row r="145" spans="8:10">
      <c r="H145" s="58" t="s">
        <v>1179</v>
      </c>
      <c r="I145">
        <v>198750</v>
      </c>
      <c r="J145">
        <v>1</v>
      </c>
    </row>
    <row r="146" spans="8:10">
      <c r="H146" s="58" t="s">
        <v>195</v>
      </c>
      <c r="I146">
        <v>192193.54</v>
      </c>
      <c r="J146">
        <v>1</v>
      </c>
    </row>
    <row r="147" spans="8:10">
      <c r="H147" s="58" t="s">
        <v>215</v>
      </c>
      <c r="I147">
        <v>187500</v>
      </c>
      <c r="J147">
        <v>1</v>
      </c>
    </row>
    <row r="148" spans="8:10">
      <c r="H148" s="58" t="s">
        <v>102</v>
      </c>
      <c r="I148">
        <v>184078.19</v>
      </c>
      <c r="J148">
        <v>1</v>
      </c>
    </row>
    <row r="149" spans="8:10">
      <c r="H149" s="58" t="s">
        <v>1122</v>
      </c>
      <c r="I149">
        <v>166980.88</v>
      </c>
      <c r="J149">
        <v>2</v>
      </c>
    </row>
    <row r="150" spans="8:10">
      <c r="H150" s="58" t="s">
        <v>1054</v>
      </c>
      <c r="I150">
        <v>147674.23999999999</v>
      </c>
      <c r="J150">
        <v>1</v>
      </c>
    </row>
    <row r="151" spans="8:10">
      <c r="H151" s="58" t="s">
        <v>144</v>
      </c>
      <c r="I151">
        <v>127500</v>
      </c>
      <c r="J151">
        <v>1</v>
      </c>
    </row>
    <row r="152" spans="8:10">
      <c r="H152" s="58" t="s">
        <v>499</v>
      </c>
      <c r="I152">
        <v>110925.62</v>
      </c>
      <c r="J152">
        <v>1</v>
      </c>
    </row>
    <row r="153" spans="8:10">
      <c r="H153" s="58" t="s">
        <v>27</v>
      </c>
      <c r="I153">
        <v>103460.63</v>
      </c>
      <c r="J153">
        <v>1</v>
      </c>
    </row>
    <row r="154" spans="8:10">
      <c r="H154" s="58" t="s">
        <v>239</v>
      </c>
      <c r="I154">
        <v>93500</v>
      </c>
      <c r="J154">
        <v>1</v>
      </c>
    </row>
    <row r="155" spans="8:10">
      <c r="H155" s="58" t="s">
        <v>1044</v>
      </c>
      <c r="I155">
        <v>87975</v>
      </c>
      <c r="J155">
        <v>1</v>
      </c>
    </row>
    <row r="156" spans="8:10">
      <c r="H156" s="58" t="s">
        <v>529</v>
      </c>
      <c r="I156">
        <v>80706.14</v>
      </c>
      <c r="J156">
        <v>1</v>
      </c>
    </row>
    <row r="157" spans="8:10">
      <c r="H157" s="58" t="s">
        <v>479</v>
      </c>
      <c r="I157">
        <v>71145</v>
      </c>
      <c r="J157">
        <v>1</v>
      </c>
    </row>
    <row r="158" spans="8:10">
      <c r="H158" s="58" t="s">
        <v>1066</v>
      </c>
      <c r="I158">
        <v>49725</v>
      </c>
      <c r="J158">
        <v>1</v>
      </c>
    </row>
    <row r="159" spans="8:10">
      <c r="H159" s="58" t="s">
        <v>1167</v>
      </c>
      <c r="I159">
        <v>47258.28</v>
      </c>
      <c r="J159">
        <v>1</v>
      </c>
    </row>
    <row r="160" spans="8:10">
      <c r="H160" s="58" t="s">
        <v>185</v>
      </c>
      <c r="I160">
        <v>45475</v>
      </c>
      <c r="J160">
        <v>1</v>
      </c>
    </row>
    <row r="161" spans="8:10">
      <c r="H161" s="58" t="s">
        <v>56</v>
      </c>
      <c r="I161">
        <v>170616212.71999994</v>
      </c>
      <c r="J16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817-2D41-4244-B727-49259EEF4C07}">
  <dimension ref="A1:K1072"/>
  <sheetViews>
    <sheetView workbookViewId="0">
      <selection activeCell="K9" sqref="K9"/>
    </sheetView>
  </sheetViews>
  <sheetFormatPr defaultRowHeight="15"/>
  <cols>
    <col min="2" max="2" width="35.5703125" customWidth="1"/>
    <col min="4" max="4" width="35.5703125" customWidth="1"/>
  </cols>
  <sheetData>
    <row r="1" spans="1:7" ht="18">
      <c r="A1" s="336" t="s">
        <v>361</v>
      </c>
      <c r="B1" s="337"/>
      <c r="C1" s="337"/>
      <c r="D1" s="337"/>
    </row>
    <row r="2" spans="1:7" ht="40.5" customHeight="1">
      <c r="A2" s="338" t="s">
        <v>362</v>
      </c>
      <c r="B2" s="339"/>
      <c r="C2" s="339"/>
      <c r="D2" s="339"/>
    </row>
    <row r="3" spans="1:7" ht="42.75" customHeight="1">
      <c r="A3" s="81" t="s">
        <v>363</v>
      </c>
      <c r="B3" s="81" t="s">
        <v>364</v>
      </c>
      <c r="C3" s="81" t="s">
        <v>365</v>
      </c>
      <c r="D3" s="82" t="s">
        <v>366</v>
      </c>
      <c r="F3" s="83"/>
      <c r="G3" s="84"/>
    </row>
    <row r="4" spans="1:7">
      <c r="A4" s="85">
        <v>111110</v>
      </c>
      <c r="B4" s="85" t="s">
        <v>367</v>
      </c>
      <c r="C4" s="85">
        <v>111110</v>
      </c>
      <c r="D4" s="85" t="s">
        <v>367</v>
      </c>
    </row>
    <row r="5" spans="1:7">
      <c r="A5" s="85">
        <v>111120</v>
      </c>
      <c r="B5" s="85" t="s">
        <v>368</v>
      </c>
      <c r="C5" s="85">
        <v>111120</v>
      </c>
      <c r="D5" s="85" t="s">
        <v>368</v>
      </c>
    </row>
    <row r="6" spans="1:7">
      <c r="A6" s="85">
        <v>111130</v>
      </c>
      <c r="B6" s="85" t="s">
        <v>369</v>
      </c>
      <c r="C6" s="85">
        <v>111130</v>
      </c>
      <c r="D6" s="85" t="s">
        <v>369</v>
      </c>
    </row>
    <row r="7" spans="1:7">
      <c r="A7" s="85">
        <v>111140</v>
      </c>
      <c r="B7" s="85" t="s">
        <v>370</v>
      </c>
      <c r="C7" s="85">
        <v>111140</v>
      </c>
      <c r="D7" s="85" t="s">
        <v>370</v>
      </c>
    </row>
    <row r="8" spans="1:7">
      <c r="A8" s="85">
        <v>111150</v>
      </c>
      <c r="B8" s="85" t="s">
        <v>371</v>
      </c>
      <c r="C8" s="85">
        <v>111150</v>
      </c>
      <c r="D8" s="85" t="s">
        <v>371</v>
      </c>
    </row>
    <row r="9" spans="1:7">
      <c r="A9" s="85">
        <v>111160</v>
      </c>
      <c r="B9" s="85" t="s">
        <v>372</v>
      </c>
      <c r="C9" s="85">
        <v>111160</v>
      </c>
      <c r="D9" s="85" t="s">
        <v>372</v>
      </c>
    </row>
    <row r="10" spans="1:7">
      <c r="A10" s="85">
        <v>111191</v>
      </c>
      <c r="B10" s="85" t="s">
        <v>373</v>
      </c>
      <c r="C10" s="85">
        <v>111191</v>
      </c>
      <c r="D10" s="85" t="s">
        <v>373</v>
      </c>
    </row>
    <row r="11" spans="1:7">
      <c r="A11" s="85">
        <v>111199</v>
      </c>
      <c r="B11" s="85" t="s">
        <v>374</v>
      </c>
      <c r="C11" s="85">
        <v>111199</v>
      </c>
      <c r="D11" s="85" t="s">
        <v>374</v>
      </c>
    </row>
    <row r="12" spans="1:7">
      <c r="A12" s="85">
        <v>111211</v>
      </c>
      <c r="B12" s="85" t="s">
        <v>375</v>
      </c>
      <c r="C12" s="85">
        <v>111211</v>
      </c>
      <c r="D12" s="85" t="s">
        <v>375</v>
      </c>
    </row>
    <row r="13" spans="1:7" ht="25.5">
      <c r="A13" s="85">
        <v>111219</v>
      </c>
      <c r="B13" s="85" t="s">
        <v>376</v>
      </c>
      <c r="C13" s="85">
        <v>111219</v>
      </c>
      <c r="D13" s="85" t="s">
        <v>376</v>
      </c>
    </row>
    <row r="14" spans="1:7">
      <c r="A14" s="85">
        <v>111310</v>
      </c>
      <c r="B14" s="85" t="s">
        <v>377</v>
      </c>
      <c r="C14" s="85">
        <v>111310</v>
      </c>
      <c r="D14" s="85" t="s">
        <v>377</v>
      </c>
    </row>
    <row r="15" spans="1:7">
      <c r="A15" s="85">
        <v>111320</v>
      </c>
      <c r="B15" s="85" t="s">
        <v>378</v>
      </c>
      <c r="C15" s="85">
        <v>111320</v>
      </c>
      <c r="D15" s="85" t="s">
        <v>378</v>
      </c>
    </row>
    <row r="16" spans="1:7">
      <c r="A16" s="85">
        <v>111331</v>
      </c>
      <c r="B16" s="85" t="s">
        <v>379</v>
      </c>
      <c r="C16" s="85">
        <v>111331</v>
      </c>
      <c r="D16" s="85" t="s">
        <v>379</v>
      </c>
    </row>
    <row r="17" spans="1:6">
      <c r="A17" s="85">
        <v>111332</v>
      </c>
      <c r="B17" s="85" t="s">
        <v>380</v>
      </c>
      <c r="C17" s="85">
        <v>111332</v>
      </c>
      <c r="D17" s="85" t="s">
        <v>380</v>
      </c>
    </row>
    <row r="18" spans="1:6">
      <c r="A18" s="85">
        <v>111333</v>
      </c>
      <c r="B18" s="85" t="s">
        <v>381</v>
      </c>
      <c r="C18" s="85">
        <v>111333</v>
      </c>
      <c r="D18" s="85" t="s">
        <v>381</v>
      </c>
    </row>
    <row r="19" spans="1:6">
      <c r="A19" s="85">
        <v>111334</v>
      </c>
      <c r="B19" s="85" t="s">
        <v>382</v>
      </c>
      <c r="C19" s="85">
        <v>111334</v>
      </c>
      <c r="D19" s="85" t="s">
        <v>382</v>
      </c>
    </row>
    <row r="20" spans="1:6">
      <c r="A20" s="85">
        <v>111335</v>
      </c>
      <c r="B20" s="85" t="s">
        <v>383</v>
      </c>
      <c r="C20" s="85">
        <v>111335</v>
      </c>
      <c r="D20" s="85" t="s">
        <v>383</v>
      </c>
    </row>
    <row r="21" spans="1:6">
      <c r="A21" s="85">
        <v>111336</v>
      </c>
      <c r="B21" s="85" t="s">
        <v>384</v>
      </c>
      <c r="C21" s="85">
        <v>111336</v>
      </c>
      <c r="D21" s="85" t="s">
        <v>384</v>
      </c>
    </row>
    <row r="22" spans="1:6">
      <c r="A22" s="85">
        <v>111339</v>
      </c>
      <c r="B22" s="85" t="s">
        <v>385</v>
      </c>
      <c r="C22" s="85">
        <v>111339</v>
      </c>
      <c r="D22" s="85" t="s">
        <v>385</v>
      </c>
    </row>
    <row r="23" spans="1:6">
      <c r="A23" s="85">
        <v>111411</v>
      </c>
      <c r="B23" s="85" t="s">
        <v>386</v>
      </c>
      <c r="C23" s="85">
        <v>111411</v>
      </c>
      <c r="D23" s="85" t="s">
        <v>386</v>
      </c>
    </row>
    <row r="24" spans="1:6">
      <c r="A24" s="85">
        <v>111419</v>
      </c>
      <c r="B24" s="85" t="s">
        <v>387</v>
      </c>
      <c r="C24" s="85">
        <v>111419</v>
      </c>
      <c r="D24" s="85" t="s">
        <v>387</v>
      </c>
    </row>
    <row r="25" spans="1:6">
      <c r="A25" s="85">
        <v>111421</v>
      </c>
      <c r="B25" s="85" t="s">
        <v>388</v>
      </c>
      <c r="C25" s="85">
        <v>111421</v>
      </c>
      <c r="D25" s="85" t="s">
        <v>388</v>
      </c>
    </row>
    <row r="26" spans="1:6">
      <c r="A26" s="85">
        <v>111422</v>
      </c>
      <c r="B26" s="85" t="s">
        <v>389</v>
      </c>
      <c r="C26" s="85">
        <v>111422</v>
      </c>
      <c r="D26" s="85" t="s">
        <v>389</v>
      </c>
    </row>
    <row r="27" spans="1:6">
      <c r="A27" s="85">
        <v>111910</v>
      </c>
      <c r="B27" s="85" t="s">
        <v>390</v>
      </c>
      <c r="C27" s="85">
        <v>111910</v>
      </c>
      <c r="D27" s="85" t="s">
        <v>390</v>
      </c>
      <c r="F27" t="s">
        <v>391</v>
      </c>
    </row>
    <row r="28" spans="1:6">
      <c r="A28" s="85">
        <v>111920</v>
      </c>
      <c r="B28" s="85" t="s">
        <v>392</v>
      </c>
      <c r="C28" s="85">
        <v>111920</v>
      </c>
      <c r="D28" s="85" t="s">
        <v>392</v>
      </c>
    </row>
    <row r="29" spans="1:6">
      <c r="A29" s="85">
        <v>111930</v>
      </c>
      <c r="B29" s="85" t="s">
        <v>393</v>
      </c>
      <c r="C29" s="85">
        <v>111930</v>
      </c>
      <c r="D29" s="85" t="s">
        <v>393</v>
      </c>
    </row>
    <row r="30" spans="1:6">
      <c r="A30" s="85">
        <v>111940</v>
      </c>
      <c r="B30" s="85" t="s">
        <v>394</v>
      </c>
      <c r="C30" s="85">
        <v>111940</v>
      </c>
      <c r="D30" s="85" t="s">
        <v>394</v>
      </c>
    </row>
    <row r="31" spans="1:6">
      <c r="A31" s="85">
        <v>111991</v>
      </c>
      <c r="B31" s="85" t="s">
        <v>395</v>
      </c>
      <c r="C31" s="85">
        <v>111991</v>
      </c>
      <c r="D31" s="85" t="s">
        <v>395</v>
      </c>
    </row>
    <row r="32" spans="1:6">
      <c r="A32" s="85">
        <v>111992</v>
      </c>
      <c r="B32" s="85" t="s">
        <v>396</v>
      </c>
      <c r="C32" s="85">
        <v>111992</v>
      </c>
      <c r="D32" s="85" t="s">
        <v>396</v>
      </c>
    </row>
    <row r="33" spans="1:4">
      <c r="A33" s="85">
        <v>111998</v>
      </c>
      <c r="B33" s="85" t="s">
        <v>397</v>
      </c>
      <c r="C33" s="85">
        <v>111998</v>
      </c>
      <c r="D33" s="85" t="s">
        <v>397</v>
      </c>
    </row>
    <row r="34" spans="1:4">
      <c r="A34" s="85">
        <v>112111</v>
      </c>
      <c r="B34" s="85" t="s">
        <v>398</v>
      </c>
      <c r="C34" s="85">
        <v>112111</v>
      </c>
      <c r="D34" s="85" t="s">
        <v>398</v>
      </c>
    </row>
    <row r="35" spans="1:4">
      <c r="A35" s="85">
        <v>112112</v>
      </c>
      <c r="B35" s="85" t="s">
        <v>399</v>
      </c>
      <c r="C35" s="85">
        <v>112112</v>
      </c>
      <c r="D35" s="85" t="s">
        <v>399</v>
      </c>
    </row>
    <row r="36" spans="1:4">
      <c r="A36" s="85">
        <v>112120</v>
      </c>
      <c r="B36" s="85" t="s">
        <v>400</v>
      </c>
      <c r="C36" s="85">
        <v>112120</v>
      </c>
      <c r="D36" s="85" t="s">
        <v>400</v>
      </c>
    </row>
    <row r="37" spans="1:4" ht="25.5">
      <c r="A37" s="85">
        <v>112130</v>
      </c>
      <c r="B37" s="85" t="s">
        <v>401</v>
      </c>
      <c r="C37" s="85">
        <v>112130</v>
      </c>
      <c r="D37" s="85" t="s">
        <v>401</v>
      </c>
    </row>
    <row r="38" spans="1:4">
      <c r="A38" s="85">
        <v>112210</v>
      </c>
      <c r="B38" s="85" t="s">
        <v>402</v>
      </c>
      <c r="C38" s="85">
        <v>112210</v>
      </c>
      <c r="D38" s="85" t="s">
        <v>402</v>
      </c>
    </row>
    <row r="39" spans="1:4">
      <c r="A39" s="85">
        <v>112310</v>
      </c>
      <c r="B39" s="85" t="s">
        <v>403</v>
      </c>
      <c r="C39" s="85">
        <v>112310</v>
      </c>
      <c r="D39" s="85" t="s">
        <v>403</v>
      </c>
    </row>
    <row r="40" spans="1:4" ht="25.5">
      <c r="A40" s="85">
        <v>112320</v>
      </c>
      <c r="B40" s="85" t="s">
        <v>404</v>
      </c>
      <c r="C40" s="85">
        <v>112320</v>
      </c>
      <c r="D40" s="85" t="s">
        <v>404</v>
      </c>
    </row>
    <row r="41" spans="1:4">
      <c r="A41" s="85">
        <v>112330</v>
      </c>
      <c r="B41" s="85" t="s">
        <v>405</v>
      </c>
      <c r="C41" s="85">
        <v>112330</v>
      </c>
      <c r="D41" s="85" t="s">
        <v>405</v>
      </c>
    </row>
    <row r="42" spans="1:4">
      <c r="A42" s="85">
        <v>112340</v>
      </c>
      <c r="B42" s="85" t="s">
        <v>406</v>
      </c>
      <c r="C42" s="85">
        <v>112340</v>
      </c>
      <c r="D42" s="85" t="s">
        <v>406</v>
      </c>
    </row>
    <row r="43" spans="1:4">
      <c r="A43" s="85">
        <v>112390</v>
      </c>
      <c r="B43" s="85" t="s">
        <v>407</v>
      </c>
      <c r="C43" s="85">
        <v>112390</v>
      </c>
      <c r="D43" s="85" t="s">
        <v>407</v>
      </c>
    </row>
    <row r="44" spans="1:4">
      <c r="A44" s="85">
        <v>112410</v>
      </c>
      <c r="B44" s="85" t="s">
        <v>408</v>
      </c>
      <c r="C44" s="85">
        <v>112410</v>
      </c>
      <c r="D44" s="85" t="s">
        <v>408</v>
      </c>
    </row>
    <row r="45" spans="1:4">
      <c r="A45" s="85">
        <v>112420</v>
      </c>
      <c r="B45" s="85" t="s">
        <v>409</v>
      </c>
      <c r="C45" s="85">
        <v>112420</v>
      </c>
      <c r="D45" s="85" t="s">
        <v>409</v>
      </c>
    </row>
    <row r="46" spans="1:4">
      <c r="A46" s="85">
        <v>112511</v>
      </c>
      <c r="B46" s="85" t="s">
        <v>410</v>
      </c>
      <c r="C46" s="85">
        <v>112511</v>
      </c>
      <c r="D46" s="85" t="s">
        <v>410</v>
      </c>
    </row>
    <row r="47" spans="1:4">
      <c r="A47" s="85">
        <v>112512</v>
      </c>
      <c r="B47" s="85" t="s">
        <v>411</v>
      </c>
      <c r="C47" s="85">
        <v>112512</v>
      </c>
      <c r="D47" s="85" t="s">
        <v>411</v>
      </c>
    </row>
    <row r="48" spans="1:4">
      <c r="A48" s="85">
        <v>112519</v>
      </c>
      <c r="B48" s="85" t="s">
        <v>412</v>
      </c>
      <c r="C48" s="85">
        <v>112519</v>
      </c>
      <c r="D48" s="85" t="s">
        <v>412</v>
      </c>
    </row>
    <row r="49" spans="1:6">
      <c r="A49" s="85">
        <v>112910</v>
      </c>
      <c r="B49" s="85" t="s">
        <v>413</v>
      </c>
      <c r="C49" s="85">
        <v>112910</v>
      </c>
      <c r="D49" s="85" t="s">
        <v>413</v>
      </c>
    </row>
    <row r="50" spans="1:6">
      <c r="A50" s="85">
        <v>112920</v>
      </c>
      <c r="B50" s="85" t="s">
        <v>414</v>
      </c>
      <c r="C50" s="85">
        <v>112920</v>
      </c>
      <c r="D50" s="85" t="s">
        <v>414</v>
      </c>
    </row>
    <row r="51" spans="1:6" ht="25.5">
      <c r="A51" s="85">
        <v>112930</v>
      </c>
      <c r="B51" s="85" t="s">
        <v>415</v>
      </c>
      <c r="C51" s="85">
        <v>112930</v>
      </c>
      <c r="D51" s="85" t="s">
        <v>415</v>
      </c>
    </row>
    <row r="52" spans="1:6">
      <c r="A52" s="85">
        <v>112990</v>
      </c>
      <c r="B52" s="85" t="s">
        <v>416</v>
      </c>
      <c r="C52" s="85">
        <v>112990</v>
      </c>
      <c r="D52" s="85" t="s">
        <v>416</v>
      </c>
    </row>
    <row r="53" spans="1:6">
      <c r="A53" s="85">
        <v>113110</v>
      </c>
      <c r="B53" s="85" t="s">
        <v>417</v>
      </c>
      <c r="C53" s="85">
        <v>113110</v>
      </c>
      <c r="D53" s="85" t="s">
        <v>417</v>
      </c>
    </row>
    <row r="54" spans="1:6" ht="25.5">
      <c r="A54" s="85">
        <v>113210</v>
      </c>
      <c r="B54" s="85" t="s">
        <v>418</v>
      </c>
      <c r="C54" s="85">
        <v>113210</v>
      </c>
      <c r="D54" s="85" t="s">
        <v>418</v>
      </c>
    </row>
    <row r="55" spans="1:6">
      <c r="A55" s="85">
        <v>113310</v>
      </c>
      <c r="B55" s="85" t="s">
        <v>419</v>
      </c>
      <c r="C55" s="85">
        <v>113310</v>
      </c>
      <c r="D55" s="85" t="s">
        <v>419</v>
      </c>
    </row>
    <row r="56" spans="1:6">
      <c r="A56" s="85">
        <v>114111</v>
      </c>
      <c r="B56" s="85" t="s">
        <v>420</v>
      </c>
      <c r="C56" s="85">
        <v>114111</v>
      </c>
      <c r="D56" s="85" t="s">
        <v>420</v>
      </c>
    </row>
    <row r="57" spans="1:6">
      <c r="A57" s="85">
        <v>114112</v>
      </c>
      <c r="B57" s="85" t="s">
        <v>421</v>
      </c>
      <c r="C57" s="85">
        <v>114112</v>
      </c>
      <c r="D57" s="85" t="s">
        <v>421</v>
      </c>
    </row>
    <row r="58" spans="1:6">
      <c r="A58" s="85">
        <v>114119</v>
      </c>
      <c r="B58" s="85" t="s">
        <v>422</v>
      </c>
      <c r="C58" s="85">
        <v>114119</v>
      </c>
      <c r="D58" s="85" t="s">
        <v>422</v>
      </c>
    </row>
    <row r="59" spans="1:6">
      <c r="A59" s="85">
        <v>114210</v>
      </c>
      <c r="B59" s="85" t="s">
        <v>423</v>
      </c>
      <c r="C59" s="85">
        <v>114210</v>
      </c>
      <c r="D59" s="85" t="s">
        <v>423</v>
      </c>
    </row>
    <row r="60" spans="1:6">
      <c r="A60" s="85">
        <v>115111</v>
      </c>
      <c r="B60" s="85" t="s">
        <v>424</v>
      </c>
      <c r="C60" s="85">
        <v>115111</v>
      </c>
      <c r="D60" s="85" t="s">
        <v>424</v>
      </c>
    </row>
    <row r="61" spans="1:6" ht="25.5">
      <c r="A61" s="85">
        <v>115112</v>
      </c>
      <c r="B61" s="85" t="s">
        <v>425</v>
      </c>
      <c r="C61" s="85">
        <v>115112</v>
      </c>
      <c r="D61" s="85" t="s">
        <v>425</v>
      </c>
    </row>
    <row r="62" spans="1:6">
      <c r="A62" s="85">
        <v>115113</v>
      </c>
      <c r="B62" s="85" t="s">
        <v>426</v>
      </c>
      <c r="C62" s="85">
        <v>115113</v>
      </c>
      <c r="D62" s="85" t="s">
        <v>426</v>
      </c>
    </row>
    <row r="63" spans="1:6" ht="25.5">
      <c r="A63" s="85">
        <v>115114</v>
      </c>
      <c r="B63" s="85" t="s">
        <v>427</v>
      </c>
      <c r="C63" s="85">
        <v>115114</v>
      </c>
      <c r="D63" s="85" t="s">
        <v>427</v>
      </c>
      <c r="F63" s="86" t="s">
        <v>391</v>
      </c>
    </row>
    <row r="64" spans="1:6" ht="25.5">
      <c r="A64" s="85">
        <v>115115</v>
      </c>
      <c r="B64" s="85" t="s">
        <v>428</v>
      </c>
      <c r="C64" s="85">
        <v>115115</v>
      </c>
      <c r="D64" s="85" t="s">
        <v>428</v>
      </c>
    </row>
    <row r="65" spans="1:7">
      <c r="A65" s="85">
        <v>115116</v>
      </c>
      <c r="B65" s="85" t="s">
        <v>429</v>
      </c>
      <c r="C65" s="85">
        <v>115116</v>
      </c>
      <c r="D65" s="85" t="s">
        <v>429</v>
      </c>
    </row>
    <row r="66" spans="1:7">
      <c r="A66" s="85">
        <v>115210</v>
      </c>
      <c r="B66" s="85" t="s">
        <v>430</v>
      </c>
      <c r="C66" s="85">
        <v>115210</v>
      </c>
      <c r="D66" s="85" t="s">
        <v>430</v>
      </c>
    </row>
    <row r="67" spans="1:7">
      <c r="A67" s="85">
        <v>115310</v>
      </c>
      <c r="B67" s="85" t="s">
        <v>94</v>
      </c>
      <c r="C67" s="85">
        <v>115310</v>
      </c>
      <c r="D67" s="85" t="s">
        <v>94</v>
      </c>
    </row>
    <row r="68" spans="1:7" ht="25.5">
      <c r="A68" s="85">
        <v>211120</v>
      </c>
      <c r="B68" s="85" t="s">
        <v>431</v>
      </c>
      <c r="C68" s="87">
        <v>211111</v>
      </c>
      <c r="D68" s="85" t="s">
        <v>432</v>
      </c>
    </row>
    <row r="69" spans="1:7" ht="25.5">
      <c r="A69" s="88">
        <v>211130</v>
      </c>
      <c r="B69" s="85" t="s">
        <v>433</v>
      </c>
      <c r="C69" s="87">
        <v>211111</v>
      </c>
      <c r="D69" s="85" t="s">
        <v>434</v>
      </c>
      <c r="F69" s="86" t="s">
        <v>391</v>
      </c>
      <c r="G69" s="86" t="s">
        <v>391</v>
      </c>
    </row>
    <row r="70" spans="1:7">
      <c r="A70" s="88">
        <v>211130</v>
      </c>
      <c r="B70" s="85" t="s">
        <v>433</v>
      </c>
      <c r="C70" s="85">
        <v>211112</v>
      </c>
      <c r="D70" s="85" t="s">
        <v>435</v>
      </c>
    </row>
    <row r="71" spans="1:7" ht="25.5">
      <c r="A71" s="85">
        <v>212111</v>
      </c>
      <c r="B71" s="85" t="s">
        <v>436</v>
      </c>
      <c r="C71" s="85">
        <v>212111</v>
      </c>
      <c r="D71" s="85" t="s">
        <v>436</v>
      </c>
    </row>
    <row r="72" spans="1:7">
      <c r="A72" s="85">
        <v>212112</v>
      </c>
      <c r="B72" s="85" t="s">
        <v>437</v>
      </c>
      <c r="C72" s="85">
        <v>212112</v>
      </c>
      <c r="D72" s="85" t="s">
        <v>437</v>
      </c>
    </row>
    <row r="73" spans="1:7">
      <c r="A73" s="85">
        <v>212113</v>
      </c>
      <c r="B73" s="85" t="s">
        <v>438</v>
      </c>
      <c r="C73" s="85">
        <v>212113</v>
      </c>
      <c r="D73" s="85" t="s">
        <v>438</v>
      </c>
    </row>
    <row r="74" spans="1:7">
      <c r="A74" s="85">
        <v>212210</v>
      </c>
      <c r="B74" s="85" t="s">
        <v>439</v>
      </c>
      <c r="C74" s="85">
        <v>212210</v>
      </c>
      <c r="D74" s="85" t="s">
        <v>439</v>
      </c>
    </row>
    <row r="75" spans="1:7">
      <c r="A75" s="85">
        <v>212221</v>
      </c>
      <c r="B75" s="85" t="s">
        <v>440</v>
      </c>
      <c r="C75" s="85">
        <v>212221</v>
      </c>
      <c r="D75" s="85" t="s">
        <v>440</v>
      </c>
    </row>
    <row r="76" spans="1:7">
      <c r="A76" s="85">
        <v>212222</v>
      </c>
      <c r="B76" s="85" t="s">
        <v>441</v>
      </c>
      <c r="C76" s="85">
        <v>212222</v>
      </c>
      <c r="D76" s="85" t="s">
        <v>441</v>
      </c>
    </row>
    <row r="77" spans="1:7">
      <c r="A77" s="88">
        <v>212230</v>
      </c>
      <c r="B77" s="85" t="s">
        <v>442</v>
      </c>
      <c r="C77" s="85">
        <v>212231</v>
      </c>
      <c r="D77" s="85" t="s">
        <v>443</v>
      </c>
    </row>
    <row r="78" spans="1:7">
      <c r="A78" s="88">
        <v>212230</v>
      </c>
      <c r="B78" s="85" t="s">
        <v>442</v>
      </c>
      <c r="C78" s="85">
        <v>212234</v>
      </c>
      <c r="D78" s="85" t="s">
        <v>444</v>
      </c>
    </row>
    <row r="79" spans="1:7">
      <c r="A79" s="85">
        <v>212291</v>
      </c>
      <c r="B79" s="85" t="s">
        <v>445</v>
      </c>
      <c r="C79" s="85">
        <v>212291</v>
      </c>
      <c r="D79" s="85" t="s">
        <v>445</v>
      </c>
    </row>
    <row r="80" spans="1:7">
      <c r="A80" s="85">
        <v>212299</v>
      </c>
      <c r="B80" s="85" t="s">
        <v>446</v>
      </c>
      <c r="C80" s="85">
        <v>212299</v>
      </c>
      <c r="D80" s="85" t="s">
        <v>446</v>
      </c>
    </row>
    <row r="81" spans="1:4">
      <c r="A81" s="85">
        <v>212311</v>
      </c>
      <c r="B81" s="85" t="s">
        <v>447</v>
      </c>
      <c r="C81" s="85">
        <v>212311</v>
      </c>
      <c r="D81" s="85" t="s">
        <v>447</v>
      </c>
    </row>
    <row r="82" spans="1:4" ht="25.5">
      <c r="A82" s="85">
        <v>212312</v>
      </c>
      <c r="B82" s="85" t="s">
        <v>448</v>
      </c>
      <c r="C82" s="85">
        <v>212312</v>
      </c>
      <c r="D82" s="85" t="s">
        <v>448</v>
      </c>
    </row>
    <row r="83" spans="1:4" ht="25.5">
      <c r="A83" s="85">
        <v>212313</v>
      </c>
      <c r="B83" s="85" t="s">
        <v>449</v>
      </c>
      <c r="C83" s="85">
        <v>212313</v>
      </c>
      <c r="D83" s="85" t="s">
        <v>449</v>
      </c>
    </row>
    <row r="84" spans="1:4" ht="25.5">
      <c r="A84" s="85">
        <v>212319</v>
      </c>
      <c r="B84" s="85" t="s">
        <v>450</v>
      </c>
      <c r="C84" s="85">
        <v>212319</v>
      </c>
      <c r="D84" s="85" t="s">
        <v>450</v>
      </c>
    </row>
    <row r="85" spans="1:4">
      <c r="A85" s="85">
        <v>212321</v>
      </c>
      <c r="B85" s="85" t="s">
        <v>451</v>
      </c>
      <c r="C85" s="85">
        <v>212321</v>
      </c>
      <c r="D85" s="85" t="s">
        <v>451</v>
      </c>
    </row>
    <row r="86" spans="1:4">
      <c r="A86" s="85">
        <v>212322</v>
      </c>
      <c r="B86" s="85" t="s">
        <v>452</v>
      </c>
      <c r="C86" s="85">
        <v>212322</v>
      </c>
      <c r="D86" s="85" t="s">
        <v>452</v>
      </c>
    </row>
    <row r="87" spans="1:4">
      <c r="A87" s="85">
        <v>212324</v>
      </c>
      <c r="B87" s="85" t="s">
        <v>453</v>
      </c>
      <c r="C87" s="85">
        <v>212324</v>
      </c>
      <c r="D87" s="85" t="s">
        <v>453</v>
      </c>
    </row>
    <row r="88" spans="1:4" ht="25.5">
      <c r="A88" s="85">
        <v>212325</v>
      </c>
      <c r="B88" s="85" t="s">
        <v>454</v>
      </c>
      <c r="C88" s="85">
        <v>212325</v>
      </c>
      <c r="D88" s="85" t="s">
        <v>454</v>
      </c>
    </row>
    <row r="89" spans="1:4" ht="25.5">
      <c r="A89" s="85">
        <v>212391</v>
      </c>
      <c r="B89" s="85" t="s">
        <v>455</v>
      </c>
      <c r="C89" s="85">
        <v>212391</v>
      </c>
      <c r="D89" s="85" t="s">
        <v>455</v>
      </c>
    </row>
    <row r="90" spans="1:4">
      <c r="A90" s="85">
        <v>212392</v>
      </c>
      <c r="B90" s="85" t="s">
        <v>456</v>
      </c>
      <c r="C90" s="85">
        <v>212392</v>
      </c>
      <c r="D90" s="85" t="s">
        <v>456</v>
      </c>
    </row>
    <row r="91" spans="1:4" ht="25.5">
      <c r="A91" s="85">
        <v>212393</v>
      </c>
      <c r="B91" s="85" t="s">
        <v>457</v>
      </c>
      <c r="C91" s="85">
        <v>212393</v>
      </c>
      <c r="D91" s="85" t="s">
        <v>457</v>
      </c>
    </row>
    <row r="92" spans="1:4">
      <c r="A92" s="85">
        <v>212399</v>
      </c>
      <c r="B92" s="85" t="s">
        <v>458</v>
      </c>
      <c r="C92" s="85">
        <v>212399</v>
      </c>
      <c r="D92" s="85" t="s">
        <v>458</v>
      </c>
    </row>
    <row r="93" spans="1:4">
      <c r="A93" s="85">
        <v>213111</v>
      </c>
      <c r="B93" s="85" t="s">
        <v>459</v>
      </c>
      <c r="C93" s="85">
        <v>213111</v>
      </c>
      <c r="D93" s="85" t="s">
        <v>459</v>
      </c>
    </row>
    <row r="94" spans="1:4" ht="25.5">
      <c r="A94" s="85">
        <v>213112</v>
      </c>
      <c r="B94" s="85" t="s">
        <v>460</v>
      </c>
      <c r="C94" s="85">
        <v>213112</v>
      </c>
      <c r="D94" s="85" t="s">
        <v>460</v>
      </c>
    </row>
    <row r="95" spans="1:4">
      <c r="A95" s="85">
        <v>213113</v>
      </c>
      <c r="B95" s="85" t="s">
        <v>461</v>
      </c>
      <c r="C95" s="85">
        <v>213113</v>
      </c>
      <c r="D95" s="85" t="s">
        <v>461</v>
      </c>
    </row>
    <row r="96" spans="1:4">
      <c r="A96" s="85">
        <v>213114</v>
      </c>
      <c r="B96" s="85" t="s">
        <v>462</v>
      </c>
      <c r="C96" s="85">
        <v>213114</v>
      </c>
      <c r="D96" s="85" t="s">
        <v>462</v>
      </c>
    </row>
    <row r="97" spans="1:7" ht="25.5">
      <c r="A97" s="85">
        <v>213115</v>
      </c>
      <c r="B97" s="85" t="s">
        <v>463</v>
      </c>
      <c r="C97" s="85">
        <v>213115</v>
      </c>
      <c r="D97" s="85" t="s">
        <v>463</v>
      </c>
    </row>
    <row r="98" spans="1:7">
      <c r="A98" s="85">
        <v>221111</v>
      </c>
      <c r="B98" s="85" t="s">
        <v>464</v>
      </c>
      <c r="C98" s="85">
        <v>221111</v>
      </c>
      <c r="D98" s="85" t="s">
        <v>464</v>
      </c>
    </row>
    <row r="99" spans="1:7">
      <c r="A99" s="85">
        <v>221112</v>
      </c>
      <c r="B99" s="85" t="s">
        <v>465</v>
      </c>
      <c r="C99" s="85">
        <v>221112</v>
      </c>
      <c r="D99" s="85" t="s">
        <v>465</v>
      </c>
    </row>
    <row r="100" spans="1:7">
      <c r="A100" s="85">
        <v>221113</v>
      </c>
      <c r="B100" s="85" t="s">
        <v>466</v>
      </c>
      <c r="C100" s="85">
        <v>221113</v>
      </c>
      <c r="D100" s="85" t="s">
        <v>466</v>
      </c>
    </row>
    <row r="101" spans="1:7">
      <c r="A101" s="85">
        <v>221114</v>
      </c>
      <c r="B101" s="85" t="s">
        <v>467</v>
      </c>
      <c r="C101" s="85">
        <v>221114</v>
      </c>
      <c r="D101" s="85" t="s">
        <v>467</v>
      </c>
    </row>
    <row r="102" spans="1:7">
      <c r="A102" s="85">
        <v>221115</v>
      </c>
      <c r="B102" s="85" t="s">
        <v>468</v>
      </c>
      <c r="C102" s="85">
        <v>221115</v>
      </c>
      <c r="D102" s="85" t="s">
        <v>468</v>
      </c>
    </row>
    <row r="103" spans="1:7">
      <c r="A103" s="85">
        <v>221116</v>
      </c>
      <c r="B103" s="85" t="s">
        <v>469</v>
      </c>
      <c r="C103" s="85">
        <v>221116</v>
      </c>
      <c r="D103" s="85" t="s">
        <v>469</v>
      </c>
    </row>
    <row r="104" spans="1:7">
      <c r="A104" s="85">
        <v>221117</v>
      </c>
      <c r="B104" s="85" t="s">
        <v>470</v>
      </c>
      <c r="C104" s="85">
        <v>221117</v>
      </c>
      <c r="D104" s="85" t="s">
        <v>470</v>
      </c>
    </row>
    <row r="105" spans="1:7">
      <c r="A105" s="85">
        <v>221118</v>
      </c>
      <c r="B105" s="85" t="s">
        <v>471</v>
      </c>
      <c r="C105" s="85">
        <v>221118</v>
      </c>
      <c r="D105" s="85" t="s">
        <v>471</v>
      </c>
    </row>
    <row r="106" spans="1:7" ht="25.5">
      <c r="A106" s="85">
        <v>221121</v>
      </c>
      <c r="B106" s="85" t="s">
        <v>472</v>
      </c>
      <c r="C106" s="85">
        <v>221121</v>
      </c>
      <c r="D106" s="85" t="s">
        <v>472</v>
      </c>
    </row>
    <row r="107" spans="1:7">
      <c r="A107" s="85">
        <v>221122</v>
      </c>
      <c r="B107" s="85" t="s">
        <v>473</v>
      </c>
      <c r="C107" s="85">
        <v>221122</v>
      </c>
      <c r="D107" s="85" t="s">
        <v>473</v>
      </c>
      <c r="G107" s="86" t="s">
        <v>391</v>
      </c>
    </row>
    <row r="108" spans="1:7">
      <c r="A108" s="85">
        <v>221210</v>
      </c>
      <c r="B108" s="85" t="s">
        <v>474</v>
      </c>
      <c r="C108" s="85">
        <v>221210</v>
      </c>
      <c r="D108" s="85" t="s">
        <v>474</v>
      </c>
    </row>
    <row r="109" spans="1:7">
      <c r="A109" s="85">
        <v>221310</v>
      </c>
      <c r="B109" s="85" t="s">
        <v>475</v>
      </c>
      <c r="C109" s="85">
        <v>221310</v>
      </c>
      <c r="D109" s="85" t="s">
        <v>475</v>
      </c>
    </row>
    <row r="110" spans="1:7">
      <c r="A110" s="85">
        <v>221320</v>
      </c>
      <c r="B110" s="85" t="s">
        <v>476</v>
      </c>
      <c r="C110" s="85">
        <v>221320</v>
      </c>
      <c r="D110" s="85" t="s">
        <v>476</v>
      </c>
    </row>
    <row r="111" spans="1:7">
      <c r="A111" s="85">
        <v>221330</v>
      </c>
      <c r="B111" s="85" t="s">
        <v>477</v>
      </c>
      <c r="C111" s="85">
        <v>221330</v>
      </c>
      <c r="D111" s="85" t="s">
        <v>477</v>
      </c>
    </row>
    <row r="112" spans="1:7" ht="25.5">
      <c r="A112" s="85">
        <v>236115</v>
      </c>
      <c r="B112" s="85" t="s">
        <v>478</v>
      </c>
      <c r="C112" s="85">
        <v>236115</v>
      </c>
      <c r="D112" s="85" t="s">
        <v>478</v>
      </c>
    </row>
    <row r="113" spans="1:4" ht="25.5">
      <c r="A113" s="85">
        <v>236116</v>
      </c>
      <c r="B113" s="85" t="s">
        <v>479</v>
      </c>
      <c r="C113" s="85">
        <v>236116</v>
      </c>
      <c r="D113" s="85" t="s">
        <v>479</v>
      </c>
    </row>
    <row r="114" spans="1:4">
      <c r="A114" s="85">
        <v>236117</v>
      </c>
      <c r="B114" s="85" t="s">
        <v>480</v>
      </c>
      <c r="C114" s="85">
        <v>236117</v>
      </c>
      <c r="D114" s="85" t="s">
        <v>480</v>
      </c>
    </row>
    <row r="115" spans="1:4">
      <c r="A115" s="85">
        <v>236118</v>
      </c>
      <c r="B115" s="85" t="s">
        <v>119</v>
      </c>
      <c r="C115" s="85">
        <v>236118</v>
      </c>
      <c r="D115" s="85" t="s">
        <v>119</v>
      </c>
    </row>
    <row r="116" spans="1:4">
      <c r="A116" s="85">
        <v>236210</v>
      </c>
      <c r="B116" s="85" t="s">
        <v>481</v>
      </c>
      <c r="C116" s="85">
        <v>236210</v>
      </c>
      <c r="D116" s="85" t="s">
        <v>481</v>
      </c>
    </row>
    <row r="117" spans="1:4" ht="25.5">
      <c r="A117" s="85">
        <v>236220</v>
      </c>
      <c r="B117" s="85" t="s">
        <v>39</v>
      </c>
      <c r="C117" s="85">
        <v>236220</v>
      </c>
      <c r="D117" s="85" t="s">
        <v>39</v>
      </c>
    </row>
    <row r="118" spans="1:4" ht="25.5">
      <c r="A118" s="85">
        <v>237110</v>
      </c>
      <c r="B118" s="85" t="s">
        <v>482</v>
      </c>
      <c r="C118" s="85">
        <v>237110</v>
      </c>
      <c r="D118" s="85" t="s">
        <v>482</v>
      </c>
    </row>
    <row r="119" spans="1:4" ht="25.5">
      <c r="A119" s="85">
        <v>237120</v>
      </c>
      <c r="B119" s="85" t="s">
        <v>483</v>
      </c>
      <c r="C119" s="85">
        <v>237120</v>
      </c>
      <c r="D119" s="85" t="s">
        <v>483</v>
      </c>
    </row>
    <row r="120" spans="1:4" ht="25.5">
      <c r="A120" s="85">
        <v>237130</v>
      </c>
      <c r="B120" s="85" t="s">
        <v>484</v>
      </c>
      <c r="C120" s="85">
        <v>237130</v>
      </c>
      <c r="D120" s="85" t="s">
        <v>484</v>
      </c>
    </row>
    <row r="121" spans="1:4">
      <c r="A121" s="85">
        <v>237210</v>
      </c>
      <c r="B121" s="85" t="s">
        <v>485</v>
      </c>
      <c r="C121" s="85">
        <v>237210</v>
      </c>
      <c r="D121" s="85" t="s">
        <v>485</v>
      </c>
    </row>
    <row r="122" spans="1:4" ht="25.5">
      <c r="A122" s="85">
        <v>237310</v>
      </c>
      <c r="B122" s="85" t="s">
        <v>486</v>
      </c>
      <c r="C122" s="85">
        <v>237310</v>
      </c>
      <c r="D122" s="85" t="s">
        <v>486</v>
      </c>
    </row>
    <row r="123" spans="1:4" ht="25.5">
      <c r="A123" s="85">
        <v>237990</v>
      </c>
      <c r="B123" s="85" t="s">
        <v>487</v>
      </c>
      <c r="C123" s="85">
        <v>237990</v>
      </c>
      <c r="D123" s="85" t="s">
        <v>487</v>
      </c>
    </row>
    <row r="124" spans="1:4" ht="25.5">
      <c r="A124" s="85">
        <v>238110</v>
      </c>
      <c r="B124" s="85" t="s">
        <v>488</v>
      </c>
      <c r="C124" s="85">
        <v>238110</v>
      </c>
      <c r="D124" s="85" t="s">
        <v>488</v>
      </c>
    </row>
    <row r="125" spans="1:4" ht="25.5">
      <c r="A125" s="85">
        <v>238120</v>
      </c>
      <c r="B125" s="85" t="s">
        <v>489</v>
      </c>
      <c r="C125" s="85">
        <v>238120</v>
      </c>
      <c r="D125" s="85" t="s">
        <v>489</v>
      </c>
    </row>
    <row r="126" spans="1:4">
      <c r="A126" s="85">
        <v>238130</v>
      </c>
      <c r="B126" s="85" t="s">
        <v>490</v>
      </c>
      <c r="C126" s="85">
        <v>238130</v>
      </c>
      <c r="D126" s="85" t="s">
        <v>490</v>
      </c>
    </row>
    <row r="127" spans="1:4">
      <c r="A127" s="85">
        <v>238140</v>
      </c>
      <c r="B127" s="85" t="s">
        <v>95</v>
      </c>
      <c r="C127" s="85">
        <v>238140</v>
      </c>
      <c r="D127" s="85" t="s">
        <v>95</v>
      </c>
    </row>
    <row r="128" spans="1:4">
      <c r="A128" s="85">
        <v>238150</v>
      </c>
      <c r="B128" s="85" t="s">
        <v>491</v>
      </c>
      <c r="C128" s="85">
        <v>238150</v>
      </c>
      <c r="D128" s="85" t="s">
        <v>491</v>
      </c>
    </row>
    <row r="129" spans="1:4">
      <c r="A129" s="85">
        <v>238160</v>
      </c>
      <c r="B129" s="85" t="s">
        <v>492</v>
      </c>
      <c r="C129" s="85">
        <v>238160</v>
      </c>
      <c r="D129" s="85" t="s">
        <v>492</v>
      </c>
    </row>
    <row r="130" spans="1:4">
      <c r="A130" s="85">
        <v>238170</v>
      </c>
      <c r="B130" s="85" t="s">
        <v>493</v>
      </c>
      <c r="C130" s="85">
        <v>238170</v>
      </c>
      <c r="D130" s="85" t="s">
        <v>493</v>
      </c>
    </row>
    <row r="131" spans="1:4" ht="25.5">
      <c r="A131" s="85">
        <v>238190</v>
      </c>
      <c r="B131" s="85" t="s">
        <v>494</v>
      </c>
      <c r="C131" s="85">
        <v>238190</v>
      </c>
      <c r="D131" s="85" t="s">
        <v>494</v>
      </c>
    </row>
    <row r="132" spans="1:4" ht="25.5">
      <c r="A132" s="85">
        <v>238210</v>
      </c>
      <c r="B132" s="85" t="s">
        <v>275</v>
      </c>
      <c r="C132" s="85">
        <v>238210</v>
      </c>
      <c r="D132" s="85" t="s">
        <v>275</v>
      </c>
    </row>
    <row r="133" spans="1:4" ht="25.5">
      <c r="A133" s="85">
        <v>238220</v>
      </c>
      <c r="B133" s="85" t="s">
        <v>62</v>
      </c>
      <c r="C133" s="85">
        <v>238220</v>
      </c>
      <c r="D133" s="85" t="s">
        <v>62</v>
      </c>
    </row>
    <row r="134" spans="1:4">
      <c r="A134" s="85">
        <v>238290</v>
      </c>
      <c r="B134" s="85" t="s">
        <v>229</v>
      </c>
      <c r="C134" s="85">
        <v>238290</v>
      </c>
      <c r="D134" s="85" t="s">
        <v>229</v>
      </c>
    </row>
    <row r="135" spans="1:4">
      <c r="A135" s="85">
        <v>238310</v>
      </c>
      <c r="B135" s="85" t="s">
        <v>495</v>
      </c>
      <c r="C135" s="85">
        <v>238310</v>
      </c>
      <c r="D135" s="85" t="s">
        <v>495</v>
      </c>
    </row>
    <row r="136" spans="1:4">
      <c r="A136" s="85">
        <v>238320</v>
      </c>
      <c r="B136" s="85" t="s">
        <v>496</v>
      </c>
      <c r="C136" s="85">
        <v>238320</v>
      </c>
      <c r="D136" s="85" t="s">
        <v>496</v>
      </c>
    </row>
    <row r="137" spans="1:4">
      <c r="A137" s="85">
        <v>238330</v>
      </c>
      <c r="B137" s="85" t="s">
        <v>497</v>
      </c>
      <c r="C137" s="85">
        <v>238330</v>
      </c>
      <c r="D137" s="85" t="s">
        <v>497</v>
      </c>
    </row>
    <row r="138" spans="1:4">
      <c r="A138" s="85">
        <v>238340</v>
      </c>
      <c r="B138" s="85" t="s">
        <v>498</v>
      </c>
      <c r="C138" s="85">
        <v>238340</v>
      </c>
      <c r="D138" s="85" t="s">
        <v>498</v>
      </c>
    </row>
    <row r="139" spans="1:4">
      <c r="A139" s="85">
        <v>238350</v>
      </c>
      <c r="B139" s="85" t="s">
        <v>254</v>
      </c>
      <c r="C139" s="85">
        <v>238350</v>
      </c>
      <c r="D139" s="85" t="s">
        <v>254</v>
      </c>
    </row>
    <row r="140" spans="1:4">
      <c r="A140" s="85">
        <v>238390</v>
      </c>
      <c r="B140" s="85" t="s">
        <v>141</v>
      </c>
      <c r="C140" s="85">
        <v>238390</v>
      </c>
      <c r="D140" s="85" t="s">
        <v>141</v>
      </c>
    </row>
    <row r="141" spans="1:4">
      <c r="A141" s="85">
        <v>238910</v>
      </c>
      <c r="B141" s="85" t="s">
        <v>499</v>
      </c>
      <c r="C141" s="85">
        <v>238910</v>
      </c>
      <c r="D141" s="85" t="s">
        <v>499</v>
      </c>
    </row>
    <row r="142" spans="1:4">
      <c r="A142" s="85">
        <v>238990</v>
      </c>
      <c r="B142" s="85" t="s">
        <v>125</v>
      </c>
      <c r="C142" s="85">
        <v>238990</v>
      </c>
      <c r="D142" s="85" t="s">
        <v>125</v>
      </c>
    </row>
    <row r="143" spans="1:4">
      <c r="A143" s="85">
        <v>311111</v>
      </c>
      <c r="B143" s="85" t="s">
        <v>500</v>
      </c>
      <c r="C143" s="85">
        <v>311111</v>
      </c>
      <c r="D143" s="85" t="s">
        <v>500</v>
      </c>
    </row>
    <row r="144" spans="1:4">
      <c r="A144" s="85">
        <v>311119</v>
      </c>
      <c r="B144" s="85" t="s">
        <v>501</v>
      </c>
      <c r="C144" s="85">
        <v>311119</v>
      </c>
      <c r="D144" s="85" t="s">
        <v>501</v>
      </c>
    </row>
    <row r="145" spans="1:8">
      <c r="A145" s="85">
        <v>311211</v>
      </c>
      <c r="B145" s="85" t="s">
        <v>502</v>
      </c>
      <c r="C145" s="85">
        <v>311211</v>
      </c>
      <c r="D145" s="85" t="s">
        <v>502</v>
      </c>
    </row>
    <row r="146" spans="1:8">
      <c r="A146" s="85">
        <v>311212</v>
      </c>
      <c r="B146" s="85" t="s">
        <v>503</v>
      </c>
      <c r="C146" s="85">
        <v>311212</v>
      </c>
      <c r="D146" s="85" t="s">
        <v>503</v>
      </c>
    </row>
    <row r="147" spans="1:8">
      <c r="A147" s="85">
        <v>311213</v>
      </c>
      <c r="B147" s="85" t="s">
        <v>504</v>
      </c>
      <c r="C147" s="85">
        <v>311213</v>
      </c>
      <c r="D147" s="85" t="s">
        <v>504</v>
      </c>
    </row>
    <row r="148" spans="1:8">
      <c r="A148" s="85">
        <v>311221</v>
      </c>
      <c r="B148" s="85" t="s">
        <v>505</v>
      </c>
      <c r="C148" s="85">
        <v>311221</v>
      </c>
      <c r="D148" s="85" t="s">
        <v>505</v>
      </c>
    </row>
    <row r="149" spans="1:8">
      <c r="A149" s="85">
        <v>311224</v>
      </c>
      <c r="B149" s="85" t="s">
        <v>506</v>
      </c>
      <c r="C149" s="85">
        <v>311224</v>
      </c>
      <c r="D149" s="85" t="s">
        <v>506</v>
      </c>
    </row>
    <row r="150" spans="1:8">
      <c r="A150" s="85">
        <v>311225</v>
      </c>
      <c r="B150" s="85" t="s">
        <v>507</v>
      </c>
      <c r="C150" s="85">
        <v>311225</v>
      </c>
      <c r="D150" s="85" t="s">
        <v>507</v>
      </c>
    </row>
    <row r="151" spans="1:8">
      <c r="A151" s="85">
        <v>311230</v>
      </c>
      <c r="B151" s="85" t="s">
        <v>508</v>
      </c>
      <c r="C151" s="85">
        <v>311230</v>
      </c>
      <c r="D151" s="85" t="s">
        <v>508</v>
      </c>
    </row>
    <row r="152" spans="1:8">
      <c r="A152" s="85">
        <v>311313</v>
      </c>
      <c r="B152" s="85" t="s">
        <v>509</v>
      </c>
      <c r="C152" s="85">
        <v>311313</v>
      </c>
      <c r="D152" s="85" t="s">
        <v>509</v>
      </c>
    </row>
    <row r="153" spans="1:8">
      <c r="A153" s="89">
        <v>311314</v>
      </c>
      <c r="B153" s="89" t="s">
        <v>510</v>
      </c>
      <c r="C153" s="89">
        <v>311314</v>
      </c>
      <c r="D153" s="89" t="s">
        <v>510</v>
      </c>
    </row>
    <row r="154" spans="1:8" ht="25.5">
      <c r="A154" s="85">
        <v>311340</v>
      </c>
      <c r="B154" s="85" t="s">
        <v>511</v>
      </c>
      <c r="C154" s="85">
        <v>311340</v>
      </c>
      <c r="D154" s="85" t="s">
        <v>511</v>
      </c>
    </row>
    <row r="155" spans="1:8" ht="25.5">
      <c r="A155" s="90">
        <v>311351</v>
      </c>
      <c r="B155" s="85" t="s">
        <v>512</v>
      </c>
      <c r="C155" s="90">
        <v>311351</v>
      </c>
      <c r="D155" s="85" t="s">
        <v>512</v>
      </c>
    </row>
    <row r="156" spans="1:8" ht="25.5">
      <c r="A156" s="90">
        <v>311352</v>
      </c>
      <c r="B156" s="85" t="s">
        <v>513</v>
      </c>
      <c r="C156" s="90">
        <v>311352</v>
      </c>
      <c r="D156" s="85" t="s">
        <v>513</v>
      </c>
      <c r="H156" s="86" t="s">
        <v>391</v>
      </c>
    </row>
    <row r="157" spans="1:8" ht="25.5">
      <c r="A157" s="85">
        <v>311411</v>
      </c>
      <c r="B157" s="85" t="s">
        <v>514</v>
      </c>
      <c r="C157" s="85">
        <v>311411</v>
      </c>
      <c r="D157" s="85" t="s">
        <v>514</v>
      </c>
    </row>
    <row r="158" spans="1:8">
      <c r="A158" s="85">
        <v>311412</v>
      </c>
      <c r="B158" s="85" t="s">
        <v>515</v>
      </c>
      <c r="C158" s="85">
        <v>311412</v>
      </c>
      <c r="D158" s="85" t="s">
        <v>515</v>
      </c>
    </row>
    <row r="159" spans="1:8">
      <c r="A159" s="85">
        <v>311421</v>
      </c>
      <c r="B159" s="85" t="s">
        <v>516</v>
      </c>
      <c r="C159" s="85">
        <v>311421</v>
      </c>
      <c r="D159" s="85" t="s">
        <v>516</v>
      </c>
    </row>
    <row r="160" spans="1:8">
      <c r="A160" s="85">
        <v>311422</v>
      </c>
      <c r="B160" s="85" t="s">
        <v>517</v>
      </c>
      <c r="C160" s="85">
        <v>311422</v>
      </c>
      <c r="D160" s="85" t="s">
        <v>517</v>
      </c>
    </row>
    <row r="161" spans="1:4" ht="25.5">
      <c r="A161" s="85">
        <v>311423</v>
      </c>
      <c r="B161" s="85" t="s">
        <v>518</v>
      </c>
      <c r="C161" s="85">
        <v>311423</v>
      </c>
      <c r="D161" s="85" t="s">
        <v>518</v>
      </c>
    </row>
    <row r="162" spans="1:4">
      <c r="A162" s="85">
        <v>311511</v>
      </c>
      <c r="B162" s="85" t="s">
        <v>53</v>
      </c>
      <c r="C162" s="85">
        <v>311511</v>
      </c>
      <c r="D162" s="85" t="s">
        <v>53</v>
      </c>
    </row>
    <row r="163" spans="1:4">
      <c r="A163" s="85">
        <v>311512</v>
      </c>
      <c r="B163" s="85" t="s">
        <v>519</v>
      </c>
      <c r="C163" s="85">
        <v>311512</v>
      </c>
      <c r="D163" s="85" t="s">
        <v>519</v>
      </c>
    </row>
    <row r="164" spans="1:4">
      <c r="A164" s="85">
        <v>311513</v>
      </c>
      <c r="B164" s="85" t="s">
        <v>520</v>
      </c>
      <c r="C164" s="85">
        <v>311513</v>
      </c>
      <c r="D164" s="85" t="s">
        <v>520</v>
      </c>
    </row>
    <row r="165" spans="1:4" ht="25.5">
      <c r="A165" s="85">
        <v>311514</v>
      </c>
      <c r="B165" s="85" t="s">
        <v>521</v>
      </c>
      <c r="C165" s="85">
        <v>311514</v>
      </c>
      <c r="D165" s="85" t="s">
        <v>521</v>
      </c>
    </row>
    <row r="166" spans="1:4" ht="25.5">
      <c r="A166" s="85">
        <v>311520</v>
      </c>
      <c r="B166" s="85" t="s">
        <v>522</v>
      </c>
      <c r="C166" s="85">
        <v>311520</v>
      </c>
      <c r="D166" s="85" t="s">
        <v>522</v>
      </c>
    </row>
    <row r="167" spans="1:4">
      <c r="A167" s="85">
        <v>311611</v>
      </c>
      <c r="B167" s="85" t="s">
        <v>523</v>
      </c>
      <c r="C167" s="85">
        <v>311611</v>
      </c>
      <c r="D167" s="85" t="s">
        <v>523</v>
      </c>
    </row>
    <row r="168" spans="1:4">
      <c r="A168" s="85">
        <v>311612</v>
      </c>
      <c r="B168" s="85" t="s">
        <v>524</v>
      </c>
      <c r="C168" s="85">
        <v>311612</v>
      </c>
      <c r="D168" s="85" t="s">
        <v>524</v>
      </c>
    </row>
    <row r="169" spans="1:4" ht="25.5">
      <c r="A169" s="85">
        <v>311613</v>
      </c>
      <c r="B169" s="85" t="s">
        <v>525</v>
      </c>
      <c r="C169" s="85">
        <v>311613</v>
      </c>
      <c r="D169" s="85" t="s">
        <v>525</v>
      </c>
    </row>
    <row r="170" spans="1:4">
      <c r="A170" s="85">
        <v>311615</v>
      </c>
      <c r="B170" s="85" t="s">
        <v>526</v>
      </c>
      <c r="C170" s="85">
        <v>311615</v>
      </c>
      <c r="D170" s="85" t="s">
        <v>526</v>
      </c>
    </row>
    <row r="171" spans="1:4" ht="25.5">
      <c r="A171" s="91">
        <v>311710</v>
      </c>
      <c r="B171" s="91" t="s">
        <v>527</v>
      </c>
      <c r="C171" s="91">
        <v>311710</v>
      </c>
      <c r="D171" s="91" t="s">
        <v>527</v>
      </c>
    </row>
    <row r="172" spans="1:4">
      <c r="A172" s="85">
        <v>311811</v>
      </c>
      <c r="B172" s="85" t="s">
        <v>528</v>
      </c>
      <c r="C172" s="85">
        <v>311811</v>
      </c>
      <c r="D172" s="85" t="s">
        <v>528</v>
      </c>
    </row>
    <row r="173" spans="1:4">
      <c r="A173" s="85">
        <v>311812</v>
      </c>
      <c r="B173" s="85" t="s">
        <v>529</v>
      </c>
      <c r="C173" s="85">
        <v>311812</v>
      </c>
      <c r="D173" s="85" t="s">
        <v>529</v>
      </c>
    </row>
    <row r="174" spans="1:4" ht="25.5">
      <c r="A174" s="85">
        <v>311813</v>
      </c>
      <c r="B174" s="85" t="s">
        <v>530</v>
      </c>
      <c r="C174" s="85">
        <v>311813</v>
      </c>
      <c r="D174" s="85" t="s">
        <v>530</v>
      </c>
    </row>
    <row r="175" spans="1:4">
      <c r="A175" s="85">
        <v>311821</v>
      </c>
      <c r="B175" s="85" t="s">
        <v>531</v>
      </c>
      <c r="C175" s="85">
        <v>311821</v>
      </c>
      <c r="D175" s="85" t="s">
        <v>531</v>
      </c>
    </row>
    <row r="176" spans="1:4" ht="25.5">
      <c r="A176" s="92">
        <v>311824</v>
      </c>
      <c r="B176" s="92" t="s">
        <v>532</v>
      </c>
      <c r="C176" s="92">
        <v>311824</v>
      </c>
      <c r="D176" s="92" t="s">
        <v>532</v>
      </c>
    </row>
    <row r="177" spans="1:7">
      <c r="A177" s="85">
        <v>311830</v>
      </c>
      <c r="B177" s="85" t="s">
        <v>533</v>
      </c>
      <c r="C177" s="85">
        <v>311830</v>
      </c>
      <c r="D177" s="85" t="s">
        <v>533</v>
      </c>
    </row>
    <row r="178" spans="1:7" ht="25.5">
      <c r="A178" s="85">
        <v>311911</v>
      </c>
      <c r="B178" s="85" t="s">
        <v>534</v>
      </c>
      <c r="C178" s="85">
        <v>311911</v>
      </c>
      <c r="D178" s="85" t="s">
        <v>534</v>
      </c>
    </row>
    <row r="179" spans="1:7">
      <c r="A179" s="85">
        <v>311919</v>
      </c>
      <c r="B179" s="85" t="s">
        <v>535</v>
      </c>
      <c r="C179" s="85">
        <v>311919</v>
      </c>
      <c r="D179" s="85" t="s">
        <v>535</v>
      </c>
    </row>
    <row r="180" spans="1:7">
      <c r="A180" s="85">
        <v>311920</v>
      </c>
      <c r="B180" s="85" t="s">
        <v>536</v>
      </c>
      <c r="C180" s="85">
        <v>311920</v>
      </c>
      <c r="D180" s="85" t="s">
        <v>536</v>
      </c>
    </row>
    <row r="181" spans="1:7" ht="25.5">
      <c r="A181" s="85">
        <v>311930</v>
      </c>
      <c r="B181" s="85" t="s">
        <v>537</v>
      </c>
      <c r="C181" s="85">
        <v>311930</v>
      </c>
      <c r="D181" s="85" t="s">
        <v>537</v>
      </c>
    </row>
    <row r="182" spans="1:7" ht="25.5">
      <c r="A182" s="85">
        <v>311941</v>
      </c>
      <c r="B182" s="85" t="s">
        <v>538</v>
      </c>
      <c r="C182" s="85">
        <v>311941</v>
      </c>
      <c r="D182" s="85" t="s">
        <v>538</v>
      </c>
    </row>
    <row r="183" spans="1:7">
      <c r="A183" s="85">
        <v>311942</v>
      </c>
      <c r="B183" s="85" t="s">
        <v>539</v>
      </c>
      <c r="C183" s="85">
        <v>311942</v>
      </c>
      <c r="D183" s="85" t="s">
        <v>539</v>
      </c>
    </row>
    <row r="184" spans="1:7">
      <c r="A184" s="85">
        <v>311991</v>
      </c>
      <c r="B184" s="85" t="s">
        <v>540</v>
      </c>
      <c r="C184" s="85">
        <v>311991</v>
      </c>
      <c r="D184" s="85" t="s">
        <v>540</v>
      </c>
    </row>
    <row r="185" spans="1:7" ht="25.5">
      <c r="A185" s="85">
        <v>311999</v>
      </c>
      <c r="B185" s="85" t="s">
        <v>541</v>
      </c>
      <c r="C185" s="85">
        <v>311999</v>
      </c>
      <c r="D185" s="85" t="s">
        <v>541</v>
      </c>
    </row>
    <row r="186" spans="1:7">
      <c r="A186" s="85">
        <v>312111</v>
      </c>
      <c r="B186" s="85" t="s">
        <v>542</v>
      </c>
      <c r="C186" s="85">
        <v>312111</v>
      </c>
      <c r="D186" s="85" t="s">
        <v>542</v>
      </c>
      <c r="G186" s="86" t="s">
        <v>391</v>
      </c>
    </row>
    <row r="187" spans="1:7">
      <c r="A187" s="85">
        <v>312112</v>
      </c>
      <c r="B187" s="85" t="s">
        <v>543</v>
      </c>
      <c r="C187" s="85">
        <v>312112</v>
      </c>
      <c r="D187" s="85" t="s">
        <v>543</v>
      </c>
    </row>
    <row r="188" spans="1:7">
      <c r="A188" s="85">
        <v>312113</v>
      </c>
      <c r="B188" s="85" t="s">
        <v>544</v>
      </c>
      <c r="C188" s="85">
        <v>312113</v>
      </c>
      <c r="D188" s="85" t="s">
        <v>544</v>
      </c>
    </row>
    <row r="189" spans="1:7">
      <c r="A189" s="85">
        <v>312120</v>
      </c>
      <c r="B189" s="85" t="s">
        <v>124</v>
      </c>
      <c r="C189" s="85">
        <v>312120</v>
      </c>
      <c r="D189" s="85" t="s">
        <v>124</v>
      </c>
    </row>
    <row r="190" spans="1:7">
      <c r="A190" s="85">
        <v>312130</v>
      </c>
      <c r="B190" s="85" t="s">
        <v>545</v>
      </c>
      <c r="C190" s="85">
        <v>312130</v>
      </c>
      <c r="D190" s="85" t="s">
        <v>545</v>
      </c>
    </row>
    <row r="191" spans="1:7">
      <c r="A191" s="85">
        <v>312140</v>
      </c>
      <c r="B191" s="85" t="s">
        <v>546</v>
      </c>
      <c r="C191" s="85">
        <v>312140</v>
      </c>
      <c r="D191" s="85" t="s">
        <v>546</v>
      </c>
    </row>
    <row r="192" spans="1:7">
      <c r="A192" s="93">
        <v>312230</v>
      </c>
      <c r="B192" s="93" t="s">
        <v>547</v>
      </c>
      <c r="C192" s="93">
        <v>312230</v>
      </c>
      <c r="D192" s="93" t="s">
        <v>547</v>
      </c>
    </row>
    <row r="193" spans="1:4">
      <c r="A193" s="94">
        <v>313110</v>
      </c>
      <c r="B193" s="94" t="s">
        <v>548</v>
      </c>
      <c r="C193" s="94">
        <v>313110</v>
      </c>
      <c r="D193" s="94" t="s">
        <v>548</v>
      </c>
    </row>
    <row r="194" spans="1:4">
      <c r="A194" s="85">
        <v>313210</v>
      </c>
      <c r="B194" s="85" t="s">
        <v>549</v>
      </c>
      <c r="C194" s="85">
        <v>313210</v>
      </c>
      <c r="D194" s="85" t="s">
        <v>549</v>
      </c>
    </row>
    <row r="195" spans="1:4" ht="25.5">
      <c r="A195" s="95">
        <v>313220</v>
      </c>
      <c r="B195" s="95" t="s">
        <v>550</v>
      </c>
      <c r="C195" s="95">
        <v>313220</v>
      </c>
      <c r="D195" s="95" t="s">
        <v>550</v>
      </c>
    </row>
    <row r="196" spans="1:4">
      <c r="A196" s="85">
        <v>313230</v>
      </c>
      <c r="B196" s="85" t="s">
        <v>551</v>
      </c>
      <c r="C196" s="85">
        <v>313230</v>
      </c>
      <c r="D196" s="85" t="s">
        <v>551</v>
      </c>
    </row>
    <row r="197" spans="1:4">
      <c r="A197" s="96">
        <v>313240</v>
      </c>
      <c r="B197" s="96" t="s">
        <v>552</v>
      </c>
      <c r="C197" s="96">
        <v>313240</v>
      </c>
      <c r="D197" s="96" t="s">
        <v>552</v>
      </c>
    </row>
    <row r="198" spans="1:4">
      <c r="A198" s="96">
        <v>313310</v>
      </c>
      <c r="B198" s="96" t="s">
        <v>553</v>
      </c>
      <c r="C198" s="96">
        <v>313310</v>
      </c>
      <c r="D198" s="96" t="s">
        <v>553</v>
      </c>
    </row>
    <row r="199" spans="1:4">
      <c r="A199" s="85">
        <v>313320</v>
      </c>
      <c r="B199" s="85" t="s">
        <v>554</v>
      </c>
      <c r="C199" s="85">
        <v>313320</v>
      </c>
      <c r="D199" s="85" t="s">
        <v>554</v>
      </c>
    </row>
    <row r="200" spans="1:4">
      <c r="A200" s="85">
        <v>314110</v>
      </c>
      <c r="B200" s="85" t="s">
        <v>555</v>
      </c>
      <c r="C200" s="85">
        <v>314110</v>
      </c>
      <c r="D200" s="85" t="s">
        <v>555</v>
      </c>
    </row>
    <row r="201" spans="1:4">
      <c r="A201" s="97">
        <v>314120</v>
      </c>
      <c r="B201" s="97" t="s">
        <v>556</v>
      </c>
      <c r="C201" s="97">
        <v>314120</v>
      </c>
      <c r="D201" s="97" t="s">
        <v>556</v>
      </c>
    </row>
    <row r="202" spans="1:4">
      <c r="A202" s="97">
        <v>314910</v>
      </c>
      <c r="B202" s="97" t="s">
        <v>557</v>
      </c>
      <c r="C202" s="97">
        <v>314910</v>
      </c>
      <c r="D202" s="97" t="s">
        <v>557</v>
      </c>
    </row>
    <row r="203" spans="1:4" ht="25.5">
      <c r="A203" s="97">
        <v>314994</v>
      </c>
      <c r="B203" s="97" t="s">
        <v>558</v>
      </c>
      <c r="C203" s="97">
        <v>314994</v>
      </c>
      <c r="D203" s="97" t="s">
        <v>558</v>
      </c>
    </row>
    <row r="204" spans="1:4" ht="25.5">
      <c r="A204" s="85">
        <v>314999</v>
      </c>
      <c r="B204" s="85" t="s">
        <v>559</v>
      </c>
      <c r="C204" s="85">
        <v>314999</v>
      </c>
      <c r="D204" s="85" t="s">
        <v>559</v>
      </c>
    </row>
    <row r="205" spans="1:4">
      <c r="A205" s="98">
        <v>315110</v>
      </c>
      <c r="B205" s="98" t="s">
        <v>560</v>
      </c>
      <c r="C205" s="98">
        <v>315110</v>
      </c>
      <c r="D205" s="98" t="s">
        <v>560</v>
      </c>
    </row>
    <row r="206" spans="1:4">
      <c r="A206" s="98">
        <v>315190</v>
      </c>
      <c r="B206" s="98" t="s">
        <v>561</v>
      </c>
      <c r="C206" s="98">
        <v>315190</v>
      </c>
      <c r="D206" s="98" t="s">
        <v>561</v>
      </c>
    </row>
    <row r="207" spans="1:4">
      <c r="A207" s="98">
        <v>315210</v>
      </c>
      <c r="B207" s="98" t="s">
        <v>562</v>
      </c>
      <c r="C207" s="98">
        <v>315210</v>
      </c>
      <c r="D207" s="98" t="s">
        <v>562</v>
      </c>
    </row>
    <row r="208" spans="1:4" ht="25.5">
      <c r="A208" s="98">
        <v>315220</v>
      </c>
      <c r="B208" s="98" t="s">
        <v>563</v>
      </c>
      <c r="C208" s="98">
        <v>315220</v>
      </c>
      <c r="D208" s="98" t="s">
        <v>563</v>
      </c>
    </row>
    <row r="209" spans="1:9" ht="25.5">
      <c r="A209" s="98">
        <v>315240</v>
      </c>
      <c r="B209" s="98" t="s">
        <v>564</v>
      </c>
      <c r="C209" s="98">
        <v>315240</v>
      </c>
      <c r="D209" s="98" t="s">
        <v>564</v>
      </c>
    </row>
    <row r="210" spans="1:9" ht="25.5">
      <c r="A210" s="99">
        <v>315280</v>
      </c>
      <c r="B210" s="99" t="s">
        <v>565</v>
      </c>
      <c r="C210" s="99">
        <v>315280</v>
      </c>
      <c r="D210" s="99" t="s">
        <v>565</v>
      </c>
    </row>
    <row r="211" spans="1:9" ht="25.5">
      <c r="A211" s="99">
        <v>315990</v>
      </c>
      <c r="B211" s="99" t="s">
        <v>566</v>
      </c>
      <c r="C211" s="99">
        <v>315990</v>
      </c>
      <c r="D211" s="99" t="s">
        <v>566</v>
      </c>
    </row>
    <row r="212" spans="1:9">
      <c r="A212" s="85">
        <v>316110</v>
      </c>
      <c r="B212" s="85" t="s">
        <v>567</v>
      </c>
      <c r="C212" s="85">
        <v>316110</v>
      </c>
      <c r="D212" s="85" t="s">
        <v>567</v>
      </c>
    </row>
    <row r="213" spans="1:9">
      <c r="A213" s="100">
        <v>316210</v>
      </c>
      <c r="B213" s="100" t="s">
        <v>568</v>
      </c>
      <c r="C213" s="100">
        <v>316210</v>
      </c>
      <c r="D213" s="100" t="s">
        <v>568</v>
      </c>
    </row>
    <row r="214" spans="1:9" ht="25.5">
      <c r="A214" s="85">
        <v>316992</v>
      </c>
      <c r="B214" s="85" t="s">
        <v>569</v>
      </c>
      <c r="C214" s="85">
        <v>316992</v>
      </c>
      <c r="D214" s="85" t="s">
        <v>569</v>
      </c>
    </row>
    <row r="215" spans="1:9" ht="25.5">
      <c r="A215" s="100">
        <v>316998</v>
      </c>
      <c r="B215" s="100" t="s">
        <v>570</v>
      </c>
      <c r="C215" s="100">
        <v>316998</v>
      </c>
      <c r="D215" s="100" t="s">
        <v>570</v>
      </c>
      <c r="I215" s="86" t="s">
        <v>391</v>
      </c>
    </row>
    <row r="216" spans="1:9">
      <c r="A216" s="85">
        <v>321113</v>
      </c>
      <c r="B216" s="85" t="s">
        <v>571</v>
      </c>
      <c r="C216" s="85">
        <v>321113</v>
      </c>
      <c r="D216" s="85" t="s">
        <v>571</v>
      </c>
    </row>
    <row r="217" spans="1:9">
      <c r="A217" s="85">
        <v>321114</v>
      </c>
      <c r="B217" s="85" t="s">
        <v>572</v>
      </c>
      <c r="C217" s="85">
        <v>321114</v>
      </c>
      <c r="D217" s="85" t="s">
        <v>572</v>
      </c>
    </row>
    <row r="218" spans="1:9" ht="25.5">
      <c r="A218" s="85">
        <v>321211</v>
      </c>
      <c r="B218" s="85" t="s">
        <v>573</v>
      </c>
      <c r="C218" s="85">
        <v>321211</v>
      </c>
      <c r="D218" s="85" t="s">
        <v>573</v>
      </c>
    </row>
    <row r="219" spans="1:9" ht="25.5">
      <c r="A219" s="85">
        <v>321212</v>
      </c>
      <c r="B219" s="85" t="s">
        <v>574</v>
      </c>
      <c r="C219" s="85">
        <v>321212</v>
      </c>
      <c r="D219" s="85" t="s">
        <v>574</v>
      </c>
    </row>
    <row r="220" spans="1:9" ht="25.5">
      <c r="A220" s="85">
        <v>321213</v>
      </c>
      <c r="B220" s="85" t="s">
        <v>575</v>
      </c>
      <c r="C220" s="85">
        <v>321213</v>
      </c>
      <c r="D220" s="85" t="s">
        <v>575</v>
      </c>
    </row>
    <row r="221" spans="1:9">
      <c r="A221" s="85">
        <v>321214</v>
      </c>
      <c r="B221" s="85" t="s">
        <v>576</v>
      </c>
      <c r="C221" s="85">
        <v>321214</v>
      </c>
      <c r="D221" s="85" t="s">
        <v>576</v>
      </c>
    </row>
    <row r="222" spans="1:9" ht="25.5">
      <c r="A222" s="85">
        <v>321219</v>
      </c>
      <c r="B222" s="85" t="s">
        <v>577</v>
      </c>
      <c r="C222" s="85">
        <v>321219</v>
      </c>
      <c r="D222" s="85" t="s">
        <v>577</v>
      </c>
    </row>
    <row r="223" spans="1:9">
      <c r="A223" s="85">
        <v>321911</v>
      </c>
      <c r="B223" s="85" t="s">
        <v>578</v>
      </c>
      <c r="C223" s="85">
        <v>321911</v>
      </c>
      <c r="D223" s="85" t="s">
        <v>578</v>
      </c>
    </row>
    <row r="224" spans="1:9" ht="25.5">
      <c r="A224" s="85">
        <v>321912</v>
      </c>
      <c r="B224" s="85" t="s">
        <v>579</v>
      </c>
      <c r="C224" s="85">
        <v>321912</v>
      </c>
      <c r="D224" s="85" t="s">
        <v>579</v>
      </c>
    </row>
    <row r="225" spans="1:8">
      <c r="A225" s="85">
        <v>321918</v>
      </c>
      <c r="B225" s="85" t="s">
        <v>580</v>
      </c>
      <c r="C225" s="85">
        <v>321918</v>
      </c>
      <c r="D225" s="85" t="s">
        <v>580</v>
      </c>
    </row>
    <row r="226" spans="1:8" ht="25.5">
      <c r="A226" s="85">
        <v>321920</v>
      </c>
      <c r="B226" s="85" t="s">
        <v>216</v>
      </c>
      <c r="C226" s="85">
        <v>321920</v>
      </c>
      <c r="D226" s="85" t="s">
        <v>216</v>
      </c>
    </row>
    <row r="227" spans="1:8" ht="25.5">
      <c r="A227" s="85">
        <v>321991</v>
      </c>
      <c r="B227" s="85" t="s">
        <v>581</v>
      </c>
      <c r="C227" s="85">
        <v>321991</v>
      </c>
      <c r="D227" s="85" t="s">
        <v>581</v>
      </c>
    </row>
    <row r="228" spans="1:8" ht="25.5">
      <c r="A228" s="85">
        <v>321992</v>
      </c>
      <c r="B228" s="85" t="s">
        <v>582</v>
      </c>
      <c r="C228" s="85">
        <v>321992</v>
      </c>
      <c r="D228" s="85" t="s">
        <v>582</v>
      </c>
      <c r="H228" s="86" t="s">
        <v>391</v>
      </c>
    </row>
    <row r="229" spans="1:8" ht="25.5">
      <c r="A229" s="85">
        <v>321999</v>
      </c>
      <c r="B229" s="85" t="s">
        <v>583</v>
      </c>
      <c r="C229" s="85">
        <v>321999</v>
      </c>
      <c r="D229" s="85" t="s">
        <v>583</v>
      </c>
    </row>
    <row r="230" spans="1:8">
      <c r="A230" s="85">
        <v>322110</v>
      </c>
      <c r="B230" s="85" t="s">
        <v>584</v>
      </c>
      <c r="C230" s="85">
        <v>322110</v>
      </c>
      <c r="D230" s="85" t="s">
        <v>584</v>
      </c>
    </row>
    <row r="231" spans="1:8">
      <c r="A231" s="85">
        <v>322121</v>
      </c>
      <c r="B231" s="85" t="s">
        <v>585</v>
      </c>
      <c r="C231" s="85">
        <v>322121</v>
      </c>
      <c r="D231" s="85" t="s">
        <v>585</v>
      </c>
    </row>
    <row r="232" spans="1:8">
      <c r="A232" s="85">
        <v>322122</v>
      </c>
      <c r="B232" s="85" t="s">
        <v>586</v>
      </c>
      <c r="C232" s="85">
        <v>322122</v>
      </c>
      <c r="D232" s="85" t="s">
        <v>586</v>
      </c>
    </row>
    <row r="233" spans="1:8">
      <c r="A233" s="85">
        <v>322130</v>
      </c>
      <c r="B233" s="85" t="s">
        <v>587</v>
      </c>
      <c r="C233" s="85">
        <v>322130</v>
      </c>
      <c r="D233" s="85" t="s">
        <v>587</v>
      </c>
    </row>
    <row r="234" spans="1:8" ht="25.5">
      <c r="A234" s="85">
        <v>322211</v>
      </c>
      <c r="B234" s="85" t="s">
        <v>588</v>
      </c>
      <c r="C234" s="85">
        <v>322211</v>
      </c>
      <c r="D234" s="85" t="s">
        <v>588</v>
      </c>
    </row>
    <row r="235" spans="1:8">
      <c r="A235" s="85">
        <v>322212</v>
      </c>
      <c r="B235" s="85" t="s">
        <v>589</v>
      </c>
      <c r="C235" s="85">
        <v>322212</v>
      </c>
      <c r="D235" s="85" t="s">
        <v>589</v>
      </c>
    </row>
    <row r="236" spans="1:8" ht="25.5">
      <c r="A236" s="101">
        <v>322219</v>
      </c>
      <c r="B236" s="101" t="s">
        <v>590</v>
      </c>
      <c r="C236" s="101">
        <v>322219</v>
      </c>
      <c r="D236" s="101" t="s">
        <v>590</v>
      </c>
    </row>
    <row r="237" spans="1:8" ht="25.5">
      <c r="A237" s="101">
        <v>322220</v>
      </c>
      <c r="B237" s="101" t="s">
        <v>591</v>
      </c>
      <c r="C237" s="101">
        <v>322220</v>
      </c>
      <c r="D237" s="101" t="s">
        <v>591</v>
      </c>
    </row>
    <row r="238" spans="1:8">
      <c r="A238" s="101">
        <v>322230</v>
      </c>
      <c r="B238" s="101" t="s">
        <v>592</v>
      </c>
      <c r="C238" s="101">
        <v>322230</v>
      </c>
      <c r="D238" s="101" t="s">
        <v>592</v>
      </c>
    </row>
    <row r="239" spans="1:8">
      <c r="A239" s="85">
        <v>322291</v>
      </c>
      <c r="B239" s="85" t="s">
        <v>593</v>
      </c>
      <c r="C239" s="85">
        <v>322291</v>
      </c>
      <c r="D239" s="85" t="s">
        <v>593</v>
      </c>
    </row>
    <row r="240" spans="1:8" ht="25.5">
      <c r="A240" s="85">
        <v>322299</v>
      </c>
      <c r="B240" s="85" t="s">
        <v>594</v>
      </c>
      <c r="C240" s="85">
        <v>322299</v>
      </c>
      <c r="D240" s="85" t="s">
        <v>594</v>
      </c>
      <c r="F240" s="86" t="s">
        <v>391</v>
      </c>
    </row>
    <row r="241" spans="1:4" ht="25.5">
      <c r="A241" s="102">
        <v>323111</v>
      </c>
      <c r="B241" s="102" t="s">
        <v>99</v>
      </c>
      <c r="C241" s="102">
        <v>323111</v>
      </c>
      <c r="D241" s="102" t="s">
        <v>99</v>
      </c>
    </row>
    <row r="242" spans="1:4">
      <c r="A242" s="85">
        <v>323113</v>
      </c>
      <c r="B242" s="85" t="s">
        <v>595</v>
      </c>
      <c r="C242" s="85">
        <v>323113</v>
      </c>
      <c r="D242" s="85" t="s">
        <v>595</v>
      </c>
    </row>
    <row r="243" spans="1:4">
      <c r="A243" s="85">
        <v>323117</v>
      </c>
      <c r="B243" s="85" t="s">
        <v>596</v>
      </c>
      <c r="C243" s="85">
        <v>323117</v>
      </c>
      <c r="D243" s="85" t="s">
        <v>596</v>
      </c>
    </row>
    <row r="244" spans="1:4">
      <c r="A244" s="103">
        <v>323120</v>
      </c>
      <c r="B244" s="103" t="s">
        <v>597</v>
      </c>
      <c r="C244" s="103">
        <v>323120</v>
      </c>
      <c r="D244" s="103" t="s">
        <v>597</v>
      </c>
    </row>
    <row r="245" spans="1:4">
      <c r="A245" s="85">
        <v>324110</v>
      </c>
      <c r="B245" s="85" t="s">
        <v>598</v>
      </c>
      <c r="C245" s="85">
        <v>324110</v>
      </c>
      <c r="D245" s="85" t="s">
        <v>598</v>
      </c>
    </row>
    <row r="246" spans="1:4" ht="25.5">
      <c r="A246" s="85">
        <v>324121</v>
      </c>
      <c r="B246" s="85" t="s">
        <v>599</v>
      </c>
      <c r="C246" s="85">
        <v>324121</v>
      </c>
      <c r="D246" s="85" t="s">
        <v>599</v>
      </c>
    </row>
    <row r="247" spans="1:4" ht="25.5">
      <c r="A247" s="85">
        <v>324122</v>
      </c>
      <c r="B247" s="85" t="s">
        <v>600</v>
      </c>
      <c r="C247" s="85">
        <v>324122</v>
      </c>
      <c r="D247" s="85" t="s">
        <v>600</v>
      </c>
    </row>
    <row r="248" spans="1:4" ht="25.5">
      <c r="A248" s="85">
        <v>324191</v>
      </c>
      <c r="B248" s="85" t="s">
        <v>601</v>
      </c>
      <c r="C248" s="85">
        <v>324191</v>
      </c>
      <c r="D248" s="85" t="s">
        <v>601</v>
      </c>
    </row>
    <row r="249" spans="1:4" ht="25.5">
      <c r="A249" s="85">
        <v>324199</v>
      </c>
      <c r="B249" s="85" t="s">
        <v>602</v>
      </c>
      <c r="C249" s="85">
        <v>324199</v>
      </c>
      <c r="D249" s="85" t="s">
        <v>602</v>
      </c>
    </row>
    <row r="250" spans="1:4">
      <c r="A250" s="85">
        <v>325110</v>
      </c>
      <c r="B250" s="85" t="s">
        <v>603</v>
      </c>
      <c r="C250" s="85">
        <v>325110</v>
      </c>
      <c r="D250" s="85" t="s">
        <v>603</v>
      </c>
    </row>
    <row r="251" spans="1:4">
      <c r="A251" s="85">
        <v>325120</v>
      </c>
      <c r="B251" s="85" t="s">
        <v>604</v>
      </c>
      <c r="C251" s="85">
        <v>325120</v>
      </c>
      <c r="D251" s="85" t="s">
        <v>604</v>
      </c>
    </row>
    <row r="252" spans="1:4" ht="17.25" customHeight="1">
      <c r="A252" s="104">
        <v>325130</v>
      </c>
      <c r="B252" s="104" t="s">
        <v>605</v>
      </c>
      <c r="C252" s="104">
        <v>325130</v>
      </c>
      <c r="D252" s="104" t="s">
        <v>605</v>
      </c>
    </row>
    <row r="253" spans="1:4" ht="25.5">
      <c r="A253" s="104">
        <v>325180</v>
      </c>
      <c r="B253" s="104" t="s">
        <v>606</v>
      </c>
      <c r="C253" s="104">
        <v>325180</v>
      </c>
      <c r="D253" s="104" t="s">
        <v>606</v>
      </c>
    </row>
    <row r="254" spans="1:4">
      <c r="A254" s="85">
        <v>325193</v>
      </c>
      <c r="B254" s="85" t="s">
        <v>607</v>
      </c>
      <c r="C254" s="85">
        <v>325193</v>
      </c>
      <c r="D254" s="85" t="s">
        <v>607</v>
      </c>
    </row>
    <row r="255" spans="1:4" ht="25.5">
      <c r="A255" s="104">
        <v>325194</v>
      </c>
      <c r="B255" s="104" t="s">
        <v>608</v>
      </c>
      <c r="C255" s="104">
        <v>325194</v>
      </c>
      <c r="D255" s="104" t="s">
        <v>608</v>
      </c>
    </row>
    <row r="256" spans="1:4" ht="25.5">
      <c r="A256" s="85">
        <v>325199</v>
      </c>
      <c r="B256" s="85" t="s">
        <v>168</v>
      </c>
      <c r="C256" s="85">
        <v>325199</v>
      </c>
      <c r="D256" s="85" t="s">
        <v>168</v>
      </c>
    </row>
    <row r="257" spans="1:4" ht="15" customHeight="1">
      <c r="A257" s="85">
        <v>325211</v>
      </c>
      <c r="B257" s="85" t="s">
        <v>609</v>
      </c>
      <c r="C257" s="85">
        <v>325211</v>
      </c>
      <c r="D257" s="85" t="s">
        <v>609</v>
      </c>
    </row>
    <row r="258" spans="1:4">
      <c r="A258" s="85">
        <v>325212</v>
      </c>
      <c r="B258" s="85" t="s">
        <v>610</v>
      </c>
      <c r="C258" s="85">
        <v>325212</v>
      </c>
      <c r="D258" s="85" t="s">
        <v>610</v>
      </c>
    </row>
    <row r="259" spans="1:4" ht="25.5">
      <c r="A259" s="105">
        <v>325220</v>
      </c>
      <c r="B259" s="105" t="s">
        <v>611</v>
      </c>
      <c r="C259" s="105">
        <v>325220</v>
      </c>
      <c r="D259" s="105" t="s">
        <v>611</v>
      </c>
    </row>
    <row r="260" spans="1:4" ht="12.75" customHeight="1">
      <c r="A260" s="85">
        <v>325311</v>
      </c>
      <c r="B260" s="85" t="s">
        <v>612</v>
      </c>
      <c r="C260" s="85">
        <v>325311</v>
      </c>
      <c r="D260" s="85" t="s">
        <v>612</v>
      </c>
    </row>
    <row r="261" spans="1:4">
      <c r="A261" s="85">
        <v>325312</v>
      </c>
      <c r="B261" s="85" t="s">
        <v>613</v>
      </c>
      <c r="C261" s="85">
        <v>325312</v>
      </c>
      <c r="D261" s="85" t="s">
        <v>613</v>
      </c>
    </row>
    <row r="262" spans="1:4">
      <c r="A262" s="85">
        <v>325314</v>
      </c>
      <c r="B262" s="85" t="s">
        <v>614</v>
      </c>
      <c r="C262" s="85">
        <v>325314</v>
      </c>
      <c r="D262" s="85" t="s">
        <v>614</v>
      </c>
    </row>
    <row r="263" spans="1:4" ht="25.5">
      <c r="A263" s="85">
        <v>325320</v>
      </c>
      <c r="B263" s="85" t="s">
        <v>615</v>
      </c>
      <c r="C263" s="85">
        <v>325320</v>
      </c>
      <c r="D263" s="85" t="s">
        <v>615</v>
      </c>
    </row>
    <row r="264" spans="1:4">
      <c r="A264" s="85">
        <v>325411</v>
      </c>
      <c r="B264" s="85" t="s">
        <v>616</v>
      </c>
      <c r="C264" s="85">
        <v>325411</v>
      </c>
      <c r="D264" s="85" t="s">
        <v>616</v>
      </c>
    </row>
    <row r="265" spans="1:4" ht="25.5">
      <c r="A265" s="85">
        <v>325412</v>
      </c>
      <c r="B265" s="85" t="s">
        <v>213</v>
      </c>
      <c r="C265" s="85">
        <v>325412</v>
      </c>
      <c r="D265" s="85" t="s">
        <v>213</v>
      </c>
    </row>
    <row r="266" spans="1:4" ht="25.5">
      <c r="A266" s="85">
        <v>325413</v>
      </c>
      <c r="B266" s="85" t="s">
        <v>617</v>
      </c>
      <c r="C266" s="85">
        <v>325413</v>
      </c>
      <c r="D266" s="85" t="s">
        <v>617</v>
      </c>
    </row>
    <row r="267" spans="1:4" ht="25.5">
      <c r="A267" s="85">
        <v>325414</v>
      </c>
      <c r="B267" s="85" t="s">
        <v>618</v>
      </c>
      <c r="C267" s="85">
        <v>325414</v>
      </c>
      <c r="D267" s="85" t="s">
        <v>618</v>
      </c>
    </row>
    <row r="268" spans="1:4">
      <c r="A268" s="85">
        <v>325510</v>
      </c>
      <c r="B268" s="85" t="s">
        <v>619</v>
      </c>
      <c r="C268" s="85">
        <v>325510</v>
      </c>
      <c r="D268" s="85" t="s">
        <v>619</v>
      </c>
    </row>
    <row r="269" spans="1:4">
      <c r="A269" s="85">
        <v>325520</v>
      </c>
      <c r="B269" s="85" t="s">
        <v>620</v>
      </c>
      <c r="C269" s="85">
        <v>325520</v>
      </c>
      <c r="D269" s="85" t="s">
        <v>620</v>
      </c>
    </row>
    <row r="270" spans="1:4" ht="25.5">
      <c r="A270" s="85">
        <v>325611</v>
      </c>
      <c r="B270" s="85" t="s">
        <v>621</v>
      </c>
      <c r="C270" s="85">
        <v>325611</v>
      </c>
      <c r="D270" s="85" t="s">
        <v>621</v>
      </c>
    </row>
    <row r="271" spans="1:4" ht="25.5">
      <c r="A271" s="85">
        <v>325612</v>
      </c>
      <c r="B271" s="85" t="s">
        <v>622</v>
      </c>
      <c r="C271" s="85">
        <v>325612</v>
      </c>
      <c r="D271" s="85" t="s">
        <v>622</v>
      </c>
    </row>
    <row r="272" spans="1:4">
      <c r="A272" s="85">
        <v>325613</v>
      </c>
      <c r="B272" s="85" t="s">
        <v>623</v>
      </c>
      <c r="C272" s="85">
        <v>325613</v>
      </c>
      <c r="D272" s="85" t="s">
        <v>623</v>
      </c>
    </row>
    <row r="273" spans="1:8">
      <c r="A273" s="85">
        <v>325620</v>
      </c>
      <c r="B273" s="85" t="s">
        <v>624</v>
      </c>
      <c r="C273" s="85">
        <v>325620</v>
      </c>
      <c r="D273" s="85" t="s">
        <v>624</v>
      </c>
      <c r="H273" s="86" t="s">
        <v>391</v>
      </c>
    </row>
    <row r="274" spans="1:8">
      <c r="A274" s="85">
        <v>325910</v>
      </c>
      <c r="B274" s="85" t="s">
        <v>625</v>
      </c>
      <c r="C274" s="85">
        <v>325910</v>
      </c>
      <c r="D274" s="85" t="s">
        <v>625</v>
      </c>
    </row>
    <row r="275" spans="1:8">
      <c r="A275" s="85">
        <v>325920</v>
      </c>
      <c r="B275" s="85" t="s">
        <v>626</v>
      </c>
      <c r="C275" s="85">
        <v>325920</v>
      </c>
      <c r="D275" s="85" t="s">
        <v>626</v>
      </c>
    </row>
    <row r="276" spans="1:8" ht="25.5">
      <c r="A276" s="85">
        <v>325991</v>
      </c>
      <c r="B276" s="85" t="s">
        <v>627</v>
      </c>
      <c r="C276" s="85">
        <v>325991</v>
      </c>
      <c r="D276" s="85" t="s">
        <v>627</v>
      </c>
    </row>
    <row r="277" spans="1:8" ht="25.5">
      <c r="A277" s="85">
        <v>325992</v>
      </c>
      <c r="B277" s="85" t="s">
        <v>628</v>
      </c>
      <c r="C277" s="85">
        <v>325992</v>
      </c>
      <c r="D277" s="85" t="s">
        <v>628</v>
      </c>
      <c r="G277" s="86" t="s">
        <v>391</v>
      </c>
    </row>
    <row r="278" spans="1:8" ht="25.5">
      <c r="A278" s="85">
        <v>325998</v>
      </c>
      <c r="B278" s="85" t="s">
        <v>629</v>
      </c>
      <c r="C278" s="85">
        <v>325998</v>
      </c>
      <c r="D278" s="85" t="s">
        <v>629</v>
      </c>
    </row>
    <row r="279" spans="1:8">
      <c r="A279" s="85">
        <v>326111</v>
      </c>
      <c r="B279" s="85" t="s">
        <v>630</v>
      </c>
      <c r="C279" s="85">
        <v>326111</v>
      </c>
      <c r="D279" s="85" t="s">
        <v>630</v>
      </c>
    </row>
    <row r="280" spans="1:8" ht="25.5">
      <c r="A280" s="85">
        <v>326112</v>
      </c>
      <c r="B280" s="85" t="s">
        <v>631</v>
      </c>
      <c r="C280" s="85">
        <v>326112</v>
      </c>
      <c r="D280" s="85" t="s">
        <v>631</v>
      </c>
    </row>
    <row r="281" spans="1:8" ht="25.5">
      <c r="A281" s="85">
        <v>326113</v>
      </c>
      <c r="B281" s="85" t="s">
        <v>632</v>
      </c>
      <c r="C281" s="85">
        <v>326113</v>
      </c>
      <c r="D281" s="85" t="s">
        <v>632</v>
      </c>
    </row>
    <row r="282" spans="1:8" ht="25.5">
      <c r="A282" s="85">
        <v>326121</v>
      </c>
      <c r="B282" s="85" t="s">
        <v>633</v>
      </c>
      <c r="C282" s="85">
        <v>326121</v>
      </c>
      <c r="D282" s="85" t="s">
        <v>633</v>
      </c>
    </row>
    <row r="283" spans="1:8" ht="25.5">
      <c r="A283" s="85">
        <v>326122</v>
      </c>
      <c r="B283" s="85" t="s">
        <v>634</v>
      </c>
      <c r="C283" s="85">
        <v>326122</v>
      </c>
      <c r="D283" s="85" t="s">
        <v>634</v>
      </c>
    </row>
    <row r="284" spans="1:8" ht="25.5">
      <c r="A284" s="85">
        <v>326130</v>
      </c>
      <c r="B284" s="85" t="s">
        <v>635</v>
      </c>
      <c r="C284" s="85">
        <v>326130</v>
      </c>
      <c r="D284" s="85" t="s">
        <v>635</v>
      </c>
    </row>
    <row r="285" spans="1:8" ht="25.5">
      <c r="A285" s="85">
        <v>326140</v>
      </c>
      <c r="B285" s="85" t="s">
        <v>636</v>
      </c>
      <c r="C285" s="85">
        <v>326140</v>
      </c>
      <c r="D285" s="85" t="s">
        <v>636</v>
      </c>
    </row>
    <row r="286" spans="1:8" ht="25.5">
      <c r="A286" s="85">
        <v>326150</v>
      </c>
      <c r="B286" s="85" t="s">
        <v>637</v>
      </c>
      <c r="C286" s="85">
        <v>326150</v>
      </c>
      <c r="D286" s="85" t="s">
        <v>637</v>
      </c>
    </row>
    <row r="287" spans="1:8">
      <c r="A287" s="85">
        <v>326160</v>
      </c>
      <c r="B287" s="85" t="s">
        <v>638</v>
      </c>
      <c r="C287" s="85">
        <v>326160</v>
      </c>
      <c r="D287" s="85" t="s">
        <v>638</v>
      </c>
    </row>
    <row r="288" spans="1:8">
      <c r="A288" s="85">
        <v>326191</v>
      </c>
      <c r="B288" s="85" t="s">
        <v>639</v>
      </c>
      <c r="C288" s="85">
        <v>326191</v>
      </c>
      <c r="D288" s="85" t="s">
        <v>639</v>
      </c>
    </row>
    <row r="289" spans="1:7" ht="25.5">
      <c r="A289" s="106">
        <v>326199</v>
      </c>
      <c r="B289" s="106" t="s">
        <v>640</v>
      </c>
      <c r="C289" s="106">
        <v>326199</v>
      </c>
      <c r="D289" s="106" t="s">
        <v>640</v>
      </c>
    </row>
    <row r="290" spans="1:7">
      <c r="A290" s="85">
        <v>326211</v>
      </c>
      <c r="B290" s="85" t="s">
        <v>641</v>
      </c>
      <c r="C290" s="85">
        <v>326211</v>
      </c>
      <c r="D290" s="85" t="s">
        <v>641</v>
      </c>
    </row>
    <row r="291" spans="1:7">
      <c r="A291" s="85">
        <v>326212</v>
      </c>
      <c r="B291" s="85" t="s">
        <v>642</v>
      </c>
      <c r="C291" s="85">
        <v>326212</v>
      </c>
      <c r="D291" s="85" t="s">
        <v>642</v>
      </c>
    </row>
    <row r="292" spans="1:7" ht="25.5">
      <c r="A292" s="85">
        <v>326220</v>
      </c>
      <c r="B292" s="85" t="s">
        <v>643</v>
      </c>
      <c r="C292" s="85">
        <v>326220</v>
      </c>
      <c r="D292" s="85" t="s">
        <v>643</v>
      </c>
    </row>
    <row r="293" spans="1:7" ht="25.5">
      <c r="A293" s="85">
        <v>326291</v>
      </c>
      <c r="B293" s="85" t="s">
        <v>644</v>
      </c>
      <c r="C293" s="85">
        <v>326291</v>
      </c>
      <c r="D293" s="85" t="s">
        <v>644</v>
      </c>
    </row>
    <row r="294" spans="1:7">
      <c r="A294" s="85">
        <v>326299</v>
      </c>
      <c r="B294" s="85" t="s">
        <v>645</v>
      </c>
      <c r="C294" s="85">
        <v>326299</v>
      </c>
      <c r="D294" s="85" t="s">
        <v>645</v>
      </c>
    </row>
    <row r="295" spans="1:7" ht="25.5">
      <c r="A295" s="107">
        <v>327110</v>
      </c>
      <c r="B295" s="107" t="s">
        <v>646</v>
      </c>
      <c r="C295" s="107">
        <v>327110</v>
      </c>
      <c r="D295" s="107" t="s">
        <v>646</v>
      </c>
    </row>
    <row r="296" spans="1:7" ht="25.5">
      <c r="A296" s="107">
        <v>327120</v>
      </c>
      <c r="B296" s="107" t="s">
        <v>647</v>
      </c>
      <c r="C296" s="107">
        <v>327120</v>
      </c>
      <c r="D296" s="107" t="s">
        <v>647</v>
      </c>
    </row>
    <row r="297" spans="1:7">
      <c r="A297" s="85">
        <v>327211</v>
      </c>
      <c r="B297" s="85" t="s">
        <v>648</v>
      </c>
      <c r="C297" s="85">
        <v>327211</v>
      </c>
      <c r="D297" s="85" t="s">
        <v>648</v>
      </c>
    </row>
    <row r="298" spans="1:7" ht="25.5">
      <c r="A298" s="85">
        <v>327212</v>
      </c>
      <c r="B298" s="85" t="s">
        <v>649</v>
      </c>
      <c r="C298" s="85">
        <v>327212</v>
      </c>
      <c r="D298" s="85" t="s">
        <v>649</v>
      </c>
    </row>
    <row r="299" spans="1:7">
      <c r="A299" s="85">
        <v>327213</v>
      </c>
      <c r="B299" s="85" t="s">
        <v>650</v>
      </c>
      <c r="C299" s="85">
        <v>327213</v>
      </c>
      <c r="D299" s="85" t="s">
        <v>650</v>
      </c>
    </row>
    <row r="300" spans="1:7" ht="25.5">
      <c r="A300" s="85">
        <v>327215</v>
      </c>
      <c r="B300" s="85" t="s">
        <v>651</v>
      </c>
      <c r="C300" s="85">
        <v>327215</v>
      </c>
      <c r="D300" s="85" t="s">
        <v>651</v>
      </c>
    </row>
    <row r="301" spans="1:7">
      <c r="A301" s="85">
        <v>327310</v>
      </c>
      <c r="B301" s="85" t="s">
        <v>652</v>
      </c>
      <c r="C301" s="85">
        <v>327310</v>
      </c>
      <c r="D301" s="85" t="s">
        <v>652</v>
      </c>
    </row>
    <row r="302" spans="1:7">
      <c r="A302" s="85">
        <v>327320</v>
      </c>
      <c r="B302" s="85" t="s">
        <v>653</v>
      </c>
      <c r="C302" s="85">
        <v>327320</v>
      </c>
      <c r="D302" s="85" t="s">
        <v>653</v>
      </c>
      <c r="G302" s="86" t="s">
        <v>391</v>
      </c>
    </row>
    <row r="303" spans="1:7">
      <c r="A303" s="85">
        <v>327331</v>
      </c>
      <c r="B303" s="85" t="s">
        <v>654</v>
      </c>
      <c r="C303" s="85">
        <v>327331</v>
      </c>
      <c r="D303" s="85" t="s">
        <v>654</v>
      </c>
    </row>
    <row r="304" spans="1:7">
      <c r="A304" s="85">
        <v>327332</v>
      </c>
      <c r="B304" s="85" t="s">
        <v>655</v>
      </c>
      <c r="C304" s="85">
        <v>327332</v>
      </c>
      <c r="D304" s="85" t="s">
        <v>655</v>
      </c>
    </row>
    <row r="305" spans="1:4">
      <c r="A305" s="85">
        <v>327390</v>
      </c>
      <c r="B305" s="85" t="s">
        <v>244</v>
      </c>
      <c r="C305" s="85">
        <v>327390</v>
      </c>
      <c r="D305" s="85" t="s">
        <v>244</v>
      </c>
    </row>
    <row r="306" spans="1:4">
      <c r="A306" s="85">
        <v>327410</v>
      </c>
      <c r="B306" s="85" t="s">
        <v>656</v>
      </c>
      <c r="C306" s="85">
        <v>327410</v>
      </c>
      <c r="D306" s="85" t="s">
        <v>656</v>
      </c>
    </row>
    <row r="307" spans="1:4">
      <c r="A307" s="85">
        <v>327420</v>
      </c>
      <c r="B307" s="85" t="s">
        <v>657</v>
      </c>
      <c r="C307" s="85">
        <v>327420</v>
      </c>
      <c r="D307" s="85" t="s">
        <v>657</v>
      </c>
    </row>
    <row r="308" spans="1:4">
      <c r="A308" s="85">
        <v>327910</v>
      </c>
      <c r="B308" s="85" t="s">
        <v>68</v>
      </c>
      <c r="C308" s="85">
        <v>327910</v>
      </c>
      <c r="D308" s="85" t="s">
        <v>68</v>
      </c>
    </row>
    <row r="309" spans="1:4" ht="25.5">
      <c r="A309" s="85">
        <v>327991</v>
      </c>
      <c r="B309" s="85" t="s">
        <v>658</v>
      </c>
      <c r="C309" s="85">
        <v>327991</v>
      </c>
      <c r="D309" s="85" t="s">
        <v>658</v>
      </c>
    </row>
    <row r="310" spans="1:4" ht="25.5">
      <c r="A310" s="85">
        <v>327992</v>
      </c>
      <c r="B310" s="85" t="s">
        <v>659</v>
      </c>
      <c r="C310" s="85">
        <v>327992</v>
      </c>
      <c r="D310" s="85" t="s">
        <v>659</v>
      </c>
    </row>
    <row r="311" spans="1:4">
      <c r="A311" s="85">
        <v>327993</v>
      </c>
      <c r="B311" s="85" t="s">
        <v>660</v>
      </c>
      <c r="C311" s="85">
        <v>327993</v>
      </c>
      <c r="D311" s="85" t="s">
        <v>660</v>
      </c>
    </row>
    <row r="312" spans="1:4" ht="25.5">
      <c r="A312" s="85">
        <v>327999</v>
      </c>
      <c r="B312" s="85" t="s">
        <v>661</v>
      </c>
      <c r="C312" s="85">
        <v>327999</v>
      </c>
      <c r="D312" s="85" t="s">
        <v>661</v>
      </c>
    </row>
    <row r="313" spans="1:4" ht="25.5">
      <c r="A313" s="108">
        <v>331110</v>
      </c>
      <c r="B313" s="108" t="s">
        <v>662</v>
      </c>
      <c r="C313" s="108">
        <v>331110</v>
      </c>
      <c r="D313" s="108" t="s">
        <v>662</v>
      </c>
    </row>
    <row r="314" spans="1:4" ht="25.5">
      <c r="A314" s="85">
        <v>331210</v>
      </c>
      <c r="B314" s="85" t="s">
        <v>663</v>
      </c>
      <c r="C314" s="85">
        <v>331210</v>
      </c>
      <c r="D314" s="85" t="s">
        <v>663</v>
      </c>
    </row>
    <row r="315" spans="1:4">
      <c r="A315" s="85">
        <v>331221</v>
      </c>
      <c r="B315" s="85" t="s">
        <v>664</v>
      </c>
      <c r="C315" s="85">
        <v>331221</v>
      </c>
      <c r="D315" s="85" t="s">
        <v>664</v>
      </c>
    </row>
    <row r="316" spans="1:4">
      <c r="A316" s="85">
        <v>331222</v>
      </c>
      <c r="B316" s="85" t="s">
        <v>665</v>
      </c>
      <c r="C316" s="85">
        <v>331222</v>
      </c>
      <c r="D316" s="85" t="s">
        <v>665</v>
      </c>
    </row>
    <row r="317" spans="1:4" ht="25.5">
      <c r="A317" s="109">
        <v>331313</v>
      </c>
      <c r="B317" s="109" t="s">
        <v>666</v>
      </c>
      <c r="C317" s="109">
        <v>331313</v>
      </c>
      <c r="D317" s="109" t="s">
        <v>666</v>
      </c>
    </row>
    <row r="318" spans="1:4" ht="25.5">
      <c r="A318" s="85">
        <v>331314</v>
      </c>
      <c r="B318" s="85" t="s">
        <v>667</v>
      </c>
      <c r="C318" s="85">
        <v>331314</v>
      </c>
      <c r="D318" s="85" t="s">
        <v>667</v>
      </c>
    </row>
    <row r="319" spans="1:4" ht="25.5">
      <c r="A319" s="85">
        <v>331315</v>
      </c>
      <c r="B319" s="85" t="s">
        <v>668</v>
      </c>
      <c r="C319" s="85">
        <v>331315</v>
      </c>
      <c r="D319" s="85" t="s">
        <v>668</v>
      </c>
    </row>
    <row r="320" spans="1:4" ht="25.5">
      <c r="A320" s="110">
        <v>331318</v>
      </c>
      <c r="B320" s="110" t="s">
        <v>669</v>
      </c>
      <c r="C320" s="110">
        <v>331318</v>
      </c>
      <c r="D320" s="110" t="s">
        <v>669</v>
      </c>
    </row>
    <row r="321" spans="1:7" ht="25.5">
      <c r="A321" s="110">
        <v>331410</v>
      </c>
      <c r="B321" s="110" t="s">
        <v>670</v>
      </c>
      <c r="C321" s="110">
        <v>331410</v>
      </c>
      <c r="D321" s="110" t="s">
        <v>670</v>
      </c>
    </row>
    <row r="322" spans="1:7" ht="25.5">
      <c r="A322" s="110">
        <v>331420</v>
      </c>
      <c r="B322" s="110" t="s">
        <v>671</v>
      </c>
      <c r="C322" s="110">
        <v>331420</v>
      </c>
      <c r="D322" s="110" t="s">
        <v>671</v>
      </c>
      <c r="G322" s="86" t="s">
        <v>391</v>
      </c>
    </row>
    <row r="323" spans="1:7" ht="38.25">
      <c r="A323" s="85">
        <v>331491</v>
      </c>
      <c r="B323" s="85" t="s">
        <v>672</v>
      </c>
      <c r="C323" s="85">
        <v>331491</v>
      </c>
      <c r="D323" s="85" t="s">
        <v>672</v>
      </c>
    </row>
    <row r="324" spans="1:7" ht="38.25">
      <c r="A324" s="85">
        <v>331492</v>
      </c>
      <c r="B324" s="85" t="s">
        <v>673</v>
      </c>
      <c r="C324" s="85">
        <v>331492</v>
      </c>
      <c r="D324" s="85" t="s">
        <v>673</v>
      </c>
    </row>
    <row r="325" spans="1:7">
      <c r="A325" s="85">
        <v>331511</v>
      </c>
      <c r="B325" s="85" t="s">
        <v>674</v>
      </c>
      <c r="C325" s="85">
        <v>331511</v>
      </c>
      <c r="D325" s="85" t="s">
        <v>674</v>
      </c>
    </row>
    <row r="326" spans="1:7">
      <c r="A326" s="85">
        <v>331512</v>
      </c>
      <c r="B326" s="85" t="s">
        <v>675</v>
      </c>
      <c r="C326" s="85">
        <v>331512</v>
      </c>
      <c r="D326" s="85" t="s">
        <v>675</v>
      </c>
    </row>
    <row r="327" spans="1:7">
      <c r="A327" s="85">
        <v>331513</v>
      </c>
      <c r="B327" s="85" t="s">
        <v>676</v>
      </c>
      <c r="C327" s="85">
        <v>331513</v>
      </c>
      <c r="D327" s="85" t="s">
        <v>676</v>
      </c>
    </row>
    <row r="328" spans="1:7">
      <c r="A328" s="111">
        <v>331523</v>
      </c>
      <c r="B328" s="111" t="s">
        <v>677</v>
      </c>
      <c r="C328" s="111">
        <v>331523</v>
      </c>
      <c r="D328" s="111" t="s">
        <v>677</v>
      </c>
    </row>
    <row r="329" spans="1:7" ht="25.5">
      <c r="A329" s="85">
        <v>331524</v>
      </c>
      <c r="B329" s="85" t="s">
        <v>678</v>
      </c>
      <c r="C329" s="85">
        <v>331524</v>
      </c>
      <c r="D329" s="85" t="s">
        <v>678</v>
      </c>
    </row>
    <row r="330" spans="1:7" ht="25.5">
      <c r="A330" s="112">
        <v>331529</v>
      </c>
      <c r="B330" s="112" t="s">
        <v>679</v>
      </c>
      <c r="C330" s="112">
        <v>331529</v>
      </c>
      <c r="D330" s="112" t="s">
        <v>679</v>
      </c>
    </row>
    <row r="331" spans="1:7">
      <c r="A331" s="85">
        <v>332111</v>
      </c>
      <c r="B331" s="85" t="s">
        <v>680</v>
      </c>
      <c r="C331" s="85">
        <v>332111</v>
      </c>
      <c r="D331" s="85" t="s">
        <v>680</v>
      </c>
    </row>
    <row r="332" spans="1:7">
      <c r="A332" s="85">
        <v>332112</v>
      </c>
      <c r="B332" s="85" t="s">
        <v>681</v>
      </c>
      <c r="C332" s="85">
        <v>332112</v>
      </c>
      <c r="D332" s="85" t="s">
        <v>681</v>
      </c>
    </row>
    <row r="333" spans="1:7">
      <c r="A333" s="85">
        <v>332114</v>
      </c>
      <c r="B333" s="85" t="s">
        <v>682</v>
      </c>
      <c r="C333" s="85">
        <v>332114</v>
      </c>
      <c r="D333" s="85" t="s">
        <v>682</v>
      </c>
    </row>
    <row r="334" spans="1:7">
      <c r="A334" s="85">
        <v>332117</v>
      </c>
      <c r="B334" s="85" t="s">
        <v>683</v>
      </c>
      <c r="C334" s="85">
        <v>332117</v>
      </c>
      <c r="D334" s="85" t="s">
        <v>683</v>
      </c>
    </row>
    <row r="335" spans="1:7" ht="25.5">
      <c r="A335" s="113">
        <v>332119</v>
      </c>
      <c r="B335" s="113" t="s">
        <v>684</v>
      </c>
      <c r="C335" s="113">
        <v>332119</v>
      </c>
      <c r="D335" s="113" t="s">
        <v>684</v>
      </c>
    </row>
    <row r="336" spans="1:7" ht="38.25">
      <c r="A336" s="114">
        <v>332215</v>
      </c>
      <c r="B336" s="114" t="s">
        <v>685</v>
      </c>
      <c r="C336" s="114">
        <v>332215</v>
      </c>
      <c r="D336" s="114" t="s">
        <v>685</v>
      </c>
    </row>
    <row r="337" spans="1:8">
      <c r="A337" s="114">
        <v>332216</v>
      </c>
      <c r="B337" s="114" t="s">
        <v>686</v>
      </c>
      <c r="C337" s="114">
        <v>332216</v>
      </c>
      <c r="D337" s="114" t="s">
        <v>686</v>
      </c>
    </row>
    <row r="338" spans="1:8" ht="25.5">
      <c r="A338" s="85">
        <v>332311</v>
      </c>
      <c r="B338" s="85" t="s">
        <v>687</v>
      </c>
      <c r="C338" s="85">
        <v>332311</v>
      </c>
      <c r="D338" s="85" t="s">
        <v>687</v>
      </c>
    </row>
    <row r="339" spans="1:8" ht="25.5">
      <c r="A339" s="85">
        <v>332312</v>
      </c>
      <c r="B339" s="85" t="s">
        <v>688</v>
      </c>
      <c r="C339" s="85">
        <v>332312</v>
      </c>
      <c r="D339" s="85" t="s">
        <v>688</v>
      </c>
    </row>
    <row r="340" spans="1:8">
      <c r="A340" s="85">
        <v>332313</v>
      </c>
      <c r="B340" s="85" t="s">
        <v>689</v>
      </c>
      <c r="C340" s="85">
        <v>332313</v>
      </c>
      <c r="D340" s="85" t="s">
        <v>689</v>
      </c>
    </row>
    <row r="341" spans="1:8">
      <c r="A341" s="85">
        <v>332321</v>
      </c>
      <c r="B341" s="85" t="s">
        <v>690</v>
      </c>
      <c r="C341" s="85">
        <v>332321</v>
      </c>
      <c r="D341" s="85" t="s">
        <v>690</v>
      </c>
    </row>
    <row r="342" spans="1:8">
      <c r="A342" s="85">
        <v>332322</v>
      </c>
      <c r="B342" s="85" t="s">
        <v>691</v>
      </c>
      <c r="C342" s="85">
        <v>332322</v>
      </c>
      <c r="D342" s="85" t="s">
        <v>691</v>
      </c>
      <c r="H342" s="86" t="s">
        <v>391</v>
      </c>
    </row>
    <row r="343" spans="1:8" ht="25.5">
      <c r="A343" s="85">
        <v>332323</v>
      </c>
      <c r="B343" s="85" t="s">
        <v>692</v>
      </c>
      <c r="C343" s="85">
        <v>332323</v>
      </c>
      <c r="D343" s="85" t="s">
        <v>692</v>
      </c>
    </row>
    <row r="344" spans="1:8" ht="25.5">
      <c r="A344" s="85">
        <v>332410</v>
      </c>
      <c r="B344" s="85" t="s">
        <v>693</v>
      </c>
      <c r="C344" s="85">
        <v>332410</v>
      </c>
      <c r="D344" s="85" t="s">
        <v>693</v>
      </c>
    </row>
    <row r="345" spans="1:8" ht="25.5">
      <c r="A345" s="85">
        <v>332420</v>
      </c>
      <c r="B345" s="85" t="s">
        <v>694</v>
      </c>
      <c r="C345" s="85">
        <v>332420</v>
      </c>
      <c r="D345" s="85" t="s">
        <v>694</v>
      </c>
    </row>
    <row r="346" spans="1:8">
      <c r="A346" s="85">
        <v>332431</v>
      </c>
      <c r="B346" s="85" t="s">
        <v>695</v>
      </c>
      <c r="C346" s="85">
        <v>332431</v>
      </c>
      <c r="D346" s="85" t="s">
        <v>695</v>
      </c>
    </row>
    <row r="347" spans="1:8">
      <c r="A347" s="85">
        <v>332439</v>
      </c>
      <c r="B347" s="85" t="s">
        <v>696</v>
      </c>
      <c r="C347" s="85">
        <v>332439</v>
      </c>
      <c r="D347" s="85" t="s">
        <v>696</v>
      </c>
    </row>
    <row r="348" spans="1:8">
      <c r="A348" s="85">
        <v>332510</v>
      </c>
      <c r="B348" s="85" t="s">
        <v>697</v>
      </c>
      <c r="C348" s="85">
        <v>332510</v>
      </c>
      <c r="D348" s="85" t="s">
        <v>697</v>
      </c>
    </row>
    <row r="349" spans="1:8">
      <c r="A349" s="115">
        <v>332613</v>
      </c>
      <c r="B349" s="115" t="s">
        <v>698</v>
      </c>
      <c r="C349" s="115">
        <v>332613</v>
      </c>
      <c r="D349" s="115" t="s">
        <v>698</v>
      </c>
    </row>
    <row r="350" spans="1:8" ht="25.5">
      <c r="A350" s="85">
        <v>332618</v>
      </c>
      <c r="B350" s="85" t="s">
        <v>699</v>
      </c>
      <c r="C350" s="85">
        <v>332618</v>
      </c>
      <c r="D350" s="85" t="s">
        <v>699</v>
      </c>
    </row>
    <row r="351" spans="1:8">
      <c r="A351" s="85">
        <v>332710</v>
      </c>
      <c r="B351" s="85" t="s">
        <v>270</v>
      </c>
      <c r="C351" s="85">
        <v>332710</v>
      </c>
      <c r="D351" s="85" t="s">
        <v>270</v>
      </c>
    </row>
    <row r="352" spans="1:8">
      <c r="A352" s="85">
        <v>332721</v>
      </c>
      <c r="B352" s="85" t="s">
        <v>153</v>
      </c>
      <c r="C352" s="85">
        <v>332721</v>
      </c>
      <c r="D352" s="85" t="s">
        <v>153</v>
      </c>
    </row>
    <row r="353" spans="1:6" ht="25.5">
      <c r="A353" s="85">
        <v>332722</v>
      </c>
      <c r="B353" s="85" t="s">
        <v>700</v>
      </c>
      <c r="C353" s="85">
        <v>332722</v>
      </c>
      <c r="D353" s="85" t="s">
        <v>700</v>
      </c>
    </row>
    <row r="354" spans="1:6">
      <c r="A354" s="85">
        <v>332811</v>
      </c>
      <c r="B354" s="85" t="s">
        <v>701</v>
      </c>
      <c r="C354" s="85">
        <v>332811</v>
      </c>
      <c r="D354" s="85" t="s">
        <v>701</v>
      </c>
    </row>
    <row r="355" spans="1:6" ht="38.25">
      <c r="A355" s="85">
        <v>332812</v>
      </c>
      <c r="B355" s="85" t="s">
        <v>702</v>
      </c>
      <c r="C355" s="85">
        <v>332812</v>
      </c>
      <c r="D355" s="85" t="s">
        <v>702</v>
      </c>
    </row>
    <row r="356" spans="1:6" ht="25.5">
      <c r="A356" s="85">
        <v>332813</v>
      </c>
      <c r="B356" s="85" t="s">
        <v>703</v>
      </c>
      <c r="C356" s="85">
        <v>332813</v>
      </c>
      <c r="D356" s="85" t="s">
        <v>703</v>
      </c>
    </row>
    <row r="357" spans="1:6">
      <c r="A357" s="85">
        <v>332911</v>
      </c>
      <c r="B357" s="85" t="s">
        <v>704</v>
      </c>
      <c r="C357" s="85">
        <v>332911</v>
      </c>
      <c r="D357" s="85" t="s">
        <v>704</v>
      </c>
    </row>
    <row r="358" spans="1:6" ht="25.5">
      <c r="A358" s="85">
        <v>332912</v>
      </c>
      <c r="B358" s="85" t="s">
        <v>705</v>
      </c>
      <c r="C358" s="85">
        <v>332912</v>
      </c>
      <c r="D358" s="85" t="s">
        <v>705</v>
      </c>
    </row>
    <row r="359" spans="1:6" ht="25.5">
      <c r="A359" s="85">
        <v>332913</v>
      </c>
      <c r="B359" s="85" t="s">
        <v>706</v>
      </c>
      <c r="C359" s="85">
        <v>332913</v>
      </c>
      <c r="D359" s="85" t="s">
        <v>706</v>
      </c>
    </row>
    <row r="360" spans="1:6" ht="25.5">
      <c r="A360" s="85">
        <v>332919</v>
      </c>
      <c r="B360" s="85" t="s">
        <v>707</v>
      </c>
      <c r="C360" s="85">
        <v>332919</v>
      </c>
      <c r="D360" s="85" t="s">
        <v>707</v>
      </c>
    </row>
    <row r="361" spans="1:6">
      <c r="A361" s="85">
        <v>332991</v>
      </c>
      <c r="B361" s="85" t="s">
        <v>708</v>
      </c>
      <c r="C361" s="85">
        <v>332991</v>
      </c>
      <c r="D361" s="85" t="s">
        <v>708</v>
      </c>
    </row>
    <row r="362" spans="1:6">
      <c r="A362" s="85">
        <v>332992</v>
      </c>
      <c r="B362" s="85" t="s">
        <v>709</v>
      </c>
      <c r="C362" s="85">
        <v>332992</v>
      </c>
      <c r="D362" s="85" t="s">
        <v>709</v>
      </c>
    </row>
    <row r="363" spans="1:6" ht="25.5">
      <c r="A363" s="85">
        <v>332993</v>
      </c>
      <c r="B363" s="85" t="s">
        <v>710</v>
      </c>
      <c r="C363" s="85">
        <v>332993</v>
      </c>
      <c r="D363" s="85" t="s">
        <v>710</v>
      </c>
    </row>
    <row r="364" spans="1:6" ht="25.5">
      <c r="A364" s="116">
        <v>332994</v>
      </c>
      <c r="B364" s="116" t="s">
        <v>711</v>
      </c>
      <c r="C364" s="116">
        <v>332994</v>
      </c>
      <c r="D364" s="116" t="s">
        <v>711</v>
      </c>
    </row>
    <row r="365" spans="1:6" ht="25.5">
      <c r="A365" s="85">
        <v>332996</v>
      </c>
      <c r="B365" s="85" t="s">
        <v>712</v>
      </c>
      <c r="C365" s="85">
        <v>332996</v>
      </c>
      <c r="D365" s="85" t="s">
        <v>712</v>
      </c>
    </row>
    <row r="366" spans="1:6" ht="25.5">
      <c r="A366" s="117">
        <v>332999</v>
      </c>
      <c r="B366" s="117" t="s">
        <v>713</v>
      </c>
      <c r="C366" s="117">
        <v>332999</v>
      </c>
      <c r="D366" s="117" t="s">
        <v>713</v>
      </c>
      <c r="F366" s="86" t="s">
        <v>391</v>
      </c>
    </row>
    <row r="367" spans="1:6" ht="25.5">
      <c r="A367" s="85">
        <v>333111</v>
      </c>
      <c r="B367" s="85" t="s">
        <v>714</v>
      </c>
      <c r="C367" s="85">
        <v>333111</v>
      </c>
      <c r="D367" s="85" t="s">
        <v>714</v>
      </c>
    </row>
    <row r="368" spans="1:6" ht="38.25">
      <c r="A368" s="85">
        <v>333112</v>
      </c>
      <c r="B368" s="85" t="s">
        <v>715</v>
      </c>
      <c r="C368" s="85">
        <v>333112</v>
      </c>
      <c r="D368" s="85" t="s">
        <v>715</v>
      </c>
    </row>
    <row r="369" spans="1:7">
      <c r="A369" s="85">
        <v>333120</v>
      </c>
      <c r="B369" s="85" t="s">
        <v>716</v>
      </c>
      <c r="C369" s="85">
        <v>333120</v>
      </c>
      <c r="D369" s="85" t="s">
        <v>716</v>
      </c>
    </row>
    <row r="370" spans="1:7" ht="25.5">
      <c r="A370" s="85">
        <v>333131</v>
      </c>
      <c r="B370" s="85" t="s">
        <v>717</v>
      </c>
      <c r="C370" s="85">
        <v>333131</v>
      </c>
      <c r="D370" s="85" t="s">
        <v>717</v>
      </c>
    </row>
    <row r="371" spans="1:7" ht="25.5">
      <c r="A371" s="85">
        <v>333132</v>
      </c>
      <c r="B371" s="85" t="s">
        <v>268</v>
      </c>
      <c r="C371" s="85">
        <v>333132</v>
      </c>
      <c r="D371" s="85" t="s">
        <v>268</v>
      </c>
    </row>
    <row r="372" spans="1:7">
      <c r="A372" s="118">
        <v>333241</v>
      </c>
      <c r="B372" s="118" t="s">
        <v>718</v>
      </c>
      <c r="C372" s="118">
        <v>333241</v>
      </c>
      <c r="D372" s="118" t="s">
        <v>718</v>
      </c>
    </row>
    <row r="373" spans="1:7" ht="25.5">
      <c r="A373" s="118">
        <v>333242</v>
      </c>
      <c r="B373" s="118" t="s">
        <v>719</v>
      </c>
      <c r="C373" s="118">
        <v>333242</v>
      </c>
      <c r="D373" s="118" t="s">
        <v>719</v>
      </c>
    </row>
    <row r="374" spans="1:7" ht="25.5">
      <c r="A374" s="118">
        <v>333243</v>
      </c>
      <c r="B374" s="118" t="s">
        <v>720</v>
      </c>
      <c r="C374" s="118">
        <v>333243</v>
      </c>
      <c r="D374" s="118" t="s">
        <v>720</v>
      </c>
    </row>
    <row r="375" spans="1:7" ht="25.5">
      <c r="A375" s="118">
        <v>333244</v>
      </c>
      <c r="B375" s="118" t="s">
        <v>721</v>
      </c>
      <c r="C375" s="118">
        <v>333244</v>
      </c>
      <c r="D375" s="118" t="s">
        <v>721</v>
      </c>
    </row>
    <row r="376" spans="1:7" ht="25.5">
      <c r="A376" s="118">
        <v>333249</v>
      </c>
      <c r="B376" s="118" t="s">
        <v>256</v>
      </c>
      <c r="C376" s="118">
        <v>333249</v>
      </c>
      <c r="D376" s="118" t="s">
        <v>256</v>
      </c>
      <c r="F376" s="119"/>
      <c r="G376" s="119"/>
    </row>
    <row r="377" spans="1:7" ht="27" customHeight="1">
      <c r="A377" s="85">
        <v>333314</v>
      </c>
      <c r="B377" s="85" t="s">
        <v>722</v>
      </c>
      <c r="C377" s="85">
        <v>333314</v>
      </c>
      <c r="D377" s="85" t="s">
        <v>722</v>
      </c>
    </row>
    <row r="378" spans="1:7" ht="25.5">
      <c r="A378" s="120">
        <v>333316</v>
      </c>
      <c r="B378" s="120" t="s">
        <v>723</v>
      </c>
      <c r="C378" s="120">
        <v>333316</v>
      </c>
      <c r="D378" s="120" t="s">
        <v>723</v>
      </c>
    </row>
    <row r="379" spans="1:7" ht="25.5">
      <c r="A379" s="118">
        <v>333318</v>
      </c>
      <c r="B379" s="118" t="s">
        <v>724</v>
      </c>
      <c r="C379" s="118">
        <v>333318</v>
      </c>
      <c r="D379" s="118" t="s">
        <v>724</v>
      </c>
    </row>
    <row r="380" spans="1:7" ht="38.25">
      <c r="A380" s="121">
        <v>333413</v>
      </c>
      <c r="B380" s="121" t="s">
        <v>725</v>
      </c>
      <c r="C380" s="121">
        <v>333413</v>
      </c>
      <c r="D380" s="121" t="s">
        <v>725</v>
      </c>
    </row>
    <row r="381" spans="1:7" ht="25.5">
      <c r="A381" s="85">
        <v>333414</v>
      </c>
      <c r="B381" s="85" t="s">
        <v>726</v>
      </c>
      <c r="C381" s="85">
        <v>333414</v>
      </c>
      <c r="D381" s="85" t="s">
        <v>726</v>
      </c>
    </row>
    <row r="382" spans="1:7" ht="51">
      <c r="A382" s="85">
        <v>333415</v>
      </c>
      <c r="B382" s="85" t="s">
        <v>727</v>
      </c>
      <c r="C382" s="85">
        <v>333415</v>
      </c>
      <c r="D382" s="85" t="s">
        <v>727</v>
      </c>
    </row>
    <row r="383" spans="1:7">
      <c r="A383" s="85">
        <v>333511</v>
      </c>
      <c r="B383" s="85" t="s">
        <v>262</v>
      </c>
      <c r="C383" s="85">
        <v>333511</v>
      </c>
      <c r="D383" s="85" t="s">
        <v>262</v>
      </c>
    </row>
    <row r="384" spans="1:7" ht="25.5">
      <c r="A384" s="85">
        <v>333514</v>
      </c>
      <c r="B384" s="85" t="s">
        <v>728</v>
      </c>
      <c r="C384" s="85">
        <v>333514</v>
      </c>
      <c r="D384" s="85" t="s">
        <v>728</v>
      </c>
    </row>
    <row r="385" spans="1:7" ht="25.5">
      <c r="A385" s="85">
        <v>333515</v>
      </c>
      <c r="B385" s="85" t="s">
        <v>729</v>
      </c>
      <c r="C385" s="85">
        <v>333515</v>
      </c>
      <c r="D385" s="85" t="s">
        <v>729</v>
      </c>
    </row>
    <row r="386" spans="1:7">
      <c r="A386" s="122">
        <v>333517</v>
      </c>
      <c r="B386" s="122" t="s">
        <v>730</v>
      </c>
      <c r="C386" s="122">
        <v>333517</v>
      </c>
      <c r="D386" s="122" t="s">
        <v>730</v>
      </c>
    </row>
    <row r="387" spans="1:7" ht="25.5">
      <c r="A387" s="123">
        <v>333519</v>
      </c>
      <c r="B387" s="123" t="s">
        <v>731</v>
      </c>
      <c r="C387" s="123">
        <v>333519</v>
      </c>
      <c r="D387" s="123" t="s">
        <v>731</v>
      </c>
    </row>
    <row r="388" spans="1:7" ht="25.5">
      <c r="A388" s="85">
        <v>333611</v>
      </c>
      <c r="B388" s="85" t="s">
        <v>732</v>
      </c>
      <c r="C388" s="85">
        <v>333611</v>
      </c>
      <c r="D388" s="85" t="s">
        <v>732</v>
      </c>
    </row>
    <row r="389" spans="1:7" ht="25.5">
      <c r="A389" s="85">
        <v>333612</v>
      </c>
      <c r="B389" s="85" t="s">
        <v>733</v>
      </c>
      <c r="C389" s="85">
        <v>333612</v>
      </c>
      <c r="D389" s="85" t="s">
        <v>733</v>
      </c>
    </row>
    <row r="390" spans="1:7" ht="25.5">
      <c r="A390" s="85">
        <v>333613</v>
      </c>
      <c r="B390" s="85" t="s">
        <v>734</v>
      </c>
      <c r="C390" s="85">
        <v>333613</v>
      </c>
      <c r="D390" s="85" t="s">
        <v>734</v>
      </c>
    </row>
    <row r="391" spans="1:7">
      <c r="A391" s="85">
        <v>333618</v>
      </c>
      <c r="B391" s="85" t="s">
        <v>735</v>
      </c>
      <c r="C391" s="85">
        <v>333618</v>
      </c>
      <c r="D391" s="85" t="s">
        <v>735</v>
      </c>
    </row>
    <row r="392" spans="1:7">
      <c r="A392" s="85">
        <v>333912</v>
      </c>
      <c r="B392" s="85" t="s">
        <v>736</v>
      </c>
      <c r="C392" s="85">
        <v>333912</v>
      </c>
      <c r="D392" s="85" t="s">
        <v>736</v>
      </c>
    </row>
    <row r="393" spans="1:7" ht="25.5">
      <c r="A393" s="88">
        <v>333914</v>
      </c>
      <c r="B393" s="85" t="s">
        <v>737</v>
      </c>
      <c r="C393" s="85">
        <v>333911</v>
      </c>
      <c r="D393" s="85" t="s">
        <v>738</v>
      </c>
    </row>
    <row r="394" spans="1:7" ht="25.5">
      <c r="A394" s="88">
        <v>333914</v>
      </c>
      <c r="B394" s="85" t="s">
        <v>737</v>
      </c>
      <c r="C394" s="85">
        <v>333913</v>
      </c>
      <c r="D394" s="85" t="s">
        <v>739</v>
      </c>
      <c r="E394" s="86" t="s">
        <v>391</v>
      </c>
    </row>
    <row r="395" spans="1:7" ht="25.5">
      <c r="A395" s="85">
        <v>333921</v>
      </c>
      <c r="B395" s="85" t="s">
        <v>740</v>
      </c>
      <c r="C395" s="85">
        <v>333921</v>
      </c>
      <c r="D395" s="85" t="s">
        <v>740</v>
      </c>
      <c r="G395" s="86" t="s">
        <v>391</v>
      </c>
    </row>
    <row r="396" spans="1:7" ht="25.5">
      <c r="A396" s="85">
        <v>333922</v>
      </c>
      <c r="B396" s="85" t="s">
        <v>741</v>
      </c>
      <c r="C396" s="85">
        <v>333922</v>
      </c>
      <c r="D396" s="85" t="s">
        <v>741</v>
      </c>
      <c r="G396" t="s">
        <v>391</v>
      </c>
    </row>
    <row r="397" spans="1:7" ht="25.5">
      <c r="A397" s="85">
        <v>333923</v>
      </c>
      <c r="B397" s="85" t="s">
        <v>742</v>
      </c>
      <c r="C397" s="85">
        <v>333923</v>
      </c>
      <c r="D397" s="85" t="s">
        <v>742</v>
      </c>
    </row>
    <row r="398" spans="1:7" ht="25.5">
      <c r="A398" s="85">
        <v>333924</v>
      </c>
      <c r="B398" s="85" t="s">
        <v>743</v>
      </c>
      <c r="C398" s="85">
        <v>333924</v>
      </c>
      <c r="D398" s="85" t="s">
        <v>743</v>
      </c>
    </row>
    <row r="399" spans="1:7">
      <c r="A399" s="85">
        <v>333991</v>
      </c>
      <c r="B399" s="85" t="s">
        <v>744</v>
      </c>
      <c r="C399" s="85">
        <v>333991</v>
      </c>
      <c r="D399" s="85" t="s">
        <v>744</v>
      </c>
    </row>
    <row r="400" spans="1:7" ht="25.5">
      <c r="A400" s="85">
        <v>333992</v>
      </c>
      <c r="B400" s="85" t="s">
        <v>745</v>
      </c>
      <c r="C400" s="85">
        <v>333992</v>
      </c>
      <c r="D400" s="85" t="s">
        <v>745</v>
      </c>
    </row>
    <row r="401" spans="1:8">
      <c r="A401" s="85">
        <v>333993</v>
      </c>
      <c r="B401" s="85" t="s">
        <v>746</v>
      </c>
      <c r="C401" s="85">
        <v>333993</v>
      </c>
      <c r="D401" s="85" t="s">
        <v>746</v>
      </c>
    </row>
    <row r="402" spans="1:8" ht="25.5">
      <c r="A402" s="85">
        <v>333994</v>
      </c>
      <c r="B402" s="85" t="s">
        <v>747</v>
      </c>
      <c r="C402" s="85">
        <v>333994</v>
      </c>
      <c r="D402" s="85" t="s">
        <v>747</v>
      </c>
    </row>
    <row r="403" spans="1:8" ht="25.5">
      <c r="A403" s="85">
        <v>333995</v>
      </c>
      <c r="B403" s="85" t="s">
        <v>748</v>
      </c>
      <c r="C403" s="85">
        <v>333995</v>
      </c>
      <c r="D403" s="85" t="s">
        <v>748</v>
      </c>
    </row>
    <row r="404" spans="1:8" ht="25.5">
      <c r="A404" s="85">
        <v>333996</v>
      </c>
      <c r="B404" s="85" t="s">
        <v>146</v>
      </c>
      <c r="C404" s="85">
        <v>333996</v>
      </c>
      <c r="D404" s="85" t="s">
        <v>146</v>
      </c>
    </row>
    <row r="405" spans="1:8">
      <c r="A405" s="85">
        <v>333997</v>
      </c>
      <c r="B405" s="85" t="s">
        <v>749</v>
      </c>
      <c r="C405" s="85">
        <v>333997</v>
      </c>
      <c r="D405" s="85" t="s">
        <v>749</v>
      </c>
    </row>
    <row r="406" spans="1:8" ht="25.5">
      <c r="A406" s="85">
        <v>333999</v>
      </c>
      <c r="B406" s="85" t="s">
        <v>750</v>
      </c>
      <c r="C406" s="85">
        <v>333999</v>
      </c>
      <c r="D406" s="85" t="s">
        <v>750</v>
      </c>
      <c r="H406" s="86" t="s">
        <v>391</v>
      </c>
    </row>
    <row r="407" spans="1:8">
      <c r="A407" s="85">
        <v>334111</v>
      </c>
      <c r="B407" s="85" t="s">
        <v>751</v>
      </c>
      <c r="C407" s="85">
        <v>334111</v>
      </c>
      <c r="D407" s="85" t="s">
        <v>751</v>
      </c>
    </row>
    <row r="408" spans="1:8">
      <c r="A408" s="85">
        <v>334112</v>
      </c>
      <c r="B408" s="85" t="s">
        <v>752</v>
      </c>
      <c r="C408" s="85">
        <v>334112</v>
      </c>
      <c r="D408" s="85" t="s">
        <v>752</v>
      </c>
    </row>
    <row r="409" spans="1:8" ht="25.5">
      <c r="A409" s="124">
        <v>334118</v>
      </c>
      <c r="B409" s="124" t="s">
        <v>753</v>
      </c>
      <c r="C409" s="124">
        <v>334118</v>
      </c>
      <c r="D409" s="124" t="s">
        <v>753</v>
      </c>
    </row>
    <row r="410" spans="1:8">
      <c r="A410" s="85">
        <v>334210</v>
      </c>
      <c r="B410" s="85" t="s">
        <v>754</v>
      </c>
      <c r="C410" s="85">
        <v>334210</v>
      </c>
      <c r="D410" s="85" t="s">
        <v>754</v>
      </c>
    </row>
    <row r="411" spans="1:8" ht="38.25">
      <c r="A411" s="85">
        <v>334220</v>
      </c>
      <c r="B411" s="85" t="s">
        <v>755</v>
      </c>
      <c r="C411" s="85">
        <v>334220</v>
      </c>
      <c r="D411" s="85" t="s">
        <v>755</v>
      </c>
    </row>
    <row r="412" spans="1:8" ht="25.5">
      <c r="A412" s="85">
        <v>334290</v>
      </c>
      <c r="B412" s="85" t="s">
        <v>756</v>
      </c>
      <c r="C412" s="85">
        <v>334290</v>
      </c>
      <c r="D412" s="85" t="s">
        <v>756</v>
      </c>
    </row>
    <row r="413" spans="1:8" ht="25.5">
      <c r="A413" s="85">
        <v>334310</v>
      </c>
      <c r="B413" s="85" t="s">
        <v>757</v>
      </c>
      <c r="C413" s="85">
        <v>334310</v>
      </c>
      <c r="D413" s="85" t="s">
        <v>757</v>
      </c>
    </row>
    <row r="414" spans="1:8" ht="25.5">
      <c r="A414" s="85">
        <v>334412</v>
      </c>
      <c r="B414" s="85" t="s">
        <v>758</v>
      </c>
      <c r="C414" s="85">
        <v>334412</v>
      </c>
      <c r="D414" s="85" t="s">
        <v>758</v>
      </c>
    </row>
    <row r="415" spans="1:8" ht="25.5">
      <c r="A415" s="85">
        <v>334413</v>
      </c>
      <c r="B415" s="85" t="s">
        <v>759</v>
      </c>
      <c r="C415" s="85">
        <v>334413</v>
      </c>
      <c r="D415" s="85" t="s">
        <v>759</v>
      </c>
    </row>
    <row r="416" spans="1:8" ht="25.5">
      <c r="A416" s="125">
        <v>334416</v>
      </c>
      <c r="B416" s="125" t="s">
        <v>760</v>
      </c>
      <c r="C416" s="125">
        <v>334416</v>
      </c>
      <c r="D416" s="125" t="s">
        <v>760</v>
      </c>
    </row>
    <row r="417" spans="1:6">
      <c r="A417" s="85">
        <v>334417</v>
      </c>
      <c r="B417" s="85" t="s">
        <v>761</v>
      </c>
      <c r="C417" s="85">
        <v>334417</v>
      </c>
      <c r="D417" s="85" t="s">
        <v>761</v>
      </c>
    </row>
    <row r="418" spans="1:6" ht="25.5">
      <c r="A418" s="85">
        <v>334418</v>
      </c>
      <c r="B418" s="85" t="s">
        <v>762</v>
      </c>
      <c r="C418" s="85">
        <v>334418</v>
      </c>
      <c r="D418" s="85" t="s">
        <v>762</v>
      </c>
    </row>
    <row r="419" spans="1:6" ht="25.5">
      <c r="A419" s="126">
        <v>334419</v>
      </c>
      <c r="B419" s="126" t="s">
        <v>763</v>
      </c>
      <c r="C419" s="126">
        <v>334419</v>
      </c>
      <c r="D419" s="126" t="s">
        <v>763</v>
      </c>
    </row>
    <row r="420" spans="1:6" ht="25.5">
      <c r="A420" s="85">
        <v>334510</v>
      </c>
      <c r="B420" s="85" t="s">
        <v>764</v>
      </c>
      <c r="C420" s="85">
        <v>334510</v>
      </c>
      <c r="D420" s="85" t="s">
        <v>764</v>
      </c>
    </row>
    <row r="421" spans="1:6" ht="38.25">
      <c r="A421" s="85">
        <v>334511</v>
      </c>
      <c r="B421" s="85" t="s">
        <v>765</v>
      </c>
      <c r="C421" s="85">
        <v>334511</v>
      </c>
      <c r="D421" s="85" t="s">
        <v>765</v>
      </c>
    </row>
    <row r="422" spans="1:6" ht="38.25">
      <c r="A422" s="85">
        <v>334512</v>
      </c>
      <c r="B422" s="85" t="s">
        <v>766</v>
      </c>
      <c r="C422" s="85">
        <v>334512</v>
      </c>
      <c r="D422" s="85" t="s">
        <v>766</v>
      </c>
    </row>
    <row r="423" spans="1:6" ht="51">
      <c r="A423" s="85">
        <v>334513</v>
      </c>
      <c r="B423" s="85" t="s">
        <v>767</v>
      </c>
      <c r="C423" s="85">
        <v>334513</v>
      </c>
      <c r="D423" s="85" t="s">
        <v>767</v>
      </c>
      <c r="F423" s="86" t="s">
        <v>391</v>
      </c>
    </row>
    <row r="424" spans="1:6" ht="25.5">
      <c r="A424" s="85">
        <v>334514</v>
      </c>
      <c r="B424" s="85" t="s">
        <v>768</v>
      </c>
      <c r="C424" s="85">
        <v>334514</v>
      </c>
      <c r="D424" s="85" t="s">
        <v>768</v>
      </c>
    </row>
    <row r="425" spans="1:6" ht="38.25">
      <c r="A425" s="85">
        <v>334515</v>
      </c>
      <c r="B425" s="85" t="s">
        <v>769</v>
      </c>
      <c r="C425" s="85">
        <v>334515</v>
      </c>
      <c r="D425" s="85" t="s">
        <v>769</v>
      </c>
    </row>
    <row r="426" spans="1:6" ht="25.5">
      <c r="A426" s="85">
        <v>334516</v>
      </c>
      <c r="B426" s="85" t="s">
        <v>770</v>
      </c>
      <c r="C426" s="85">
        <v>334516</v>
      </c>
      <c r="D426" s="85" t="s">
        <v>770</v>
      </c>
    </row>
    <row r="427" spans="1:6">
      <c r="A427" s="85">
        <v>334517</v>
      </c>
      <c r="B427" s="85" t="s">
        <v>771</v>
      </c>
      <c r="C427" s="85">
        <v>334517</v>
      </c>
      <c r="D427" s="85" t="s">
        <v>771</v>
      </c>
    </row>
    <row r="428" spans="1:6" ht="25.5">
      <c r="A428" s="127">
        <v>334519</v>
      </c>
      <c r="B428" s="127" t="s">
        <v>772</v>
      </c>
      <c r="C428" s="127">
        <v>334519</v>
      </c>
      <c r="D428" s="127" t="s">
        <v>772</v>
      </c>
    </row>
    <row r="429" spans="1:6" ht="25.5">
      <c r="A429" s="85">
        <v>334613</v>
      </c>
      <c r="B429" s="85" t="s">
        <v>773</v>
      </c>
      <c r="C429" s="85">
        <v>334613</v>
      </c>
      <c r="D429" s="85" t="s">
        <v>773</v>
      </c>
    </row>
    <row r="430" spans="1:6" ht="38.25">
      <c r="A430" s="127">
        <v>334614</v>
      </c>
      <c r="B430" s="127" t="s">
        <v>774</v>
      </c>
      <c r="C430" s="127">
        <v>334614</v>
      </c>
      <c r="D430" s="127" t="s">
        <v>774</v>
      </c>
    </row>
    <row r="431" spans="1:6" ht="25.5">
      <c r="A431" s="85">
        <v>335110</v>
      </c>
      <c r="B431" s="85" t="s">
        <v>775</v>
      </c>
      <c r="C431" s="85">
        <v>335110</v>
      </c>
      <c r="D431" s="85" t="s">
        <v>775</v>
      </c>
    </row>
    <row r="432" spans="1:6" ht="25.5">
      <c r="A432" s="85">
        <v>335121</v>
      </c>
      <c r="B432" s="85" t="s">
        <v>70</v>
      </c>
      <c r="C432" s="85">
        <v>335121</v>
      </c>
      <c r="D432" s="85" t="s">
        <v>70</v>
      </c>
    </row>
    <row r="433" spans="1:10" ht="25.5">
      <c r="A433" s="85">
        <v>335122</v>
      </c>
      <c r="B433" s="85" t="s">
        <v>776</v>
      </c>
      <c r="C433" s="85">
        <v>335122</v>
      </c>
      <c r="D433" s="85" t="s">
        <v>776</v>
      </c>
    </row>
    <row r="434" spans="1:10">
      <c r="A434" s="85">
        <v>335129</v>
      </c>
      <c r="B434" s="85" t="s">
        <v>777</v>
      </c>
      <c r="C434" s="85">
        <v>335129</v>
      </c>
      <c r="D434" s="85" t="s">
        <v>777</v>
      </c>
    </row>
    <row r="435" spans="1:10" ht="25.5">
      <c r="A435" s="128">
        <v>335210</v>
      </c>
      <c r="B435" s="128" t="s">
        <v>778</v>
      </c>
      <c r="C435" s="128">
        <v>335210</v>
      </c>
      <c r="D435" s="128" t="s">
        <v>778</v>
      </c>
    </row>
    <row r="436" spans="1:10" ht="25.5">
      <c r="A436" s="88">
        <v>335220</v>
      </c>
      <c r="B436" s="85" t="s">
        <v>779</v>
      </c>
      <c r="C436" s="85">
        <v>335221</v>
      </c>
      <c r="D436" s="85" t="s">
        <v>780</v>
      </c>
      <c r="F436" s="86" t="s">
        <v>391</v>
      </c>
    </row>
    <row r="437" spans="1:10" ht="25.5">
      <c r="A437" s="88">
        <v>335220</v>
      </c>
      <c r="B437" s="85" t="s">
        <v>779</v>
      </c>
      <c r="C437" s="85">
        <v>335222</v>
      </c>
      <c r="D437" s="85" t="s">
        <v>781</v>
      </c>
    </row>
    <row r="438" spans="1:10" ht="25.5">
      <c r="A438" s="88">
        <v>335220</v>
      </c>
      <c r="B438" s="85" t="s">
        <v>779</v>
      </c>
      <c r="C438" s="85">
        <v>335224</v>
      </c>
      <c r="D438" s="85" t="s">
        <v>782</v>
      </c>
    </row>
    <row r="439" spans="1:10" ht="25.5">
      <c r="A439" s="88">
        <v>335220</v>
      </c>
      <c r="B439" s="85" t="s">
        <v>779</v>
      </c>
      <c r="C439" s="85">
        <v>335228</v>
      </c>
      <c r="D439" s="85" t="s">
        <v>783</v>
      </c>
    </row>
    <row r="440" spans="1:10" ht="25.5">
      <c r="A440" s="85">
        <v>335311</v>
      </c>
      <c r="B440" s="85" t="s">
        <v>784</v>
      </c>
      <c r="C440" s="85">
        <v>335311</v>
      </c>
      <c r="D440" s="85" t="s">
        <v>784</v>
      </c>
      <c r="J440" t="s">
        <v>391</v>
      </c>
    </row>
    <row r="441" spans="1:10">
      <c r="A441" s="85">
        <v>335312</v>
      </c>
      <c r="B441" s="85" t="s">
        <v>785</v>
      </c>
      <c r="C441" s="85">
        <v>335312</v>
      </c>
      <c r="D441" s="85" t="s">
        <v>785</v>
      </c>
    </row>
    <row r="442" spans="1:10" ht="25.5">
      <c r="A442" s="85">
        <v>335313</v>
      </c>
      <c r="B442" s="85" t="s">
        <v>786</v>
      </c>
      <c r="C442" s="85">
        <v>335313</v>
      </c>
      <c r="D442" s="85" t="s">
        <v>786</v>
      </c>
    </row>
    <row r="443" spans="1:10" ht="25.5">
      <c r="A443" s="85">
        <v>335314</v>
      </c>
      <c r="B443" s="85" t="s">
        <v>787</v>
      </c>
      <c r="C443" s="85">
        <v>335314</v>
      </c>
      <c r="D443" s="85" t="s">
        <v>787</v>
      </c>
    </row>
    <row r="444" spans="1:10">
      <c r="A444" s="85">
        <v>335911</v>
      </c>
      <c r="B444" s="85" t="s">
        <v>788</v>
      </c>
      <c r="C444" s="85">
        <v>335911</v>
      </c>
      <c r="D444" s="85" t="s">
        <v>788</v>
      </c>
    </row>
    <row r="445" spans="1:10">
      <c r="A445" s="85">
        <v>335912</v>
      </c>
      <c r="B445" s="85" t="s">
        <v>789</v>
      </c>
      <c r="C445" s="85">
        <v>335912</v>
      </c>
      <c r="D445" s="85" t="s">
        <v>789</v>
      </c>
    </row>
    <row r="446" spans="1:10">
      <c r="A446" s="85">
        <v>335921</v>
      </c>
      <c r="B446" s="85" t="s">
        <v>790</v>
      </c>
      <c r="C446" s="85">
        <v>335921</v>
      </c>
      <c r="D446" s="85" t="s">
        <v>790</v>
      </c>
    </row>
    <row r="447" spans="1:10" ht="25.5">
      <c r="A447" s="85">
        <v>335929</v>
      </c>
      <c r="B447" s="85" t="s">
        <v>791</v>
      </c>
      <c r="C447" s="85">
        <v>335929</v>
      </c>
      <c r="D447" s="85" t="s">
        <v>791</v>
      </c>
    </row>
    <row r="448" spans="1:10" ht="25.5">
      <c r="A448" s="85">
        <v>335931</v>
      </c>
      <c r="B448" s="85" t="s">
        <v>792</v>
      </c>
      <c r="C448" s="85">
        <v>335931</v>
      </c>
      <c r="D448" s="85" t="s">
        <v>792</v>
      </c>
    </row>
    <row r="449" spans="1:7" ht="25.5">
      <c r="A449" s="85">
        <v>335932</v>
      </c>
      <c r="B449" s="85" t="s">
        <v>793</v>
      </c>
      <c r="C449" s="85">
        <v>335932</v>
      </c>
      <c r="D449" s="85" t="s">
        <v>793</v>
      </c>
    </row>
    <row r="450" spans="1:7" ht="25.5">
      <c r="A450" s="85">
        <v>335991</v>
      </c>
      <c r="B450" s="85" t="s">
        <v>794</v>
      </c>
      <c r="C450" s="85">
        <v>335991</v>
      </c>
      <c r="D450" s="85" t="s">
        <v>794</v>
      </c>
    </row>
    <row r="451" spans="1:7" ht="38.25">
      <c r="A451" s="85">
        <v>335999</v>
      </c>
      <c r="B451" s="85" t="s">
        <v>795</v>
      </c>
      <c r="C451" s="85">
        <v>335999</v>
      </c>
      <c r="D451" s="85" t="s">
        <v>795</v>
      </c>
    </row>
    <row r="452" spans="1:7">
      <c r="A452" s="85">
        <v>336111</v>
      </c>
      <c r="B452" s="85" t="s">
        <v>796</v>
      </c>
      <c r="C452" s="85">
        <v>336111</v>
      </c>
      <c r="D452" s="85" t="s">
        <v>796</v>
      </c>
    </row>
    <row r="453" spans="1:7" ht="25.5">
      <c r="A453" s="85">
        <v>336112</v>
      </c>
      <c r="B453" s="85" t="s">
        <v>797</v>
      </c>
      <c r="C453" s="85">
        <v>336112</v>
      </c>
      <c r="D453" s="85" t="s">
        <v>797</v>
      </c>
    </row>
    <row r="454" spans="1:7">
      <c r="A454" s="85">
        <v>336120</v>
      </c>
      <c r="B454" s="85" t="s">
        <v>798</v>
      </c>
      <c r="C454" s="85">
        <v>336120</v>
      </c>
      <c r="D454" s="85" t="s">
        <v>798</v>
      </c>
    </row>
    <row r="455" spans="1:7">
      <c r="A455" s="85">
        <v>336211</v>
      </c>
      <c r="B455" s="85" t="s">
        <v>799</v>
      </c>
      <c r="C455" s="85">
        <v>336211</v>
      </c>
      <c r="D455" s="85" t="s">
        <v>799</v>
      </c>
    </row>
    <row r="456" spans="1:7">
      <c r="A456" s="85">
        <v>336212</v>
      </c>
      <c r="B456" s="85" t="s">
        <v>800</v>
      </c>
      <c r="C456" s="85">
        <v>336212</v>
      </c>
      <c r="D456" s="85" t="s">
        <v>800</v>
      </c>
      <c r="G456" s="86" t="s">
        <v>391</v>
      </c>
    </row>
    <row r="457" spans="1:7">
      <c r="A457" s="85">
        <v>336213</v>
      </c>
      <c r="B457" s="85" t="s">
        <v>801</v>
      </c>
      <c r="C457" s="85">
        <v>336213</v>
      </c>
      <c r="D457" s="85" t="s">
        <v>801</v>
      </c>
    </row>
    <row r="458" spans="1:7">
      <c r="A458" s="85">
        <v>336214</v>
      </c>
      <c r="B458" s="85" t="s">
        <v>802</v>
      </c>
      <c r="C458" s="85">
        <v>336214</v>
      </c>
      <c r="D458" s="85" t="s">
        <v>802</v>
      </c>
    </row>
    <row r="459" spans="1:7" ht="25.5">
      <c r="A459" s="129">
        <v>336310</v>
      </c>
      <c r="B459" s="129" t="s">
        <v>803</v>
      </c>
      <c r="C459" s="129">
        <v>336310</v>
      </c>
      <c r="D459" s="129" t="s">
        <v>803</v>
      </c>
    </row>
    <row r="460" spans="1:7" ht="25.5">
      <c r="A460" s="129">
        <v>336320</v>
      </c>
      <c r="B460" s="129" t="s">
        <v>804</v>
      </c>
      <c r="C460" s="129">
        <v>336320</v>
      </c>
      <c r="D460" s="129" t="s">
        <v>804</v>
      </c>
    </row>
    <row r="461" spans="1:7" ht="38.25">
      <c r="A461" s="85">
        <v>336330</v>
      </c>
      <c r="B461" s="85" t="s">
        <v>805</v>
      </c>
      <c r="C461" s="85">
        <v>336330</v>
      </c>
      <c r="D461" s="85" t="s">
        <v>805</v>
      </c>
    </row>
    <row r="462" spans="1:7" ht="25.5">
      <c r="A462" s="85">
        <v>336340</v>
      </c>
      <c r="B462" s="85" t="s">
        <v>806</v>
      </c>
      <c r="C462" s="85">
        <v>336340</v>
      </c>
      <c r="D462" s="85" t="s">
        <v>806</v>
      </c>
    </row>
    <row r="463" spans="1:7" ht="25.5">
      <c r="A463" s="85">
        <v>336350</v>
      </c>
      <c r="B463" s="85" t="s">
        <v>807</v>
      </c>
      <c r="C463" s="85">
        <v>336350</v>
      </c>
      <c r="D463" s="85" t="s">
        <v>807</v>
      </c>
    </row>
    <row r="464" spans="1:7" ht="25.5">
      <c r="A464" s="85">
        <v>336360</v>
      </c>
      <c r="B464" s="85" t="s">
        <v>808</v>
      </c>
      <c r="C464" s="85">
        <v>336360</v>
      </c>
      <c r="D464" s="85" t="s">
        <v>808</v>
      </c>
    </row>
    <row r="465" spans="1:7">
      <c r="A465" s="85">
        <v>336370</v>
      </c>
      <c r="B465" s="85" t="s">
        <v>809</v>
      </c>
      <c r="C465" s="85">
        <v>336370</v>
      </c>
      <c r="D465" s="85" t="s">
        <v>809</v>
      </c>
    </row>
    <row r="466" spans="1:7" ht="25.5">
      <c r="A466" s="130">
        <v>336390</v>
      </c>
      <c r="B466" s="130" t="s">
        <v>810</v>
      </c>
      <c r="C466" s="130">
        <v>336390</v>
      </c>
      <c r="D466" s="130" t="s">
        <v>810</v>
      </c>
    </row>
    <row r="467" spans="1:7">
      <c r="A467" s="85">
        <v>336411</v>
      </c>
      <c r="B467" s="85" t="s">
        <v>811</v>
      </c>
      <c r="C467" s="85">
        <v>336411</v>
      </c>
      <c r="D467" s="85" t="s">
        <v>811</v>
      </c>
    </row>
    <row r="468" spans="1:7" ht="25.5">
      <c r="A468" s="85">
        <v>336412</v>
      </c>
      <c r="B468" s="85" t="s">
        <v>812</v>
      </c>
      <c r="C468" s="85">
        <v>336412</v>
      </c>
      <c r="D468" s="85" t="s">
        <v>812</v>
      </c>
    </row>
    <row r="469" spans="1:7" ht="25.5">
      <c r="A469" s="85">
        <v>336413</v>
      </c>
      <c r="B469" s="85" t="s">
        <v>813</v>
      </c>
      <c r="C469" s="85">
        <v>336413</v>
      </c>
      <c r="D469" s="85" t="s">
        <v>813</v>
      </c>
    </row>
    <row r="470" spans="1:7" ht="25.5">
      <c r="A470" s="85">
        <v>336414</v>
      </c>
      <c r="B470" s="85" t="s">
        <v>814</v>
      </c>
      <c r="C470" s="85">
        <v>336414</v>
      </c>
      <c r="D470" s="85" t="s">
        <v>814</v>
      </c>
    </row>
    <row r="471" spans="1:7" ht="38.25">
      <c r="A471" s="85">
        <v>336415</v>
      </c>
      <c r="B471" s="85" t="s">
        <v>815</v>
      </c>
      <c r="C471" s="85">
        <v>336415</v>
      </c>
      <c r="D471" s="85" t="s">
        <v>815</v>
      </c>
    </row>
    <row r="472" spans="1:7" ht="38.25">
      <c r="A472" s="85">
        <v>336419</v>
      </c>
      <c r="B472" s="85" t="s">
        <v>816</v>
      </c>
      <c r="C472" s="85">
        <v>336419</v>
      </c>
      <c r="D472" s="85" t="s">
        <v>816</v>
      </c>
    </row>
    <row r="473" spans="1:7">
      <c r="A473" s="85">
        <v>336510</v>
      </c>
      <c r="B473" s="85" t="s">
        <v>817</v>
      </c>
      <c r="C473" s="85">
        <v>336510</v>
      </c>
      <c r="D473" s="85" t="s">
        <v>817</v>
      </c>
    </row>
    <row r="474" spans="1:7">
      <c r="A474" s="85">
        <v>336611</v>
      </c>
      <c r="B474" s="85" t="s">
        <v>818</v>
      </c>
      <c r="C474" s="85">
        <v>336611</v>
      </c>
      <c r="D474" s="85" t="s">
        <v>818</v>
      </c>
      <c r="G474" t="s">
        <v>391</v>
      </c>
    </row>
    <row r="475" spans="1:7">
      <c r="A475" s="85">
        <v>336612</v>
      </c>
      <c r="B475" s="85" t="s">
        <v>819</v>
      </c>
      <c r="C475" s="85">
        <v>336612</v>
      </c>
      <c r="D475" s="85" t="s">
        <v>819</v>
      </c>
    </row>
    <row r="476" spans="1:7" ht="25.5">
      <c r="A476" s="85">
        <v>336991</v>
      </c>
      <c r="B476" s="85" t="s">
        <v>820</v>
      </c>
      <c r="C476" s="85">
        <v>336991</v>
      </c>
      <c r="D476" s="85" t="s">
        <v>820</v>
      </c>
    </row>
    <row r="477" spans="1:7" ht="25.5">
      <c r="A477" s="85">
        <v>336992</v>
      </c>
      <c r="B477" s="85" t="s">
        <v>821</v>
      </c>
      <c r="C477" s="85">
        <v>336992</v>
      </c>
      <c r="D477" s="85" t="s">
        <v>821</v>
      </c>
    </row>
    <row r="478" spans="1:7" ht="25.5">
      <c r="A478" s="85">
        <v>336999</v>
      </c>
      <c r="B478" s="85" t="s">
        <v>822</v>
      </c>
      <c r="C478" s="85">
        <v>336999</v>
      </c>
      <c r="D478" s="85" t="s">
        <v>822</v>
      </c>
    </row>
    <row r="479" spans="1:7" ht="25.5">
      <c r="A479" s="85">
        <v>337110</v>
      </c>
      <c r="B479" s="85" t="s">
        <v>147</v>
      </c>
      <c r="C479" s="85">
        <v>337110</v>
      </c>
      <c r="D479" s="85" t="s">
        <v>147</v>
      </c>
    </row>
    <row r="480" spans="1:7" ht="25.5">
      <c r="A480" s="85">
        <v>337121</v>
      </c>
      <c r="B480" s="85" t="s">
        <v>285</v>
      </c>
      <c r="C480" s="85">
        <v>337121</v>
      </c>
      <c r="D480" s="85" t="s">
        <v>285</v>
      </c>
    </row>
    <row r="481" spans="1:7" ht="25.5">
      <c r="A481" s="85">
        <v>337122</v>
      </c>
      <c r="B481" s="85" t="s">
        <v>823</v>
      </c>
      <c r="C481" s="85">
        <v>337122</v>
      </c>
      <c r="D481" s="85" t="s">
        <v>823</v>
      </c>
    </row>
    <row r="482" spans="1:7" ht="25.5">
      <c r="A482" s="85">
        <v>337124</v>
      </c>
      <c r="B482" s="85" t="s">
        <v>824</v>
      </c>
      <c r="C482" s="85">
        <v>337124</v>
      </c>
      <c r="D482" s="85" t="s">
        <v>824</v>
      </c>
    </row>
    <row r="483" spans="1:7" ht="25.5">
      <c r="A483" s="85">
        <v>337125</v>
      </c>
      <c r="B483" s="85" t="s">
        <v>825</v>
      </c>
      <c r="C483" s="85">
        <v>337125</v>
      </c>
      <c r="D483" s="85" t="s">
        <v>825</v>
      </c>
    </row>
    <row r="484" spans="1:7">
      <c r="A484" s="85">
        <v>337127</v>
      </c>
      <c r="B484" s="85" t="s">
        <v>826</v>
      </c>
      <c r="C484" s="85">
        <v>337127</v>
      </c>
      <c r="D484" s="85" t="s">
        <v>826</v>
      </c>
    </row>
    <row r="485" spans="1:7">
      <c r="A485" s="85">
        <v>337211</v>
      </c>
      <c r="B485" s="85" t="s">
        <v>827</v>
      </c>
      <c r="C485" s="85">
        <v>337211</v>
      </c>
      <c r="D485" s="85" t="s">
        <v>827</v>
      </c>
    </row>
    <row r="486" spans="1:7" ht="25.5">
      <c r="A486" s="85">
        <v>337212</v>
      </c>
      <c r="B486" s="85" t="s">
        <v>828</v>
      </c>
      <c r="C486" s="85">
        <v>337212</v>
      </c>
      <c r="D486" s="85" t="s">
        <v>828</v>
      </c>
    </row>
    <row r="487" spans="1:7" ht="25.5">
      <c r="A487" s="85">
        <v>337214</v>
      </c>
      <c r="B487" s="85" t="s">
        <v>283</v>
      </c>
      <c r="C487" s="85">
        <v>337214</v>
      </c>
      <c r="D487" s="85" t="s">
        <v>283</v>
      </c>
    </row>
    <row r="488" spans="1:7" ht="25.5">
      <c r="A488" s="85">
        <v>337215</v>
      </c>
      <c r="B488" s="85" t="s">
        <v>829</v>
      </c>
      <c r="C488" s="85">
        <v>337215</v>
      </c>
      <c r="D488" s="85" t="s">
        <v>829</v>
      </c>
    </row>
    <row r="489" spans="1:7">
      <c r="A489" s="85">
        <v>337910</v>
      </c>
      <c r="B489" s="85" t="s">
        <v>830</v>
      </c>
      <c r="C489" s="85">
        <v>337910</v>
      </c>
      <c r="D489" s="85" t="s">
        <v>830</v>
      </c>
    </row>
    <row r="490" spans="1:7">
      <c r="A490" s="85">
        <v>337920</v>
      </c>
      <c r="B490" s="85" t="s">
        <v>831</v>
      </c>
      <c r="C490" s="85">
        <v>337920</v>
      </c>
      <c r="D490" s="85" t="s">
        <v>831</v>
      </c>
    </row>
    <row r="491" spans="1:7" ht="25.5">
      <c r="A491" s="85">
        <v>339112</v>
      </c>
      <c r="B491" s="85" t="s">
        <v>832</v>
      </c>
      <c r="C491" s="85">
        <v>339112</v>
      </c>
      <c r="D491" s="85" t="s">
        <v>832</v>
      </c>
    </row>
    <row r="492" spans="1:7" ht="25.5">
      <c r="A492" s="85">
        <v>339113</v>
      </c>
      <c r="B492" s="85" t="s">
        <v>833</v>
      </c>
      <c r="C492" s="85">
        <v>339113</v>
      </c>
      <c r="D492" s="85" t="s">
        <v>833</v>
      </c>
    </row>
    <row r="493" spans="1:7" ht="25.5">
      <c r="A493" s="85">
        <v>339114</v>
      </c>
      <c r="B493" s="85" t="s">
        <v>834</v>
      </c>
      <c r="C493" s="85">
        <v>339114</v>
      </c>
      <c r="D493" s="85" t="s">
        <v>834</v>
      </c>
      <c r="G493" t="s">
        <v>391</v>
      </c>
    </row>
    <row r="494" spans="1:7">
      <c r="A494" s="85">
        <v>339115</v>
      </c>
      <c r="B494" s="85" t="s">
        <v>835</v>
      </c>
      <c r="C494" s="85">
        <v>339115</v>
      </c>
      <c r="D494" s="85" t="s">
        <v>835</v>
      </c>
    </row>
    <row r="495" spans="1:7">
      <c r="A495" s="85">
        <v>339116</v>
      </c>
      <c r="B495" s="85" t="s">
        <v>234</v>
      </c>
      <c r="C495" s="85">
        <v>339116</v>
      </c>
      <c r="D495" s="85" t="s">
        <v>234</v>
      </c>
    </row>
    <row r="496" spans="1:7">
      <c r="A496" s="131">
        <v>339910</v>
      </c>
      <c r="B496" s="131" t="s">
        <v>836</v>
      </c>
      <c r="C496" s="131">
        <v>339910</v>
      </c>
      <c r="D496" s="131" t="s">
        <v>836</v>
      </c>
    </row>
    <row r="497" spans="1:7" ht="25.5">
      <c r="A497" s="85">
        <v>339920</v>
      </c>
      <c r="B497" s="85" t="s">
        <v>837</v>
      </c>
      <c r="C497" s="85">
        <v>339920</v>
      </c>
      <c r="D497" s="85" t="s">
        <v>837</v>
      </c>
    </row>
    <row r="498" spans="1:7">
      <c r="A498" s="132">
        <v>339930</v>
      </c>
      <c r="B498" s="132" t="s">
        <v>838</v>
      </c>
      <c r="C498" s="132">
        <v>339930</v>
      </c>
      <c r="D498" s="132" t="s">
        <v>838</v>
      </c>
    </row>
    <row r="499" spans="1:7" ht="25.5">
      <c r="A499" s="132">
        <v>339940</v>
      </c>
      <c r="B499" s="132" t="s">
        <v>839</v>
      </c>
      <c r="C499" s="132">
        <v>339940</v>
      </c>
      <c r="D499" s="132" t="s">
        <v>839</v>
      </c>
    </row>
    <row r="500" spans="1:7">
      <c r="A500" s="85">
        <v>339950</v>
      </c>
      <c r="B500" s="85" t="s">
        <v>259</v>
      </c>
      <c r="C500" s="85">
        <v>339950</v>
      </c>
      <c r="D500" s="85" t="s">
        <v>259</v>
      </c>
    </row>
    <row r="501" spans="1:7" ht="25.5">
      <c r="A501" s="85">
        <v>339991</v>
      </c>
      <c r="B501" s="85" t="s">
        <v>840</v>
      </c>
      <c r="C501" s="85">
        <v>339991</v>
      </c>
      <c r="D501" s="85" t="s">
        <v>840</v>
      </c>
    </row>
    <row r="502" spans="1:7">
      <c r="A502" s="85">
        <v>339992</v>
      </c>
      <c r="B502" s="85" t="s">
        <v>841</v>
      </c>
      <c r="C502" s="85">
        <v>339992</v>
      </c>
      <c r="D502" s="85" t="s">
        <v>841</v>
      </c>
    </row>
    <row r="503" spans="1:7" ht="25.5">
      <c r="A503" s="85">
        <v>339993</v>
      </c>
      <c r="B503" s="85" t="s">
        <v>842</v>
      </c>
      <c r="C503" s="85">
        <v>339993</v>
      </c>
      <c r="D503" s="85" t="s">
        <v>842</v>
      </c>
    </row>
    <row r="504" spans="1:7">
      <c r="A504" s="85">
        <v>339994</v>
      </c>
      <c r="B504" s="85" t="s">
        <v>843</v>
      </c>
      <c r="C504" s="85">
        <v>339994</v>
      </c>
      <c r="D504" s="85" t="s">
        <v>843</v>
      </c>
    </row>
    <row r="505" spans="1:7">
      <c r="A505" s="85">
        <v>339995</v>
      </c>
      <c r="B505" s="85" t="s">
        <v>284</v>
      </c>
      <c r="C505" s="85">
        <v>339995</v>
      </c>
      <c r="D505" s="85" t="s">
        <v>284</v>
      </c>
    </row>
    <row r="506" spans="1:7">
      <c r="A506" s="85">
        <v>339999</v>
      </c>
      <c r="B506" s="85" t="s">
        <v>844</v>
      </c>
      <c r="C506" s="85">
        <v>339999</v>
      </c>
      <c r="D506" s="85" t="s">
        <v>844</v>
      </c>
    </row>
    <row r="507" spans="1:7" ht="25.5">
      <c r="A507" s="85">
        <v>423110</v>
      </c>
      <c r="B507" s="85" t="s">
        <v>845</v>
      </c>
      <c r="C507" s="85">
        <v>423110</v>
      </c>
      <c r="D507" s="85" t="s">
        <v>845</v>
      </c>
    </row>
    <row r="508" spans="1:7" ht="25.5">
      <c r="A508" s="85">
        <v>423120</v>
      </c>
      <c r="B508" s="85" t="s">
        <v>846</v>
      </c>
      <c r="C508" s="85">
        <v>423120</v>
      </c>
      <c r="D508" s="85" t="s">
        <v>846</v>
      </c>
    </row>
    <row r="509" spans="1:7">
      <c r="A509" s="85">
        <v>423130</v>
      </c>
      <c r="B509" s="85" t="s">
        <v>847</v>
      </c>
      <c r="C509" s="85">
        <v>423130</v>
      </c>
      <c r="D509" s="85" t="s">
        <v>847</v>
      </c>
    </row>
    <row r="510" spans="1:7" ht="25.5">
      <c r="A510" s="85">
        <v>423140</v>
      </c>
      <c r="B510" s="85" t="s">
        <v>848</v>
      </c>
      <c r="C510" s="85">
        <v>423140</v>
      </c>
      <c r="D510" s="85" t="s">
        <v>848</v>
      </c>
    </row>
    <row r="511" spans="1:7">
      <c r="A511" s="85">
        <v>423210</v>
      </c>
      <c r="B511" s="85" t="s">
        <v>849</v>
      </c>
      <c r="C511" s="85">
        <v>423210</v>
      </c>
      <c r="D511" s="85" t="s">
        <v>849</v>
      </c>
    </row>
    <row r="512" spans="1:7">
      <c r="A512" s="85">
        <v>423220</v>
      </c>
      <c r="B512" s="85" t="s">
        <v>850</v>
      </c>
      <c r="C512" s="85">
        <v>423220</v>
      </c>
      <c r="D512" s="85" t="s">
        <v>850</v>
      </c>
      <c r="G512" t="s">
        <v>391</v>
      </c>
    </row>
    <row r="513" spans="1:8" ht="25.5">
      <c r="A513" s="85">
        <v>423310</v>
      </c>
      <c r="B513" s="85" t="s">
        <v>851</v>
      </c>
      <c r="C513" s="85">
        <v>423310</v>
      </c>
      <c r="D513" s="85" t="s">
        <v>851</v>
      </c>
    </row>
    <row r="514" spans="1:8" ht="25.5">
      <c r="A514" s="85">
        <v>423320</v>
      </c>
      <c r="B514" s="85" t="s">
        <v>852</v>
      </c>
      <c r="C514" s="85">
        <v>423320</v>
      </c>
      <c r="D514" s="85" t="s">
        <v>852</v>
      </c>
    </row>
    <row r="515" spans="1:8" ht="25.5">
      <c r="A515" s="85">
        <v>423330</v>
      </c>
      <c r="B515" s="85" t="s">
        <v>853</v>
      </c>
      <c r="C515" s="85">
        <v>423330</v>
      </c>
      <c r="D515" s="85" t="s">
        <v>853</v>
      </c>
    </row>
    <row r="516" spans="1:8" ht="25.5">
      <c r="A516" s="85">
        <v>423390</v>
      </c>
      <c r="B516" s="85" t="s">
        <v>854</v>
      </c>
      <c r="C516" s="85">
        <v>423390</v>
      </c>
      <c r="D516" s="85" t="s">
        <v>854</v>
      </c>
    </row>
    <row r="517" spans="1:8" ht="25.5">
      <c r="A517" s="85">
        <v>423410</v>
      </c>
      <c r="B517" s="85" t="s">
        <v>855</v>
      </c>
      <c r="C517" s="85">
        <v>423410</v>
      </c>
      <c r="D517" s="85" t="s">
        <v>855</v>
      </c>
    </row>
    <row r="518" spans="1:8">
      <c r="A518" s="85">
        <v>423420</v>
      </c>
      <c r="B518" s="85" t="s">
        <v>106</v>
      </c>
      <c r="C518" s="85">
        <v>423420</v>
      </c>
      <c r="D518" s="85" t="s">
        <v>106</v>
      </c>
    </row>
    <row r="519" spans="1:8" ht="38.25">
      <c r="A519" s="85">
        <v>423430</v>
      </c>
      <c r="B519" s="85" t="s">
        <v>856</v>
      </c>
      <c r="C519" s="85">
        <v>423430</v>
      </c>
      <c r="D519" s="85" t="s">
        <v>856</v>
      </c>
    </row>
    <row r="520" spans="1:8" ht="25.5">
      <c r="A520" s="85">
        <v>423440</v>
      </c>
      <c r="B520" s="85" t="s">
        <v>857</v>
      </c>
      <c r="C520" s="85">
        <v>423440</v>
      </c>
      <c r="D520" s="85" t="s">
        <v>857</v>
      </c>
    </row>
    <row r="521" spans="1:8" ht="38.25">
      <c r="A521" s="85">
        <v>423450</v>
      </c>
      <c r="B521" s="85" t="s">
        <v>858</v>
      </c>
      <c r="C521" s="85">
        <v>423450</v>
      </c>
      <c r="D521" s="85" t="s">
        <v>858</v>
      </c>
    </row>
    <row r="522" spans="1:8" ht="25.5">
      <c r="A522" s="85">
        <v>423460</v>
      </c>
      <c r="B522" s="85" t="s">
        <v>859</v>
      </c>
      <c r="C522" s="85">
        <v>423460</v>
      </c>
      <c r="D522" s="85" t="s">
        <v>859</v>
      </c>
    </row>
    <row r="523" spans="1:8" ht="25.5">
      <c r="A523" s="85">
        <v>423490</v>
      </c>
      <c r="B523" s="85" t="s">
        <v>860</v>
      </c>
      <c r="C523" s="85">
        <v>423490</v>
      </c>
      <c r="D523" s="85" t="s">
        <v>860</v>
      </c>
    </row>
    <row r="524" spans="1:8" ht="25.5">
      <c r="A524" s="85">
        <v>423510</v>
      </c>
      <c r="B524" s="85" t="s">
        <v>269</v>
      </c>
      <c r="C524" s="85">
        <v>423510</v>
      </c>
      <c r="D524" s="85" t="s">
        <v>269</v>
      </c>
    </row>
    <row r="525" spans="1:8" ht="25.5">
      <c r="A525" s="85">
        <v>423520</v>
      </c>
      <c r="B525" s="85" t="s">
        <v>861</v>
      </c>
      <c r="C525" s="85">
        <v>423520</v>
      </c>
      <c r="D525" s="85" t="s">
        <v>861</v>
      </c>
    </row>
    <row r="526" spans="1:8" ht="38.25">
      <c r="A526" s="85">
        <v>423610</v>
      </c>
      <c r="B526" s="85" t="s">
        <v>862</v>
      </c>
      <c r="C526" s="85">
        <v>423610</v>
      </c>
      <c r="D526" s="85" t="s">
        <v>862</v>
      </c>
    </row>
    <row r="527" spans="1:8" ht="38.25">
      <c r="A527" s="85">
        <v>423620</v>
      </c>
      <c r="B527" s="133" t="s">
        <v>863</v>
      </c>
      <c r="C527" s="85">
        <v>423620</v>
      </c>
      <c r="D527" s="133" t="s">
        <v>863</v>
      </c>
      <c r="H527" t="s">
        <v>391</v>
      </c>
    </row>
    <row r="528" spans="1:8" ht="25.5">
      <c r="A528" s="85">
        <v>423690</v>
      </c>
      <c r="B528" s="85" t="s">
        <v>221</v>
      </c>
      <c r="C528" s="85">
        <v>423690</v>
      </c>
      <c r="D528" s="85" t="s">
        <v>221</v>
      </c>
    </row>
    <row r="529" spans="1:7">
      <c r="A529" s="85">
        <v>423710</v>
      </c>
      <c r="B529" s="85" t="s">
        <v>287</v>
      </c>
      <c r="C529" s="85">
        <v>423710</v>
      </c>
      <c r="D529" s="85" t="s">
        <v>287</v>
      </c>
    </row>
    <row r="530" spans="1:7" ht="38.25">
      <c r="A530" s="134">
        <v>423720</v>
      </c>
      <c r="B530" s="134" t="s">
        <v>63</v>
      </c>
      <c r="C530" s="134">
        <v>423720</v>
      </c>
      <c r="D530" s="134" t="s">
        <v>63</v>
      </c>
    </row>
    <row r="531" spans="1:7" ht="38.25">
      <c r="A531" s="85">
        <v>423730</v>
      </c>
      <c r="B531" s="85" t="s">
        <v>864</v>
      </c>
      <c r="C531" s="85">
        <v>423730</v>
      </c>
      <c r="D531" s="85" t="s">
        <v>864</v>
      </c>
    </row>
    <row r="532" spans="1:7" ht="25.5">
      <c r="A532" s="85">
        <v>423740</v>
      </c>
      <c r="B532" s="85" t="s">
        <v>865</v>
      </c>
      <c r="C532" s="85">
        <v>423740</v>
      </c>
      <c r="D532" s="85" t="s">
        <v>865</v>
      </c>
    </row>
    <row r="533" spans="1:7" ht="38.25">
      <c r="A533" s="85">
        <v>423810</v>
      </c>
      <c r="B533" s="85" t="s">
        <v>866</v>
      </c>
      <c r="C533" s="85">
        <v>423810</v>
      </c>
      <c r="D533" s="85" t="s">
        <v>866</v>
      </c>
    </row>
    <row r="534" spans="1:7" ht="25.5">
      <c r="A534" s="85">
        <v>423820</v>
      </c>
      <c r="B534" s="85" t="s">
        <v>163</v>
      </c>
      <c r="C534" s="85">
        <v>423820</v>
      </c>
      <c r="D534" s="85" t="s">
        <v>163</v>
      </c>
    </row>
    <row r="535" spans="1:7" ht="25.5">
      <c r="A535" s="85">
        <v>423830</v>
      </c>
      <c r="B535" s="85" t="s">
        <v>217</v>
      </c>
      <c r="C535" s="85">
        <v>423830</v>
      </c>
      <c r="D535" s="85" t="s">
        <v>217</v>
      </c>
    </row>
    <row r="536" spans="1:7" ht="25.5">
      <c r="A536" s="85">
        <v>423840</v>
      </c>
      <c r="B536" s="85" t="s">
        <v>867</v>
      </c>
      <c r="C536" s="85">
        <v>423840</v>
      </c>
      <c r="D536" s="85" t="s">
        <v>867</v>
      </c>
    </row>
    <row r="537" spans="1:7" ht="25.5">
      <c r="A537" s="85">
        <v>423850</v>
      </c>
      <c r="B537" s="85" t="s">
        <v>235</v>
      </c>
      <c r="C537" s="85">
        <v>423850</v>
      </c>
      <c r="D537" s="85" t="s">
        <v>235</v>
      </c>
    </row>
    <row r="538" spans="1:7" ht="38.25">
      <c r="A538" s="85">
        <v>423860</v>
      </c>
      <c r="B538" s="85" t="s">
        <v>868</v>
      </c>
      <c r="C538" s="85">
        <v>423860</v>
      </c>
      <c r="D538" s="85" t="s">
        <v>868</v>
      </c>
    </row>
    <row r="539" spans="1:7" ht="25.5">
      <c r="A539" s="85">
        <v>423910</v>
      </c>
      <c r="B539" s="85" t="s">
        <v>215</v>
      </c>
      <c r="C539" s="85">
        <v>423910</v>
      </c>
      <c r="D539" s="85" t="s">
        <v>215</v>
      </c>
    </row>
    <row r="540" spans="1:7" ht="25.5">
      <c r="A540" s="85">
        <v>423920</v>
      </c>
      <c r="B540" s="85" t="s">
        <v>230</v>
      </c>
      <c r="C540" s="85">
        <v>423920</v>
      </c>
      <c r="D540" s="85" t="s">
        <v>230</v>
      </c>
    </row>
    <row r="541" spans="1:7" ht="25.5">
      <c r="A541" s="85">
        <v>423930</v>
      </c>
      <c r="B541" s="85" t="s">
        <v>88</v>
      </c>
      <c r="C541" s="85">
        <v>423930</v>
      </c>
      <c r="D541" s="85" t="s">
        <v>88</v>
      </c>
    </row>
    <row r="542" spans="1:7" ht="25.5">
      <c r="A542" s="85">
        <v>423940</v>
      </c>
      <c r="B542" s="85" t="s">
        <v>248</v>
      </c>
      <c r="C542" s="85">
        <v>423940</v>
      </c>
      <c r="D542" s="85" t="s">
        <v>248</v>
      </c>
    </row>
    <row r="543" spans="1:7" ht="25.5">
      <c r="A543" s="85">
        <v>423990</v>
      </c>
      <c r="B543" s="85" t="s">
        <v>41</v>
      </c>
      <c r="C543" s="85">
        <v>423990</v>
      </c>
      <c r="D543" s="85" t="s">
        <v>41</v>
      </c>
      <c r="G543" t="s">
        <v>391</v>
      </c>
    </row>
    <row r="544" spans="1:7" ht="25.5">
      <c r="A544" s="85">
        <v>424110</v>
      </c>
      <c r="B544" s="85" t="s">
        <v>869</v>
      </c>
      <c r="C544" s="85">
        <v>424110</v>
      </c>
      <c r="D544" s="85" t="s">
        <v>869</v>
      </c>
    </row>
    <row r="545" spans="1:4" ht="25.5">
      <c r="A545" s="85">
        <v>424120</v>
      </c>
      <c r="B545" s="85" t="s">
        <v>219</v>
      </c>
      <c r="C545" s="85">
        <v>424120</v>
      </c>
      <c r="D545" s="85" t="s">
        <v>219</v>
      </c>
    </row>
    <row r="546" spans="1:4" ht="25.5">
      <c r="A546" s="85">
        <v>424130</v>
      </c>
      <c r="B546" s="85" t="s">
        <v>870</v>
      </c>
      <c r="C546" s="85">
        <v>424130</v>
      </c>
      <c r="D546" s="85" t="s">
        <v>870</v>
      </c>
    </row>
    <row r="547" spans="1:4" ht="25.5">
      <c r="A547" s="85">
        <v>424210</v>
      </c>
      <c r="B547" s="85" t="s">
        <v>181</v>
      </c>
      <c r="C547" s="85">
        <v>424210</v>
      </c>
      <c r="D547" s="85" t="s">
        <v>181</v>
      </c>
    </row>
    <row r="548" spans="1:4" ht="25.5">
      <c r="A548" s="85">
        <v>424310</v>
      </c>
      <c r="B548" s="85" t="s">
        <v>871</v>
      </c>
      <c r="C548" s="85">
        <v>424310</v>
      </c>
      <c r="D548" s="85" t="s">
        <v>871</v>
      </c>
    </row>
    <row r="549" spans="1:4" ht="25.5">
      <c r="A549" s="85">
        <v>424320</v>
      </c>
      <c r="B549" s="85" t="s">
        <v>872</v>
      </c>
      <c r="C549" s="85">
        <v>424320</v>
      </c>
      <c r="D549" s="85" t="s">
        <v>872</v>
      </c>
    </row>
    <row r="550" spans="1:4" ht="38.25">
      <c r="A550" s="85">
        <v>424330</v>
      </c>
      <c r="B550" s="85" t="s">
        <v>166</v>
      </c>
      <c r="C550" s="85">
        <v>424330</v>
      </c>
      <c r="D550" s="85" t="s">
        <v>166</v>
      </c>
    </row>
    <row r="551" spans="1:4">
      <c r="A551" s="85">
        <v>424340</v>
      </c>
      <c r="B551" s="85" t="s">
        <v>873</v>
      </c>
      <c r="C551" s="85">
        <v>424340</v>
      </c>
      <c r="D551" s="85" t="s">
        <v>873</v>
      </c>
    </row>
    <row r="552" spans="1:4" ht="25.5">
      <c r="A552" s="85">
        <v>424410</v>
      </c>
      <c r="B552" s="85" t="s">
        <v>233</v>
      </c>
      <c r="C552" s="85">
        <v>424410</v>
      </c>
      <c r="D552" s="85" t="s">
        <v>233</v>
      </c>
    </row>
    <row r="553" spans="1:4" ht="25.5">
      <c r="A553" s="85">
        <v>424420</v>
      </c>
      <c r="B553" s="85" t="s">
        <v>266</v>
      </c>
      <c r="C553" s="85">
        <v>424420</v>
      </c>
      <c r="D553" s="85" t="s">
        <v>266</v>
      </c>
    </row>
    <row r="554" spans="1:4" ht="25.5">
      <c r="A554" s="85">
        <v>424430</v>
      </c>
      <c r="B554" s="85" t="s">
        <v>874</v>
      </c>
      <c r="C554" s="85">
        <v>424430</v>
      </c>
      <c r="D554" s="85" t="s">
        <v>874</v>
      </c>
    </row>
    <row r="555" spans="1:4" ht="25.5">
      <c r="A555" s="85">
        <v>424440</v>
      </c>
      <c r="B555" s="85" t="s">
        <v>875</v>
      </c>
      <c r="C555" s="85">
        <v>424440</v>
      </c>
      <c r="D555" s="85" t="s">
        <v>875</v>
      </c>
    </row>
    <row r="556" spans="1:4">
      <c r="A556" s="85">
        <v>424450</v>
      </c>
      <c r="B556" s="85" t="s">
        <v>280</v>
      </c>
      <c r="C556" s="85">
        <v>424450</v>
      </c>
      <c r="D556" s="85" t="s">
        <v>280</v>
      </c>
    </row>
    <row r="557" spans="1:4">
      <c r="A557" s="85">
        <v>424460</v>
      </c>
      <c r="B557" s="85" t="s">
        <v>876</v>
      </c>
      <c r="C557" s="85">
        <v>424460</v>
      </c>
      <c r="D557" s="85" t="s">
        <v>876</v>
      </c>
    </row>
    <row r="558" spans="1:4" ht="25.5">
      <c r="A558" s="85">
        <v>424470</v>
      </c>
      <c r="B558" s="85" t="s">
        <v>877</v>
      </c>
      <c r="C558" s="85">
        <v>424470</v>
      </c>
      <c r="D558" s="85" t="s">
        <v>877</v>
      </c>
    </row>
    <row r="559" spans="1:4" ht="25.5">
      <c r="A559" s="85">
        <v>424480</v>
      </c>
      <c r="B559" s="85" t="s">
        <v>291</v>
      </c>
      <c r="C559" s="85">
        <v>424480</v>
      </c>
      <c r="D559" s="85" t="s">
        <v>291</v>
      </c>
    </row>
    <row r="560" spans="1:4" ht="25.5">
      <c r="A560" s="85">
        <v>424490</v>
      </c>
      <c r="B560" s="85" t="s">
        <v>878</v>
      </c>
      <c r="C560" s="85">
        <v>424490</v>
      </c>
      <c r="D560" s="85" t="s">
        <v>878</v>
      </c>
    </row>
    <row r="561" spans="1:7" ht="25.5">
      <c r="A561" s="85">
        <v>424510</v>
      </c>
      <c r="B561" s="85" t="s">
        <v>879</v>
      </c>
      <c r="C561" s="85">
        <v>424510</v>
      </c>
      <c r="D561" s="85" t="s">
        <v>879</v>
      </c>
    </row>
    <row r="562" spans="1:7">
      <c r="A562" s="85">
        <v>424520</v>
      </c>
      <c r="B562" s="85" t="s">
        <v>880</v>
      </c>
      <c r="C562" s="85">
        <v>424520</v>
      </c>
      <c r="D562" s="85" t="s">
        <v>880</v>
      </c>
      <c r="G562" t="s">
        <v>391</v>
      </c>
    </row>
    <row r="563" spans="1:7" ht="25.5">
      <c r="A563" s="85">
        <v>424590</v>
      </c>
      <c r="B563" s="85" t="s">
        <v>881</v>
      </c>
      <c r="C563" s="85">
        <v>424590</v>
      </c>
      <c r="D563" s="85" t="s">
        <v>881</v>
      </c>
    </row>
    <row r="564" spans="1:7" ht="25.5">
      <c r="A564" s="85">
        <v>424610</v>
      </c>
      <c r="B564" s="85" t="s">
        <v>882</v>
      </c>
      <c r="C564" s="85">
        <v>424610</v>
      </c>
      <c r="D564" s="85" t="s">
        <v>882</v>
      </c>
    </row>
    <row r="565" spans="1:7" ht="25.5">
      <c r="A565" s="85">
        <v>424690</v>
      </c>
      <c r="B565" s="85" t="s">
        <v>255</v>
      </c>
      <c r="C565" s="85">
        <v>424690</v>
      </c>
      <c r="D565" s="85" t="s">
        <v>255</v>
      </c>
    </row>
    <row r="566" spans="1:7">
      <c r="A566" s="85">
        <v>424710</v>
      </c>
      <c r="B566" s="85" t="s">
        <v>883</v>
      </c>
      <c r="C566" s="85">
        <v>424710</v>
      </c>
      <c r="D566" s="85" t="s">
        <v>883</v>
      </c>
    </row>
    <row r="567" spans="1:7" ht="38.25">
      <c r="A567" s="85">
        <v>424720</v>
      </c>
      <c r="B567" s="85" t="s">
        <v>884</v>
      </c>
      <c r="C567" s="85">
        <v>424720</v>
      </c>
      <c r="D567" s="85" t="s">
        <v>884</v>
      </c>
    </row>
    <row r="568" spans="1:7">
      <c r="A568" s="85">
        <v>424810</v>
      </c>
      <c r="B568" s="85" t="s">
        <v>885</v>
      </c>
      <c r="C568" s="85">
        <v>424810</v>
      </c>
      <c r="D568" s="85" t="s">
        <v>885</v>
      </c>
    </row>
    <row r="569" spans="1:7" ht="25.5">
      <c r="A569" s="85">
        <v>424820</v>
      </c>
      <c r="B569" s="85" t="s">
        <v>886</v>
      </c>
      <c r="C569" s="85">
        <v>424820</v>
      </c>
      <c r="D569" s="85" t="s">
        <v>886</v>
      </c>
    </row>
    <row r="570" spans="1:7">
      <c r="A570" s="85">
        <v>424910</v>
      </c>
      <c r="B570" s="85" t="s">
        <v>887</v>
      </c>
      <c r="C570" s="85">
        <v>424910</v>
      </c>
      <c r="D570" s="85" t="s">
        <v>887</v>
      </c>
    </row>
    <row r="571" spans="1:7" ht="25.5">
      <c r="A571" s="85">
        <v>424920</v>
      </c>
      <c r="B571" s="85" t="s">
        <v>888</v>
      </c>
      <c r="C571" s="85">
        <v>424920</v>
      </c>
      <c r="D571" s="85" t="s">
        <v>888</v>
      </c>
    </row>
    <row r="572" spans="1:7" ht="25.5">
      <c r="A572" s="85">
        <v>424930</v>
      </c>
      <c r="B572" s="85" t="s">
        <v>889</v>
      </c>
      <c r="C572" s="85">
        <v>424930</v>
      </c>
      <c r="D572" s="85" t="s">
        <v>889</v>
      </c>
    </row>
    <row r="573" spans="1:7" ht="25.5">
      <c r="A573" s="85">
        <v>424940</v>
      </c>
      <c r="B573" s="85" t="s">
        <v>72</v>
      </c>
      <c r="C573" s="85">
        <v>424940</v>
      </c>
      <c r="D573" s="85" t="s">
        <v>72</v>
      </c>
    </row>
    <row r="574" spans="1:7" ht="25.5">
      <c r="A574" s="85">
        <v>424950</v>
      </c>
      <c r="B574" s="85" t="s">
        <v>890</v>
      </c>
      <c r="C574" s="85">
        <v>424950</v>
      </c>
      <c r="D574" s="85" t="s">
        <v>890</v>
      </c>
    </row>
    <row r="575" spans="1:7" ht="25.5">
      <c r="A575" s="85">
        <v>424990</v>
      </c>
      <c r="B575" s="85" t="s">
        <v>214</v>
      </c>
      <c r="C575" s="85">
        <v>424990</v>
      </c>
      <c r="D575" s="85" t="s">
        <v>214</v>
      </c>
    </row>
    <row r="576" spans="1:7" ht="25.5">
      <c r="A576" s="85">
        <v>425110</v>
      </c>
      <c r="B576" s="85" t="s">
        <v>891</v>
      </c>
      <c r="C576" s="85">
        <v>425110</v>
      </c>
      <c r="D576" s="85" t="s">
        <v>891</v>
      </c>
    </row>
    <row r="577" spans="1:8">
      <c r="A577" s="85">
        <v>425120</v>
      </c>
      <c r="B577" s="85" t="s">
        <v>257</v>
      </c>
      <c r="C577" s="85">
        <v>425120</v>
      </c>
      <c r="D577" s="85" t="s">
        <v>257</v>
      </c>
    </row>
    <row r="578" spans="1:8">
      <c r="A578" s="85">
        <v>441110</v>
      </c>
      <c r="B578" s="85" t="s">
        <v>892</v>
      </c>
      <c r="C578" s="85">
        <v>441110</v>
      </c>
      <c r="D578" s="85" t="s">
        <v>892</v>
      </c>
    </row>
    <row r="579" spans="1:8">
      <c r="A579" s="85">
        <v>441120</v>
      </c>
      <c r="B579" s="85" t="s">
        <v>159</v>
      </c>
      <c r="C579" s="85">
        <v>441120</v>
      </c>
      <c r="D579" s="85" t="s">
        <v>159</v>
      </c>
    </row>
    <row r="580" spans="1:8">
      <c r="A580" s="85">
        <v>441210</v>
      </c>
      <c r="B580" s="85" t="s">
        <v>148</v>
      </c>
      <c r="C580" s="85">
        <v>441210</v>
      </c>
      <c r="D580" s="85" t="s">
        <v>148</v>
      </c>
      <c r="H580" t="s">
        <v>391</v>
      </c>
    </row>
    <row r="581" spans="1:8">
      <c r="A581" s="85">
        <v>441222</v>
      </c>
      <c r="B581" s="85" t="s">
        <v>288</v>
      </c>
      <c r="C581" s="85">
        <v>441222</v>
      </c>
      <c r="D581" s="85" t="s">
        <v>288</v>
      </c>
    </row>
    <row r="582" spans="1:8" ht="25.5">
      <c r="A582" s="135">
        <v>441228</v>
      </c>
      <c r="B582" s="135" t="s">
        <v>893</v>
      </c>
      <c r="C582" s="135">
        <v>441228</v>
      </c>
      <c r="D582" s="135" t="s">
        <v>893</v>
      </c>
      <c r="F582" s="119"/>
      <c r="G582" s="119"/>
    </row>
    <row r="583" spans="1:8" ht="25.5">
      <c r="A583" s="85">
        <v>441310</v>
      </c>
      <c r="B583" s="85" t="s">
        <v>249</v>
      </c>
      <c r="C583" s="85">
        <v>441310</v>
      </c>
      <c r="D583" s="85" t="s">
        <v>249</v>
      </c>
    </row>
    <row r="584" spans="1:8">
      <c r="A584" s="85">
        <v>441320</v>
      </c>
      <c r="B584" s="85" t="s">
        <v>174</v>
      </c>
      <c r="C584" s="85">
        <v>441320</v>
      </c>
      <c r="D584" s="85" t="s">
        <v>174</v>
      </c>
    </row>
    <row r="585" spans="1:8">
      <c r="A585" s="85">
        <v>442110</v>
      </c>
      <c r="B585" s="85" t="s">
        <v>894</v>
      </c>
      <c r="C585" s="85">
        <v>442110</v>
      </c>
      <c r="D585" s="85" t="s">
        <v>894</v>
      </c>
    </row>
    <row r="586" spans="1:8">
      <c r="A586" s="85">
        <v>442210</v>
      </c>
      <c r="B586" s="85" t="s">
        <v>91</v>
      </c>
      <c r="C586" s="85">
        <v>442210</v>
      </c>
      <c r="D586" s="85" t="s">
        <v>91</v>
      </c>
    </row>
    <row r="587" spans="1:8">
      <c r="A587" s="85">
        <v>442291</v>
      </c>
      <c r="B587" s="85" t="s">
        <v>199</v>
      </c>
      <c r="C587" s="85">
        <v>442291</v>
      </c>
      <c r="D587" s="85" t="s">
        <v>199</v>
      </c>
    </row>
    <row r="588" spans="1:8">
      <c r="A588" s="85">
        <v>442299</v>
      </c>
      <c r="B588" s="85" t="s">
        <v>206</v>
      </c>
      <c r="C588" s="85">
        <v>442299</v>
      </c>
      <c r="D588" s="85" t="s">
        <v>206</v>
      </c>
    </row>
    <row r="589" spans="1:8">
      <c r="A589" s="135">
        <v>443141</v>
      </c>
      <c r="B589" s="135" t="s">
        <v>167</v>
      </c>
      <c r="C589" s="135">
        <v>443141</v>
      </c>
      <c r="D589" s="135" t="s">
        <v>167</v>
      </c>
    </row>
    <row r="590" spans="1:8">
      <c r="A590" s="135">
        <v>443142</v>
      </c>
      <c r="B590" s="135" t="s">
        <v>161</v>
      </c>
      <c r="C590" s="135">
        <v>443142</v>
      </c>
      <c r="D590" s="135" t="s">
        <v>161</v>
      </c>
    </row>
    <row r="591" spans="1:8">
      <c r="A591" s="85">
        <v>444110</v>
      </c>
      <c r="B591" s="85" t="s">
        <v>895</v>
      </c>
      <c r="C591" s="85">
        <v>444110</v>
      </c>
      <c r="D591" s="85" t="s">
        <v>895</v>
      </c>
    </row>
    <row r="592" spans="1:8">
      <c r="A592" s="85">
        <v>444120</v>
      </c>
      <c r="B592" s="85" t="s">
        <v>896</v>
      </c>
      <c r="C592" s="85">
        <v>444120</v>
      </c>
      <c r="D592" s="85" t="s">
        <v>896</v>
      </c>
    </row>
    <row r="593" spans="1:8">
      <c r="A593" s="85">
        <v>444130</v>
      </c>
      <c r="B593" s="85" t="s">
        <v>238</v>
      </c>
      <c r="C593" s="85">
        <v>444130</v>
      </c>
      <c r="D593" s="85" t="s">
        <v>238</v>
      </c>
    </row>
    <row r="594" spans="1:8">
      <c r="A594" s="85">
        <v>444190</v>
      </c>
      <c r="B594" s="85" t="s">
        <v>83</v>
      </c>
      <c r="C594" s="85">
        <v>444190</v>
      </c>
      <c r="D594" s="85" t="s">
        <v>83</v>
      </c>
    </row>
    <row r="595" spans="1:8">
      <c r="A595" s="85">
        <v>444210</v>
      </c>
      <c r="B595" s="85" t="s">
        <v>260</v>
      </c>
      <c r="C595" s="85">
        <v>444210</v>
      </c>
      <c r="D595" s="85" t="s">
        <v>260</v>
      </c>
    </row>
    <row r="596" spans="1:8" ht="25.5">
      <c r="A596" s="85">
        <v>444220</v>
      </c>
      <c r="B596" s="85" t="s">
        <v>253</v>
      </c>
      <c r="C596" s="85">
        <v>444220</v>
      </c>
      <c r="D596" s="85" t="s">
        <v>253</v>
      </c>
    </row>
    <row r="597" spans="1:8" ht="25.5">
      <c r="A597" s="85">
        <v>445110</v>
      </c>
      <c r="B597" s="85" t="s">
        <v>160</v>
      </c>
      <c r="C597" s="85">
        <v>445110</v>
      </c>
      <c r="D597" s="85" t="s">
        <v>160</v>
      </c>
    </row>
    <row r="598" spans="1:8">
      <c r="A598" s="85">
        <v>445120</v>
      </c>
      <c r="B598" s="85" t="s">
        <v>212</v>
      </c>
      <c r="C598" s="85">
        <v>445120</v>
      </c>
      <c r="D598" s="85" t="s">
        <v>212</v>
      </c>
    </row>
    <row r="599" spans="1:8">
      <c r="A599" s="85">
        <v>445210</v>
      </c>
      <c r="B599" s="85" t="s">
        <v>237</v>
      </c>
      <c r="C599" s="85">
        <v>445210</v>
      </c>
      <c r="D599" s="85" t="s">
        <v>237</v>
      </c>
    </row>
    <row r="600" spans="1:8">
      <c r="A600" s="85">
        <v>445220</v>
      </c>
      <c r="B600" s="85" t="s">
        <v>294</v>
      </c>
      <c r="C600" s="85">
        <v>445220</v>
      </c>
      <c r="D600" s="85" t="s">
        <v>294</v>
      </c>
    </row>
    <row r="601" spans="1:8">
      <c r="A601" s="85">
        <v>445230</v>
      </c>
      <c r="B601" s="85" t="s">
        <v>897</v>
      </c>
      <c r="C601" s="85">
        <v>445230</v>
      </c>
      <c r="D601" s="85" t="s">
        <v>897</v>
      </c>
    </row>
    <row r="602" spans="1:8">
      <c r="A602" s="85">
        <v>445291</v>
      </c>
      <c r="B602" s="85" t="s">
        <v>127</v>
      </c>
      <c r="C602" s="85">
        <v>445291</v>
      </c>
      <c r="D602" s="85" t="s">
        <v>127</v>
      </c>
    </row>
    <row r="603" spans="1:8">
      <c r="A603" s="85">
        <v>445292</v>
      </c>
      <c r="B603" s="85" t="s">
        <v>898</v>
      </c>
      <c r="C603" s="85">
        <v>445292</v>
      </c>
      <c r="D603" s="85" t="s">
        <v>898</v>
      </c>
    </row>
    <row r="604" spans="1:8">
      <c r="A604" s="85">
        <v>445299</v>
      </c>
      <c r="B604" s="85" t="s">
        <v>139</v>
      </c>
      <c r="C604" s="85">
        <v>445299</v>
      </c>
      <c r="D604" s="85" t="s">
        <v>139</v>
      </c>
    </row>
    <row r="605" spans="1:8">
      <c r="A605" s="85">
        <v>445310</v>
      </c>
      <c r="B605" s="85" t="s">
        <v>77</v>
      </c>
      <c r="C605" s="85">
        <v>445310</v>
      </c>
      <c r="D605" s="85" t="s">
        <v>77</v>
      </c>
    </row>
    <row r="606" spans="1:8">
      <c r="A606" s="85">
        <v>446110</v>
      </c>
      <c r="B606" s="85" t="s">
        <v>38</v>
      </c>
      <c r="C606" s="85">
        <v>446110</v>
      </c>
      <c r="D606" s="85" t="s">
        <v>38</v>
      </c>
    </row>
    <row r="607" spans="1:8" ht="25.5">
      <c r="A607" s="85">
        <v>446120</v>
      </c>
      <c r="B607" s="85" t="s">
        <v>198</v>
      </c>
      <c r="C607" s="85">
        <v>446120</v>
      </c>
      <c r="D607" s="85" t="s">
        <v>198</v>
      </c>
      <c r="H607" t="s">
        <v>391</v>
      </c>
    </row>
    <row r="608" spans="1:8">
      <c r="A608" s="85">
        <v>446130</v>
      </c>
      <c r="B608" s="85" t="s">
        <v>142</v>
      </c>
      <c r="C608" s="85">
        <v>446130</v>
      </c>
      <c r="D608" s="85" t="s">
        <v>142</v>
      </c>
    </row>
    <row r="609" spans="1:4">
      <c r="A609" s="85">
        <v>446191</v>
      </c>
      <c r="B609" s="85" t="s">
        <v>140</v>
      </c>
      <c r="C609" s="85">
        <v>446191</v>
      </c>
      <c r="D609" s="85" t="s">
        <v>140</v>
      </c>
    </row>
    <row r="610" spans="1:4" ht="25.5">
      <c r="A610" s="85">
        <v>446199</v>
      </c>
      <c r="B610" s="85" t="s">
        <v>899</v>
      </c>
      <c r="C610" s="85">
        <v>446199</v>
      </c>
      <c r="D610" s="85" t="s">
        <v>899</v>
      </c>
    </row>
    <row r="611" spans="1:4" ht="25.5">
      <c r="A611" s="85">
        <v>447110</v>
      </c>
      <c r="B611" s="85" t="s">
        <v>48</v>
      </c>
      <c r="C611" s="85">
        <v>447110</v>
      </c>
      <c r="D611" s="85" t="s">
        <v>48</v>
      </c>
    </row>
    <row r="612" spans="1:4">
      <c r="A612" s="85">
        <v>447190</v>
      </c>
      <c r="B612" s="85" t="s">
        <v>900</v>
      </c>
      <c r="C612" s="85">
        <v>447190</v>
      </c>
      <c r="D612" s="85" t="s">
        <v>900</v>
      </c>
    </row>
    <row r="613" spans="1:4">
      <c r="A613" s="85">
        <v>448110</v>
      </c>
      <c r="B613" s="85" t="s">
        <v>901</v>
      </c>
      <c r="C613" s="85">
        <v>448110</v>
      </c>
      <c r="D613" s="85" t="s">
        <v>901</v>
      </c>
    </row>
    <row r="614" spans="1:4">
      <c r="A614" s="85">
        <v>448120</v>
      </c>
      <c r="B614" s="85" t="s">
        <v>225</v>
      </c>
      <c r="C614" s="85">
        <v>448120</v>
      </c>
      <c r="D614" s="85" t="s">
        <v>225</v>
      </c>
    </row>
    <row r="615" spans="1:4">
      <c r="A615" s="85">
        <v>448130</v>
      </c>
      <c r="B615" s="85" t="s">
        <v>902</v>
      </c>
      <c r="C615" s="85">
        <v>448130</v>
      </c>
      <c r="D615" s="85" t="s">
        <v>902</v>
      </c>
    </row>
    <row r="616" spans="1:4">
      <c r="A616" s="85">
        <v>448140</v>
      </c>
      <c r="B616" s="85" t="s">
        <v>903</v>
      </c>
      <c r="C616" s="85">
        <v>448140</v>
      </c>
      <c r="D616" s="85" t="s">
        <v>903</v>
      </c>
    </row>
    <row r="617" spans="1:4">
      <c r="A617" s="85">
        <v>448150</v>
      </c>
      <c r="B617" s="85" t="s">
        <v>904</v>
      </c>
      <c r="C617" s="85">
        <v>448150</v>
      </c>
      <c r="D617" s="85" t="s">
        <v>904</v>
      </c>
    </row>
    <row r="618" spans="1:4">
      <c r="A618" s="85">
        <v>448190</v>
      </c>
      <c r="B618" s="85" t="s">
        <v>126</v>
      </c>
      <c r="C618" s="85">
        <v>448190</v>
      </c>
      <c r="D618" s="85" t="s">
        <v>126</v>
      </c>
    </row>
    <row r="619" spans="1:4">
      <c r="A619" s="85">
        <v>448210</v>
      </c>
      <c r="B619" s="85" t="s">
        <v>171</v>
      </c>
      <c r="C619" s="85">
        <v>448210</v>
      </c>
      <c r="D619" s="85" t="s">
        <v>171</v>
      </c>
    </row>
    <row r="620" spans="1:4">
      <c r="A620" s="85">
        <v>448310</v>
      </c>
      <c r="B620" s="85" t="s">
        <v>33</v>
      </c>
      <c r="C620" s="85">
        <v>448310</v>
      </c>
      <c r="D620" s="85" t="s">
        <v>33</v>
      </c>
    </row>
    <row r="621" spans="1:4">
      <c r="A621" s="85">
        <v>448320</v>
      </c>
      <c r="B621" s="85" t="s">
        <v>905</v>
      </c>
      <c r="C621" s="85">
        <v>448320</v>
      </c>
      <c r="D621" s="85" t="s">
        <v>905</v>
      </c>
    </row>
    <row r="622" spans="1:4">
      <c r="A622" s="85">
        <v>451110</v>
      </c>
      <c r="B622" s="85" t="s">
        <v>245</v>
      </c>
      <c r="C622" s="85">
        <v>451110</v>
      </c>
      <c r="D622" s="85" t="s">
        <v>245</v>
      </c>
    </row>
    <row r="623" spans="1:4">
      <c r="A623" s="85">
        <v>451120</v>
      </c>
      <c r="B623" s="85" t="s">
        <v>264</v>
      </c>
      <c r="C623" s="85">
        <v>451120</v>
      </c>
      <c r="D623" s="85" t="s">
        <v>264</v>
      </c>
    </row>
    <row r="624" spans="1:4" ht="25.5">
      <c r="A624" s="85">
        <v>451130</v>
      </c>
      <c r="B624" s="85" t="s">
        <v>906</v>
      </c>
      <c r="C624" s="85">
        <v>451130</v>
      </c>
      <c r="D624" s="85" t="s">
        <v>906</v>
      </c>
    </row>
    <row r="625" spans="1:6">
      <c r="A625" s="85">
        <v>451140</v>
      </c>
      <c r="B625" s="85" t="s">
        <v>907</v>
      </c>
      <c r="C625" s="85">
        <v>451140</v>
      </c>
      <c r="D625" s="85" t="s">
        <v>907</v>
      </c>
    </row>
    <row r="626" spans="1:6">
      <c r="A626" s="85">
        <v>451211</v>
      </c>
      <c r="B626" s="85" t="s">
        <v>908</v>
      </c>
      <c r="C626" s="85">
        <v>451211</v>
      </c>
      <c r="D626" s="85" t="s">
        <v>908</v>
      </c>
    </row>
    <row r="627" spans="1:6">
      <c r="A627" s="85">
        <v>451212</v>
      </c>
      <c r="B627" s="85" t="s">
        <v>909</v>
      </c>
      <c r="C627" s="85">
        <v>451212</v>
      </c>
      <c r="D627" s="85" t="s">
        <v>909</v>
      </c>
    </row>
    <row r="628" spans="1:6" ht="25.5">
      <c r="A628" s="88">
        <v>452210</v>
      </c>
      <c r="B628" s="85" t="s">
        <v>910</v>
      </c>
      <c r="C628" s="85">
        <v>452111</v>
      </c>
      <c r="D628" s="85" t="s">
        <v>911</v>
      </c>
    </row>
    <row r="629" spans="1:6" ht="25.5">
      <c r="A629" s="88">
        <v>452210</v>
      </c>
      <c r="B629" s="85" t="s">
        <v>910</v>
      </c>
      <c r="C629" s="87">
        <v>452112</v>
      </c>
      <c r="D629" s="85" t="s">
        <v>912</v>
      </c>
    </row>
    <row r="630" spans="1:6" ht="25.5">
      <c r="A630" s="88">
        <v>452311</v>
      </c>
      <c r="B630" s="85" t="s">
        <v>913</v>
      </c>
      <c r="C630" s="87">
        <v>452112</v>
      </c>
      <c r="D630" s="85" t="s">
        <v>914</v>
      </c>
      <c r="E630" s="86" t="s">
        <v>391</v>
      </c>
    </row>
    <row r="631" spans="1:6">
      <c r="A631" s="88">
        <v>452311</v>
      </c>
      <c r="B631" s="85" t="s">
        <v>913</v>
      </c>
      <c r="C631" s="85">
        <v>452910</v>
      </c>
      <c r="D631" s="85" t="s">
        <v>913</v>
      </c>
      <c r="F631" t="s">
        <v>391</v>
      </c>
    </row>
    <row r="632" spans="1:6">
      <c r="A632" s="85">
        <v>452319</v>
      </c>
      <c r="B632" s="85" t="s">
        <v>915</v>
      </c>
      <c r="C632" s="85">
        <v>452990</v>
      </c>
      <c r="D632" s="85" t="s">
        <v>915</v>
      </c>
    </row>
    <row r="633" spans="1:6">
      <c r="A633" s="85">
        <v>453110</v>
      </c>
      <c r="B633" s="85" t="s">
        <v>916</v>
      </c>
      <c r="C633" s="85">
        <v>453110</v>
      </c>
      <c r="D633" s="85" t="s">
        <v>916</v>
      </c>
    </row>
    <row r="634" spans="1:6">
      <c r="A634" s="85">
        <v>453210</v>
      </c>
      <c r="B634" s="85" t="s">
        <v>267</v>
      </c>
      <c r="C634" s="85">
        <v>453210</v>
      </c>
      <c r="D634" s="85" t="s">
        <v>267</v>
      </c>
      <c r="F634" s="86" t="s">
        <v>917</v>
      </c>
    </row>
    <row r="635" spans="1:6">
      <c r="A635" s="85">
        <v>453220</v>
      </c>
      <c r="B635" s="85" t="s">
        <v>132</v>
      </c>
      <c r="C635" s="85">
        <v>453220</v>
      </c>
      <c r="D635" s="85" t="s">
        <v>132</v>
      </c>
    </row>
    <row r="636" spans="1:6">
      <c r="A636" s="85">
        <v>453310</v>
      </c>
      <c r="B636" s="85" t="s">
        <v>138</v>
      </c>
      <c r="C636" s="85">
        <v>453310</v>
      </c>
      <c r="D636" s="85" t="s">
        <v>138</v>
      </c>
    </row>
    <row r="637" spans="1:6">
      <c r="A637" s="85">
        <v>453910</v>
      </c>
      <c r="B637" s="85" t="s">
        <v>81</v>
      </c>
      <c r="C637" s="85">
        <v>453910</v>
      </c>
      <c r="D637" s="85" t="s">
        <v>81</v>
      </c>
      <c r="F637" s="86" t="s">
        <v>391</v>
      </c>
    </row>
    <row r="638" spans="1:6">
      <c r="A638" s="85">
        <v>453920</v>
      </c>
      <c r="B638" s="85" t="s">
        <v>918</v>
      </c>
      <c r="C638" s="85">
        <v>453920</v>
      </c>
      <c r="D638" s="85" t="s">
        <v>918</v>
      </c>
    </row>
    <row r="639" spans="1:6">
      <c r="A639" s="85">
        <v>453930</v>
      </c>
      <c r="B639" s="85" t="s">
        <v>919</v>
      </c>
      <c r="C639" s="85">
        <v>453930</v>
      </c>
      <c r="D639" s="85" t="s">
        <v>919</v>
      </c>
    </row>
    <row r="640" spans="1:6">
      <c r="A640" s="85">
        <v>453991</v>
      </c>
      <c r="B640" s="85" t="s">
        <v>920</v>
      </c>
      <c r="C640" s="85">
        <v>453991</v>
      </c>
      <c r="D640" s="85" t="s">
        <v>920</v>
      </c>
    </row>
    <row r="641" spans="1:8" ht="25.5">
      <c r="A641" s="85">
        <v>453998</v>
      </c>
      <c r="B641" s="85" t="s">
        <v>144</v>
      </c>
      <c r="C641" s="85">
        <v>453998</v>
      </c>
      <c r="D641" s="85" t="s">
        <v>144</v>
      </c>
    </row>
    <row r="642" spans="1:8" ht="25.5">
      <c r="A642" s="88">
        <v>454110</v>
      </c>
      <c r="B642" s="85" t="s">
        <v>203</v>
      </c>
      <c r="C642" s="85">
        <v>454111</v>
      </c>
      <c r="D642" s="85" t="s">
        <v>921</v>
      </c>
      <c r="H642" t="s">
        <v>391</v>
      </c>
    </row>
    <row r="643" spans="1:8" ht="25.5">
      <c r="A643" s="88">
        <v>454110</v>
      </c>
      <c r="B643" s="85" t="s">
        <v>203</v>
      </c>
      <c r="C643" s="85">
        <v>454112</v>
      </c>
      <c r="D643" s="85" t="s">
        <v>922</v>
      </c>
    </row>
    <row r="644" spans="1:8" ht="25.5">
      <c r="A644" s="88">
        <v>454110</v>
      </c>
      <c r="B644" s="85" t="s">
        <v>203</v>
      </c>
      <c r="C644" s="85">
        <v>454113</v>
      </c>
      <c r="D644" s="85" t="s">
        <v>923</v>
      </c>
      <c r="F644" s="86" t="s">
        <v>391</v>
      </c>
    </row>
    <row r="645" spans="1:8">
      <c r="A645" s="85">
        <v>454210</v>
      </c>
      <c r="B645" s="85" t="s">
        <v>191</v>
      </c>
      <c r="C645" s="85">
        <v>454210</v>
      </c>
      <c r="D645" s="85" t="s">
        <v>191</v>
      </c>
    </row>
    <row r="646" spans="1:8">
      <c r="A646" s="136">
        <v>454310</v>
      </c>
      <c r="B646" s="136" t="s">
        <v>924</v>
      </c>
      <c r="C646" s="136">
        <v>454310</v>
      </c>
      <c r="D646" s="136" t="s">
        <v>924</v>
      </c>
    </row>
    <row r="647" spans="1:8">
      <c r="A647" s="85">
        <v>454390</v>
      </c>
      <c r="B647" s="85" t="s">
        <v>143</v>
      </c>
      <c r="C647" s="85">
        <v>454390</v>
      </c>
      <c r="D647" s="85" t="s">
        <v>143</v>
      </c>
    </row>
    <row r="648" spans="1:8">
      <c r="A648" s="85">
        <v>481111</v>
      </c>
      <c r="B648" s="85" t="s">
        <v>925</v>
      </c>
      <c r="C648" s="85">
        <v>481111</v>
      </c>
      <c r="D648" s="85" t="s">
        <v>925</v>
      </c>
    </row>
    <row r="649" spans="1:8">
      <c r="A649" s="85">
        <v>481112</v>
      </c>
      <c r="B649" s="85" t="s">
        <v>926</v>
      </c>
      <c r="C649" s="85">
        <v>481112</v>
      </c>
      <c r="D649" s="85" t="s">
        <v>926</v>
      </c>
    </row>
    <row r="650" spans="1:8" ht="25.5">
      <c r="A650" s="85">
        <v>481211</v>
      </c>
      <c r="B650" s="85" t="s">
        <v>927</v>
      </c>
      <c r="C650" s="85">
        <v>481211</v>
      </c>
      <c r="D650" s="85" t="s">
        <v>927</v>
      </c>
    </row>
    <row r="651" spans="1:8" ht="25.5">
      <c r="A651" s="85">
        <v>481212</v>
      </c>
      <c r="B651" s="85" t="s">
        <v>928</v>
      </c>
      <c r="C651" s="85">
        <v>481212</v>
      </c>
      <c r="D651" s="85" t="s">
        <v>928</v>
      </c>
    </row>
    <row r="652" spans="1:8">
      <c r="A652" s="85">
        <v>481219</v>
      </c>
      <c r="B652" s="85" t="s">
        <v>929</v>
      </c>
      <c r="C652" s="85">
        <v>481219</v>
      </c>
      <c r="D652" s="85" t="s">
        <v>929</v>
      </c>
    </row>
    <row r="653" spans="1:8">
      <c r="A653" s="85">
        <v>482111</v>
      </c>
      <c r="B653" s="85" t="s">
        <v>930</v>
      </c>
      <c r="C653" s="85">
        <v>482111</v>
      </c>
      <c r="D653" s="85" t="s">
        <v>930</v>
      </c>
    </row>
    <row r="654" spans="1:8">
      <c r="A654" s="85">
        <v>482112</v>
      </c>
      <c r="B654" s="85" t="s">
        <v>931</v>
      </c>
      <c r="C654" s="85">
        <v>482112</v>
      </c>
      <c r="D654" s="85" t="s">
        <v>931</v>
      </c>
    </row>
    <row r="655" spans="1:8">
      <c r="A655" s="85">
        <v>483111</v>
      </c>
      <c r="B655" s="85" t="s">
        <v>932</v>
      </c>
      <c r="C655" s="85">
        <v>483111</v>
      </c>
      <c r="D655" s="85" t="s">
        <v>932</v>
      </c>
    </row>
    <row r="656" spans="1:8">
      <c r="A656" s="85">
        <v>483112</v>
      </c>
      <c r="B656" s="85" t="s">
        <v>933</v>
      </c>
      <c r="C656" s="85">
        <v>483112</v>
      </c>
      <c r="D656" s="85" t="s">
        <v>933</v>
      </c>
    </row>
    <row r="657" spans="1:5" ht="25.5">
      <c r="A657" s="85">
        <v>483113</v>
      </c>
      <c r="B657" s="85" t="s">
        <v>934</v>
      </c>
      <c r="C657" s="85">
        <v>483113</v>
      </c>
      <c r="D657" s="85" t="s">
        <v>934</v>
      </c>
    </row>
    <row r="658" spans="1:5" ht="25.5">
      <c r="A658" s="85">
        <v>483114</v>
      </c>
      <c r="B658" s="85" t="s">
        <v>935</v>
      </c>
      <c r="C658" s="85">
        <v>483114</v>
      </c>
      <c r="D658" s="85" t="s">
        <v>935</v>
      </c>
    </row>
    <row r="659" spans="1:5">
      <c r="A659" s="85">
        <v>483211</v>
      </c>
      <c r="B659" s="85" t="s">
        <v>936</v>
      </c>
      <c r="C659" s="85">
        <v>483211</v>
      </c>
      <c r="D659" s="85" t="s">
        <v>936</v>
      </c>
    </row>
    <row r="660" spans="1:5">
      <c r="A660" s="85">
        <v>483212</v>
      </c>
      <c r="B660" s="85" t="s">
        <v>937</v>
      </c>
      <c r="C660" s="85">
        <v>483212</v>
      </c>
      <c r="D660" s="85" t="s">
        <v>937</v>
      </c>
    </row>
    <row r="661" spans="1:5">
      <c r="A661" s="85">
        <v>484110</v>
      </c>
      <c r="B661" s="85" t="s">
        <v>289</v>
      </c>
      <c r="C661" s="85">
        <v>484110</v>
      </c>
      <c r="D661" s="85" t="s">
        <v>289</v>
      </c>
    </row>
    <row r="662" spans="1:5" ht="25.5">
      <c r="A662" s="85">
        <v>484121</v>
      </c>
      <c r="B662" s="85" t="s">
        <v>236</v>
      </c>
      <c r="C662" s="85">
        <v>484121</v>
      </c>
      <c r="D662" s="85" t="s">
        <v>236</v>
      </c>
      <c r="E662" t="s">
        <v>391</v>
      </c>
    </row>
    <row r="663" spans="1:5" ht="25.5">
      <c r="A663" s="85">
        <v>484122</v>
      </c>
      <c r="B663" s="85" t="s">
        <v>938</v>
      </c>
      <c r="C663" s="85">
        <v>484122</v>
      </c>
      <c r="D663" s="85" t="s">
        <v>938</v>
      </c>
    </row>
    <row r="664" spans="1:5" ht="25.5">
      <c r="A664" s="85">
        <v>484210</v>
      </c>
      <c r="B664" s="85" t="s">
        <v>939</v>
      </c>
      <c r="C664" s="85">
        <v>484210</v>
      </c>
      <c r="D664" s="85" t="s">
        <v>939</v>
      </c>
    </row>
    <row r="665" spans="1:5" ht="25.5">
      <c r="A665" s="85">
        <v>484220</v>
      </c>
      <c r="B665" s="85" t="s">
        <v>261</v>
      </c>
      <c r="C665" s="85">
        <v>484220</v>
      </c>
      <c r="D665" s="85" t="s">
        <v>261</v>
      </c>
    </row>
    <row r="666" spans="1:5" ht="25.5">
      <c r="A666" s="85">
        <v>484230</v>
      </c>
      <c r="B666" s="85" t="s">
        <v>940</v>
      </c>
      <c r="C666" s="85">
        <v>484230</v>
      </c>
      <c r="D666" s="85" t="s">
        <v>940</v>
      </c>
    </row>
    <row r="667" spans="1:5">
      <c r="A667" s="85">
        <v>485111</v>
      </c>
      <c r="B667" s="85" t="s">
        <v>941</v>
      </c>
      <c r="C667" s="85">
        <v>485111</v>
      </c>
      <c r="D667" s="85" t="s">
        <v>941</v>
      </c>
    </row>
    <row r="668" spans="1:5">
      <c r="A668" s="85">
        <v>485112</v>
      </c>
      <c r="B668" s="85" t="s">
        <v>942</v>
      </c>
      <c r="C668" s="85">
        <v>485112</v>
      </c>
      <c r="D668" s="85" t="s">
        <v>942</v>
      </c>
    </row>
    <row r="669" spans="1:5" ht="25.5">
      <c r="A669" s="85">
        <v>485113</v>
      </c>
      <c r="B669" s="85" t="s">
        <v>943</v>
      </c>
      <c r="C669" s="85">
        <v>485113</v>
      </c>
      <c r="D669" s="85" t="s">
        <v>943</v>
      </c>
    </row>
    <row r="670" spans="1:5">
      <c r="A670" s="85">
        <v>485119</v>
      </c>
      <c r="B670" s="85" t="s">
        <v>944</v>
      </c>
      <c r="C670" s="85">
        <v>485119</v>
      </c>
      <c r="D670" s="85" t="s">
        <v>944</v>
      </c>
    </row>
    <row r="671" spans="1:5">
      <c r="A671" s="85">
        <v>485210</v>
      </c>
      <c r="B671" s="85" t="s">
        <v>945</v>
      </c>
      <c r="C671" s="85">
        <v>485210</v>
      </c>
      <c r="D671" s="85" t="s">
        <v>945</v>
      </c>
    </row>
    <row r="672" spans="1:5">
      <c r="A672" s="85">
        <v>485310</v>
      </c>
      <c r="B672" s="85" t="s">
        <v>946</v>
      </c>
      <c r="C672" s="85">
        <v>485310</v>
      </c>
      <c r="D672" s="85" t="s">
        <v>946</v>
      </c>
    </row>
    <row r="673" spans="1:6">
      <c r="A673" s="85">
        <v>485320</v>
      </c>
      <c r="B673" s="85" t="s">
        <v>947</v>
      </c>
      <c r="C673" s="85">
        <v>485320</v>
      </c>
      <c r="D673" s="85" t="s">
        <v>947</v>
      </c>
    </row>
    <row r="674" spans="1:6" ht="25.5">
      <c r="A674" s="85">
        <v>485410</v>
      </c>
      <c r="B674" s="85" t="s">
        <v>948</v>
      </c>
      <c r="C674" s="85">
        <v>485410</v>
      </c>
      <c r="D674" s="85" t="s">
        <v>948</v>
      </c>
    </row>
    <row r="675" spans="1:6">
      <c r="A675" s="85">
        <v>485510</v>
      </c>
      <c r="B675" s="85" t="s">
        <v>949</v>
      </c>
      <c r="C675" s="85">
        <v>485510</v>
      </c>
      <c r="D675" s="85" t="s">
        <v>949</v>
      </c>
    </row>
    <row r="676" spans="1:6">
      <c r="A676" s="85">
        <v>485991</v>
      </c>
      <c r="B676" s="85" t="s">
        <v>950</v>
      </c>
      <c r="C676" s="85">
        <v>485991</v>
      </c>
      <c r="D676" s="85" t="s">
        <v>950</v>
      </c>
    </row>
    <row r="677" spans="1:6" ht="25.5">
      <c r="A677" s="85">
        <v>485999</v>
      </c>
      <c r="B677" s="85" t="s">
        <v>951</v>
      </c>
      <c r="C677" s="85">
        <v>485999</v>
      </c>
      <c r="D677" s="85" t="s">
        <v>951</v>
      </c>
    </row>
    <row r="678" spans="1:6">
      <c r="A678" s="85">
        <v>486110</v>
      </c>
      <c r="B678" s="85" t="s">
        <v>952</v>
      </c>
      <c r="C678" s="85">
        <v>486110</v>
      </c>
      <c r="D678" s="85" t="s">
        <v>952</v>
      </c>
    </row>
    <row r="679" spans="1:6">
      <c r="A679" s="85">
        <v>486210</v>
      </c>
      <c r="B679" s="85" t="s">
        <v>953</v>
      </c>
      <c r="C679" s="85">
        <v>486210</v>
      </c>
      <c r="D679" s="85" t="s">
        <v>953</v>
      </c>
    </row>
    <row r="680" spans="1:6" ht="25.5">
      <c r="A680" s="85">
        <v>486910</v>
      </c>
      <c r="B680" s="85" t="s">
        <v>954</v>
      </c>
      <c r="C680" s="85">
        <v>486910</v>
      </c>
      <c r="D680" s="85" t="s">
        <v>954</v>
      </c>
    </row>
    <row r="681" spans="1:6">
      <c r="A681" s="85">
        <v>486990</v>
      </c>
      <c r="B681" s="85" t="s">
        <v>955</v>
      </c>
      <c r="C681" s="85">
        <v>486990</v>
      </c>
      <c r="D681" s="85" t="s">
        <v>955</v>
      </c>
    </row>
    <row r="682" spans="1:6" ht="25.5">
      <c r="A682" s="85">
        <v>487110</v>
      </c>
      <c r="B682" s="85" t="s">
        <v>956</v>
      </c>
      <c r="C682" s="85">
        <v>487110</v>
      </c>
      <c r="D682" s="85" t="s">
        <v>956</v>
      </c>
    </row>
    <row r="683" spans="1:6" ht="25.5">
      <c r="A683" s="85">
        <v>487210</v>
      </c>
      <c r="B683" s="85" t="s">
        <v>278</v>
      </c>
      <c r="C683" s="85">
        <v>487210</v>
      </c>
      <c r="D683" s="85" t="s">
        <v>278</v>
      </c>
    </row>
    <row r="684" spans="1:6" ht="25.5">
      <c r="A684" s="85">
        <v>487990</v>
      </c>
      <c r="B684" s="85" t="s">
        <v>957</v>
      </c>
      <c r="C684" s="85">
        <v>487990</v>
      </c>
      <c r="D684" s="85" t="s">
        <v>957</v>
      </c>
      <c r="F684" t="s">
        <v>391</v>
      </c>
    </row>
    <row r="685" spans="1:6">
      <c r="A685" s="85">
        <v>488111</v>
      </c>
      <c r="B685" s="85" t="s">
        <v>958</v>
      </c>
      <c r="C685" s="85">
        <v>488111</v>
      </c>
      <c r="D685" s="85" t="s">
        <v>958</v>
      </c>
    </row>
    <row r="686" spans="1:6">
      <c r="A686" s="85">
        <v>488119</v>
      </c>
      <c r="B686" s="85" t="s">
        <v>50</v>
      </c>
      <c r="C686" s="85">
        <v>488119</v>
      </c>
      <c r="D686" s="85" t="s">
        <v>50</v>
      </c>
    </row>
    <row r="687" spans="1:6" ht="25.5">
      <c r="A687" s="85">
        <v>488190</v>
      </c>
      <c r="B687" s="85" t="s">
        <v>246</v>
      </c>
      <c r="C687" s="85">
        <v>488190</v>
      </c>
      <c r="D687" s="85" t="s">
        <v>246</v>
      </c>
    </row>
    <row r="688" spans="1:6">
      <c r="A688" s="85">
        <v>488210</v>
      </c>
      <c r="B688" s="85" t="s">
        <v>959</v>
      </c>
      <c r="C688" s="85">
        <v>488210</v>
      </c>
      <c r="D688" s="85" t="s">
        <v>959</v>
      </c>
    </row>
    <row r="689" spans="1:4">
      <c r="A689" s="85">
        <v>488310</v>
      </c>
      <c r="B689" s="85" t="s">
        <v>960</v>
      </c>
      <c r="C689" s="85">
        <v>488310</v>
      </c>
      <c r="D689" s="85" t="s">
        <v>960</v>
      </c>
    </row>
    <row r="690" spans="1:4">
      <c r="A690" s="85">
        <v>488320</v>
      </c>
      <c r="B690" s="85" t="s">
        <v>961</v>
      </c>
      <c r="C690" s="85">
        <v>488320</v>
      </c>
      <c r="D690" s="85" t="s">
        <v>961</v>
      </c>
    </row>
    <row r="691" spans="1:4">
      <c r="A691" s="85">
        <v>488330</v>
      </c>
      <c r="B691" s="85" t="s">
        <v>962</v>
      </c>
      <c r="C691" s="85">
        <v>488330</v>
      </c>
      <c r="D691" s="85" t="s">
        <v>962</v>
      </c>
    </row>
    <row r="692" spans="1:4" ht="25.5">
      <c r="A692" s="85">
        <v>488390</v>
      </c>
      <c r="B692" s="85" t="s">
        <v>963</v>
      </c>
      <c r="C692" s="85">
        <v>488390</v>
      </c>
      <c r="D692" s="85" t="s">
        <v>963</v>
      </c>
    </row>
    <row r="693" spans="1:4">
      <c r="A693" s="85">
        <v>488410</v>
      </c>
      <c r="B693" s="85" t="s">
        <v>130</v>
      </c>
      <c r="C693" s="85">
        <v>488410</v>
      </c>
      <c r="D693" s="85" t="s">
        <v>130</v>
      </c>
    </row>
    <row r="694" spans="1:4" ht="25.5">
      <c r="A694" s="85">
        <v>488490</v>
      </c>
      <c r="B694" s="85" t="s">
        <v>296</v>
      </c>
      <c r="C694" s="85">
        <v>488490</v>
      </c>
      <c r="D694" s="85" t="s">
        <v>296</v>
      </c>
    </row>
    <row r="695" spans="1:4">
      <c r="A695" s="85">
        <v>488510</v>
      </c>
      <c r="B695" s="85" t="s">
        <v>282</v>
      </c>
      <c r="C695" s="85">
        <v>488510</v>
      </c>
      <c r="D695" s="85" t="s">
        <v>282</v>
      </c>
    </row>
    <row r="696" spans="1:4">
      <c r="A696" s="85">
        <v>488991</v>
      </c>
      <c r="B696" s="85" t="s">
        <v>964</v>
      </c>
      <c r="C696" s="85">
        <v>488991</v>
      </c>
      <c r="D696" s="85" t="s">
        <v>964</v>
      </c>
    </row>
    <row r="697" spans="1:4" ht="25.5">
      <c r="A697" s="85">
        <v>488999</v>
      </c>
      <c r="B697" s="85" t="s">
        <v>965</v>
      </c>
      <c r="C697" s="85">
        <v>488999</v>
      </c>
      <c r="D697" s="85" t="s">
        <v>965</v>
      </c>
    </row>
    <row r="698" spans="1:4">
      <c r="A698" s="85">
        <v>491110</v>
      </c>
      <c r="B698" s="85" t="s">
        <v>966</v>
      </c>
      <c r="C698" s="85">
        <v>491110</v>
      </c>
      <c r="D698" s="85" t="s">
        <v>966</v>
      </c>
    </row>
    <row r="699" spans="1:4">
      <c r="A699" s="85">
        <v>492110</v>
      </c>
      <c r="B699" s="85" t="s">
        <v>177</v>
      </c>
      <c r="C699" s="85">
        <v>492110</v>
      </c>
      <c r="D699" s="85" t="s">
        <v>177</v>
      </c>
    </row>
    <row r="700" spans="1:4">
      <c r="A700" s="85">
        <v>492210</v>
      </c>
      <c r="B700" s="85" t="s">
        <v>170</v>
      </c>
      <c r="C700" s="85">
        <v>492210</v>
      </c>
      <c r="D700" s="85" t="s">
        <v>170</v>
      </c>
    </row>
    <row r="701" spans="1:4">
      <c r="A701" s="85">
        <v>493110</v>
      </c>
      <c r="B701" s="85" t="s">
        <v>967</v>
      </c>
      <c r="C701" s="85">
        <v>493110</v>
      </c>
      <c r="D701" s="85" t="s">
        <v>967</v>
      </c>
    </row>
    <row r="702" spans="1:4">
      <c r="A702" s="85">
        <v>493120</v>
      </c>
      <c r="B702" s="85" t="s">
        <v>968</v>
      </c>
      <c r="C702" s="85">
        <v>493120</v>
      </c>
      <c r="D702" s="85" t="s">
        <v>968</v>
      </c>
    </row>
    <row r="703" spans="1:4">
      <c r="A703" s="85">
        <v>493130</v>
      </c>
      <c r="B703" s="85" t="s">
        <v>969</v>
      </c>
      <c r="C703" s="85">
        <v>493130</v>
      </c>
      <c r="D703" s="85" t="s">
        <v>969</v>
      </c>
    </row>
    <row r="704" spans="1:4">
      <c r="A704" s="85">
        <v>493190</v>
      </c>
      <c r="B704" s="85" t="s">
        <v>187</v>
      </c>
      <c r="C704" s="85">
        <v>493190</v>
      </c>
      <c r="D704" s="85" t="s">
        <v>187</v>
      </c>
    </row>
    <row r="705" spans="1:9">
      <c r="A705" s="85">
        <v>511110</v>
      </c>
      <c r="B705" s="85" t="s">
        <v>970</v>
      </c>
      <c r="C705" s="85">
        <v>511110</v>
      </c>
      <c r="D705" s="85" t="s">
        <v>970</v>
      </c>
    </row>
    <row r="706" spans="1:9">
      <c r="A706" s="85">
        <v>511120</v>
      </c>
      <c r="B706" s="85" t="s">
        <v>971</v>
      </c>
      <c r="C706" s="85">
        <v>511120</v>
      </c>
      <c r="D706" s="85" t="s">
        <v>971</v>
      </c>
    </row>
    <row r="707" spans="1:9">
      <c r="A707" s="85">
        <v>511130</v>
      </c>
      <c r="B707" s="85" t="s">
        <v>972</v>
      </c>
      <c r="C707" s="85">
        <v>511130</v>
      </c>
      <c r="D707" s="85" t="s">
        <v>972</v>
      </c>
    </row>
    <row r="708" spans="1:9">
      <c r="A708" s="85">
        <v>511140</v>
      </c>
      <c r="B708" s="85" t="s">
        <v>973</v>
      </c>
      <c r="C708" s="85">
        <v>511140</v>
      </c>
      <c r="D708" s="85" t="s">
        <v>973</v>
      </c>
    </row>
    <row r="709" spans="1:9">
      <c r="A709" s="85">
        <v>511191</v>
      </c>
      <c r="B709" s="85" t="s">
        <v>974</v>
      </c>
      <c r="C709" s="85">
        <v>511191</v>
      </c>
      <c r="D709" s="85" t="s">
        <v>974</v>
      </c>
    </row>
    <row r="710" spans="1:9">
      <c r="A710" s="85">
        <v>511199</v>
      </c>
      <c r="B710" s="85" t="s">
        <v>975</v>
      </c>
      <c r="C710" s="85">
        <v>511199</v>
      </c>
      <c r="D710" s="85" t="s">
        <v>975</v>
      </c>
    </row>
    <row r="711" spans="1:9">
      <c r="A711" s="85">
        <v>511210</v>
      </c>
      <c r="B711" s="85" t="s">
        <v>976</v>
      </c>
      <c r="C711" s="85">
        <v>511210</v>
      </c>
      <c r="D711" s="85" t="s">
        <v>976</v>
      </c>
      <c r="H711" t="s">
        <v>391</v>
      </c>
    </row>
    <row r="712" spans="1:9">
      <c r="A712" s="85">
        <v>512110</v>
      </c>
      <c r="B712" s="85" t="s">
        <v>977</v>
      </c>
      <c r="C712" s="85">
        <v>512110</v>
      </c>
      <c r="D712" s="85" t="s">
        <v>977</v>
      </c>
    </row>
    <row r="713" spans="1:9">
      <c r="A713" s="85">
        <v>512120</v>
      </c>
      <c r="B713" s="85" t="s">
        <v>978</v>
      </c>
      <c r="C713" s="85">
        <v>512120</v>
      </c>
      <c r="D713" s="85" t="s">
        <v>978</v>
      </c>
    </row>
    <row r="714" spans="1:9" ht="25.5">
      <c r="A714" s="85">
        <v>512131</v>
      </c>
      <c r="B714" s="85" t="s">
        <v>979</v>
      </c>
      <c r="C714" s="85">
        <v>512131</v>
      </c>
      <c r="D714" s="85" t="s">
        <v>979</v>
      </c>
    </row>
    <row r="715" spans="1:9">
      <c r="A715" s="85">
        <v>512132</v>
      </c>
      <c r="B715" s="85" t="s">
        <v>980</v>
      </c>
      <c r="C715" s="85">
        <v>512132</v>
      </c>
      <c r="D715" s="85" t="s">
        <v>980</v>
      </c>
    </row>
    <row r="716" spans="1:9" ht="25.5">
      <c r="A716" s="85">
        <v>512191</v>
      </c>
      <c r="B716" s="85" t="s">
        <v>981</v>
      </c>
      <c r="C716" s="85">
        <v>512191</v>
      </c>
      <c r="D716" s="85" t="s">
        <v>981</v>
      </c>
    </row>
    <row r="717" spans="1:9" ht="25.5">
      <c r="A717" s="85">
        <v>512199</v>
      </c>
      <c r="B717" s="85" t="s">
        <v>982</v>
      </c>
      <c r="C717" s="85">
        <v>512199</v>
      </c>
      <c r="D717" s="85" t="s">
        <v>982</v>
      </c>
    </row>
    <row r="718" spans="1:9">
      <c r="A718" s="85">
        <v>512230</v>
      </c>
      <c r="B718" s="85" t="s">
        <v>983</v>
      </c>
      <c r="C718" s="85">
        <v>512230</v>
      </c>
      <c r="D718" s="85" t="s">
        <v>983</v>
      </c>
    </row>
    <row r="719" spans="1:9">
      <c r="A719" s="85">
        <v>512240</v>
      </c>
      <c r="B719" s="85" t="s">
        <v>984</v>
      </c>
      <c r="C719" s="85">
        <v>512240</v>
      </c>
      <c r="D719" s="85" t="s">
        <v>984</v>
      </c>
      <c r="I719" t="s">
        <v>391</v>
      </c>
    </row>
    <row r="720" spans="1:9">
      <c r="A720" s="88">
        <v>512250</v>
      </c>
      <c r="B720" s="85" t="s">
        <v>985</v>
      </c>
      <c r="C720" s="85">
        <v>512210</v>
      </c>
      <c r="D720" s="85" t="s">
        <v>986</v>
      </c>
    </row>
    <row r="721" spans="1:7" ht="25.5">
      <c r="A721" s="88">
        <v>512250</v>
      </c>
      <c r="B721" s="85" t="s">
        <v>985</v>
      </c>
      <c r="C721" s="85">
        <v>512220</v>
      </c>
      <c r="D721" s="85" t="s">
        <v>987</v>
      </c>
    </row>
    <row r="722" spans="1:7">
      <c r="A722" s="85">
        <v>512290</v>
      </c>
      <c r="B722" s="85" t="s">
        <v>988</v>
      </c>
      <c r="C722" s="85">
        <v>512290</v>
      </c>
      <c r="D722" s="85" t="s">
        <v>988</v>
      </c>
    </row>
    <row r="723" spans="1:7">
      <c r="A723" s="85">
        <v>515111</v>
      </c>
      <c r="B723" s="85" t="s">
        <v>205</v>
      </c>
      <c r="C723" s="85">
        <v>515111</v>
      </c>
      <c r="D723" s="85" t="s">
        <v>205</v>
      </c>
      <c r="G723" s="86" t="s">
        <v>391</v>
      </c>
    </row>
    <row r="724" spans="1:7">
      <c r="A724" s="85">
        <v>515112</v>
      </c>
      <c r="B724" s="85" t="s">
        <v>989</v>
      </c>
      <c r="C724" s="85">
        <v>515112</v>
      </c>
      <c r="D724" s="85" t="s">
        <v>989</v>
      </c>
    </row>
    <row r="725" spans="1:7">
      <c r="A725" s="85">
        <v>515120</v>
      </c>
      <c r="B725" s="85" t="s">
        <v>990</v>
      </c>
      <c r="C725" s="85">
        <v>515120</v>
      </c>
      <c r="D725" s="85" t="s">
        <v>990</v>
      </c>
    </row>
    <row r="726" spans="1:7" ht="25.5">
      <c r="A726" s="85">
        <v>515210</v>
      </c>
      <c r="B726" s="85" t="s">
        <v>991</v>
      </c>
      <c r="C726" s="85">
        <v>515210</v>
      </c>
      <c r="D726" s="85" t="s">
        <v>991</v>
      </c>
    </row>
    <row r="727" spans="1:7">
      <c r="A727" s="85">
        <v>517311</v>
      </c>
      <c r="B727" s="85" t="s">
        <v>992</v>
      </c>
      <c r="C727" s="85">
        <v>517110</v>
      </c>
      <c r="D727" s="85" t="s">
        <v>992</v>
      </c>
    </row>
    <row r="728" spans="1:7" ht="25.5">
      <c r="A728" s="85">
        <v>517312</v>
      </c>
      <c r="B728" s="85" t="s">
        <v>993</v>
      </c>
      <c r="C728" s="85">
        <v>517210</v>
      </c>
      <c r="D728" s="85" t="s">
        <v>993</v>
      </c>
    </row>
    <row r="729" spans="1:7">
      <c r="A729" s="85">
        <v>517410</v>
      </c>
      <c r="B729" s="85" t="s">
        <v>994</v>
      </c>
      <c r="C729" s="85">
        <v>517410</v>
      </c>
      <c r="D729" s="85" t="s">
        <v>994</v>
      </c>
    </row>
    <row r="730" spans="1:7">
      <c r="A730" s="85">
        <v>517911</v>
      </c>
      <c r="B730" s="85" t="s">
        <v>271</v>
      </c>
      <c r="C730" s="85">
        <v>517911</v>
      </c>
      <c r="D730" s="85" t="s">
        <v>271</v>
      </c>
    </row>
    <row r="731" spans="1:7">
      <c r="A731" s="85">
        <v>517919</v>
      </c>
      <c r="B731" s="85" t="s">
        <v>263</v>
      </c>
      <c r="C731" s="85">
        <v>517919</v>
      </c>
      <c r="D731" s="85" t="s">
        <v>263</v>
      </c>
    </row>
    <row r="732" spans="1:7" ht="25.5">
      <c r="A732" s="85">
        <v>518210</v>
      </c>
      <c r="B732" s="85" t="s">
        <v>995</v>
      </c>
      <c r="C732" s="85">
        <v>518210</v>
      </c>
      <c r="D732" s="85" t="s">
        <v>995</v>
      </c>
    </row>
    <row r="733" spans="1:7">
      <c r="A733" s="85">
        <v>519110</v>
      </c>
      <c r="B733" s="85" t="s">
        <v>996</v>
      </c>
      <c r="C733" s="85">
        <v>519110</v>
      </c>
      <c r="D733" s="85" t="s">
        <v>996</v>
      </c>
    </row>
    <row r="734" spans="1:7">
      <c r="A734" s="85">
        <v>519120</v>
      </c>
      <c r="B734" s="85" t="s">
        <v>997</v>
      </c>
      <c r="C734" s="85">
        <v>519120</v>
      </c>
      <c r="D734" s="85" t="s">
        <v>997</v>
      </c>
    </row>
    <row r="735" spans="1:7" ht="25.5">
      <c r="A735" s="85">
        <v>519130</v>
      </c>
      <c r="B735" s="85" t="s">
        <v>998</v>
      </c>
      <c r="C735" s="85">
        <v>519130</v>
      </c>
      <c r="D735" s="85" t="s">
        <v>998</v>
      </c>
    </row>
    <row r="736" spans="1:7">
      <c r="A736" s="85">
        <v>519190</v>
      </c>
      <c r="B736" s="85" t="s">
        <v>999</v>
      </c>
      <c r="C736" s="85">
        <v>519190</v>
      </c>
      <c r="D736" s="85" t="s">
        <v>999</v>
      </c>
    </row>
    <row r="737" spans="1:9">
      <c r="A737" s="85">
        <v>521110</v>
      </c>
      <c r="B737" s="85" t="s">
        <v>1000</v>
      </c>
      <c r="C737" s="85">
        <v>521110</v>
      </c>
      <c r="D737" s="85" t="s">
        <v>1000</v>
      </c>
    </row>
    <row r="738" spans="1:9">
      <c r="A738" s="85">
        <v>522110</v>
      </c>
      <c r="B738" s="85" t="s">
        <v>1001</v>
      </c>
      <c r="C738" s="85">
        <v>522110</v>
      </c>
      <c r="D738" s="85" t="s">
        <v>1001</v>
      </c>
    </row>
    <row r="739" spans="1:9">
      <c r="A739" s="85">
        <v>522120</v>
      </c>
      <c r="B739" s="85" t="s">
        <v>1002</v>
      </c>
      <c r="C739" s="85">
        <v>522120</v>
      </c>
      <c r="D739" s="85" t="s">
        <v>1002</v>
      </c>
    </row>
    <row r="740" spans="1:9">
      <c r="A740" s="85">
        <v>522130</v>
      </c>
      <c r="B740" s="85" t="s">
        <v>1003</v>
      </c>
      <c r="C740" s="85">
        <v>522130</v>
      </c>
      <c r="D740" s="85" t="s">
        <v>1003</v>
      </c>
    </row>
    <row r="741" spans="1:9">
      <c r="A741" s="85">
        <v>522190</v>
      </c>
      <c r="B741" s="85" t="s">
        <v>1004</v>
      </c>
      <c r="C741" s="85">
        <v>522190</v>
      </c>
      <c r="D741" s="85" t="s">
        <v>1004</v>
      </c>
    </row>
    <row r="742" spans="1:9">
      <c r="A742" s="85">
        <v>522210</v>
      </c>
      <c r="B742" s="85" t="s">
        <v>1005</v>
      </c>
      <c r="C742" s="85">
        <v>522210</v>
      </c>
      <c r="D742" s="85" t="s">
        <v>1005</v>
      </c>
    </row>
    <row r="743" spans="1:9">
      <c r="A743" s="85">
        <v>522220</v>
      </c>
      <c r="B743" s="85" t="s">
        <v>1006</v>
      </c>
      <c r="C743" s="85">
        <v>522220</v>
      </c>
      <c r="D743" s="85" t="s">
        <v>1006</v>
      </c>
    </row>
    <row r="744" spans="1:9">
      <c r="A744" s="85">
        <v>522291</v>
      </c>
      <c r="B744" s="85" t="s">
        <v>1007</v>
      </c>
      <c r="C744" s="85">
        <v>522291</v>
      </c>
      <c r="D744" s="85" t="s">
        <v>1007</v>
      </c>
    </row>
    <row r="745" spans="1:9">
      <c r="A745" s="85">
        <v>522292</v>
      </c>
      <c r="B745" s="85" t="s">
        <v>1008</v>
      </c>
      <c r="C745" s="85">
        <v>522292</v>
      </c>
      <c r="D745" s="85" t="s">
        <v>1008</v>
      </c>
    </row>
    <row r="746" spans="1:9">
      <c r="A746" s="85">
        <v>522293</v>
      </c>
      <c r="B746" s="85" t="s">
        <v>1009</v>
      </c>
      <c r="C746" s="85">
        <v>522293</v>
      </c>
      <c r="D746" s="85" t="s">
        <v>1009</v>
      </c>
    </row>
    <row r="747" spans="1:9">
      <c r="A747" s="85">
        <v>522294</v>
      </c>
      <c r="B747" s="85" t="s">
        <v>1010</v>
      </c>
      <c r="C747" s="85">
        <v>522294</v>
      </c>
      <c r="D747" s="85" t="s">
        <v>1010</v>
      </c>
    </row>
    <row r="748" spans="1:9" ht="25.5">
      <c r="A748" s="85">
        <v>522298</v>
      </c>
      <c r="B748" s="85" t="s">
        <v>1011</v>
      </c>
      <c r="C748" s="85">
        <v>522298</v>
      </c>
      <c r="D748" s="85" t="s">
        <v>1011</v>
      </c>
    </row>
    <row r="749" spans="1:9" ht="25.5">
      <c r="A749" s="85">
        <v>522310</v>
      </c>
      <c r="B749" s="85" t="s">
        <v>281</v>
      </c>
      <c r="C749" s="85">
        <v>522310</v>
      </c>
      <c r="D749" s="85" t="s">
        <v>281</v>
      </c>
      <c r="I749" t="s">
        <v>391</v>
      </c>
    </row>
    <row r="750" spans="1:9" ht="25.5">
      <c r="A750" s="85">
        <v>522320</v>
      </c>
      <c r="B750" s="85" t="s">
        <v>1012</v>
      </c>
      <c r="C750" s="85">
        <v>522320</v>
      </c>
      <c r="D750" s="85" t="s">
        <v>1012</v>
      </c>
    </row>
    <row r="751" spans="1:9" ht="25.5">
      <c r="A751" s="137">
        <v>522390</v>
      </c>
      <c r="B751" s="85" t="s">
        <v>1013</v>
      </c>
      <c r="C751" s="137">
        <v>522390</v>
      </c>
      <c r="D751" s="85" t="s">
        <v>1013</v>
      </c>
    </row>
    <row r="752" spans="1:9" ht="25.5">
      <c r="A752" s="85">
        <v>523110</v>
      </c>
      <c r="B752" s="85" t="s">
        <v>1014</v>
      </c>
      <c r="C752" s="85">
        <v>523110</v>
      </c>
      <c r="D752" s="85" t="s">
        <v>1014</v>
      </c>
    </row>
    <row r="753" spans="1:4">
      <c r="A753" s="85">
        <v>523120</v>
      </c>
      <c r="B753" s="85" t="s">
        <v>1015</v>
      </c>
      <c r="C753" s="85">
        <v>523120</v>
      </c>
      <c r="D753" s="85" t="s">
        <v>1015</v>
      </c>
    </row>
    <row r="754" spans="1:4">
      <c r="A754" s="85">
        <v>523130</v>
      </c>
      <c r="B754" s="85" t="s">
        <v>1016</v>
      </c>
      <c r="C754" s="85">
        <v>523130</v>
      </c>
      <c r="D754" s="85" t="s">
        <v>1016</v>
      </c>
    </row>
    <row r="755" spans="1:4">
      <c r="A755" s="85">
        <v>523140</v>
      </c>
      <c r="B755" s="85" t="s">
        <v>1017</v>
      </c>
      <c r="C755" s="85">
        <v>523140</v>
      </c>
      <c r="D755" s="85" t="s">
        <v>1017</v>
      </c>
    </row>
    <row r="756" spans="1:4">
      <c r="A756" s="85">
        <v>523210</v>
      </c>
      <c r="B756" s="85" t="s">
        <v>1018</v>
      </c>
      <c r="C756" s="85">
        <v>523210</v>
      </c>
      <c r="D756" s="85" t="s">
        <v>1018</v>
      </c>
    </row>
    <row r="757" spans="1:4">
      <c r="A757" s="85">
        <v>523910</v>
      </c>
      <c r="B757" s="85" t="s">
        <v>1019</v>
      </c>
      <c r="C757" s="85">
        <v>523910</v>
      </c>
      <c r="D757" s="85" t="s">
        <v>1019</v>
      </c>
    </row>
    <row r="758" spans="1:4">
      <c r="A758" s="85">
        <v>523920</v>
      </c>
      <c r="B758" s="85" t="s">
        <v>1020</v>
      </c>
      <c r="C758" s="85">
        <v>523920</v>
      </c>
      <c r="D758" s="85" t="s">
        <v>1020</v>
      </c>
    </row>
    <row r="759" spans="1:4">
      <c r="A759" s="85">
        <v>523930</v>
      </c>
      <c r="B759" s="85" t="s">
        <v>242</v>
      </c>
      <c r="C759" s="85">
        <v>523930</v>
      </c>
      <c r="D759" s="85" t="s">
        <v>242</v>
      </c>
    </row>
    <row r="760" spans="1:4">
      <c r="A760" s="85">
        <v>523991</v>
      </c>
      <c r="B760" s="85" t="s">
        <v>1021</v>
      </c>
      <c r="C760" s="85">
        <v>523991</v>
      </c>
      <c r="D760" s="85" t="s">
        <v>1021</v>
      </c>
    </row>
    <row r="761" spans="1:4" ht="25.5">
      <c r="A761" s="85">
        <v>523999</v>
      </c>
      <c r="B761" s="85" t="s">
        <v>1022</v>
      </c>
      <c r="C761" s="85">
        <v>523999</v>
      </c>
      <c r="D761" s="85" t="s">
        <v>1022</v>
      </c>
    </row>
    <row r="762" spans="1:4">
      <c r="A762" s="85">
        <v>524113</v>
      </c>
      <c r="B762" s="85" t="s">
        <v>61</v>
      </c>
      <c r="C762" s="85">
        <v>524113</v>
      </c>
      <c r="D762" s="85" t="s">
        <v>61</v>
      </c>
    </row>
    <row r="763" spans="1:4" ht="25.5">
      <c r="A763" s="85">
        <v>524114</v>
      </c>
      <c r="B763" s="85" t="s">
        <v>1023</v>
      </c>
      <c r="C763" s="85">
        <v>524114</v>
      </c>
      <c r="D763" s="85" t="s">
        <v>1023</v>
      </c>
    </row>
    <row r="764" spans="1:4" ht="25.5">
      <c r="A764" s="85">
        <v>524126</v>
      </c>
      <c r="B764" s="85" t="s">
        <v>1024</v>
      </c>
      <c r="C764" s="85">
        <v>524126</v>
      </c>
      <c r="D764" s="85" t="s">
        <v>1024</v>
      </c>
    </row>
    <row r="765" spans="1:4">
      <c r="A765" s="85">
        <v>524127</v>
      </c>
      <c r="B765" s="85" t="s">
        <v>1025</v>
      </c>
      <c r="C765" s="85">
        <v>524127</v>
      </c>
      <c r="D765" s="85" t="s">
        <v>1025</v>
      </c>
    </row>
    <row r="766" spans="1:4" ht="25.5">
      <c r="A766" s="85">
        <v>524128</v>
      </c>
      <c r="B766" s="85" t="s">
        <v>1026</v>
      </c>
      <c r="C766" s="85">
        <v>524128</v>
      </c>
      <c r="D766" s="85" t="s">
        <v>1026</v>
      </c>
    </row>
    <row r="767" spans="1:4">
      <c r="A767" s="85">
        <v>524130</v>
      </c>
      <c r="B767" s="85" t="s">
        <v>1027</v>
      </c>
      <c r="C767" s="85">
        <v>524130</v>
      </c>
      <c r="D767" s="85" t="s">
        <v>1027</v>
      </c>
    </row>
    <row r="768" spans="1:4">
      <c r="A768" s="85">
        <v>524210</v>
      </c>
      <c r="B768" s="85" t="s">
        <v>80</v>
      </c>
      <c r="C768" s="85">
        <v>524210</v>
      </c>
      <c r="D768" s="85" t="s">
        <v>80</v>
      </c>
    </row>
    <row r="769" spans="1:8">
      <c r="A769" s="85">
        <v>524291</v>
      </c>
      <c r="B769" s="85" t="s">
        <v>1028</v>
      </c>
      <c r="C769" s="85">
        <v>524291</v>
      </c>
      <c r="D769" s="85" t="s">
        <v>1028</v>
      </c>
    </row>
    <row r="770" spans="1:8" ht="25.5">
      <c r="A770" s="85">
        <v>524292</v>
      </c>
      <c r="B770" s="85" t="s">
        <v>1029</v>
      </c>
      <c r="C770" s="85">
        <v>524292</v>
      </c>
      <c r="D770" s="85" t="s">
        <v>1029</v>
      </c>
      <c r="H770" t="s">
        <v>391</v>
      </c>
    </row>
    <row r="771" spans="1:8">
      <c r="A771" s="85">
        <v>524298</v>
      </c>
      <c r="B771" s="85" t="s">
        <v>1030</v>
      </c>
      <c r="C771" s="85">
        <v>524298</v>
      </c>
      <c r="D771" s="85" t="s">
        <v>1030</v>
      </c>
    </row>
    <row r="772" spans="1:8">
      <c r="A772" s="85">
        <v>525110</v>
      </c>
      <c r="B772" s="85" t="s">
        <v>1031</v>
      </c>
      <c r="C772" s="85">
        <v>525110</v>
      </c>
      <c r="D772" s="85" t="s">
        <v>1031</v>
      </c>
    </row>
    <row r="773" spans="1:8">
      <c r="A773" s="85">
        <v>525120</v>
      </c>
      <c r="B773" s="85" t="s">
        <v>1032</v>
      </c>
      <c r="C773" s="85">
        <v>525120</v>
      </c>
      <c r="D773" s="85" t="s">
        <v>1032</v>
      </c>
    </row>
    <row r="774" spans="1:8">
      <c r="A774" s="85">
        <v>525190</v>
      </c>
      <c r="B774" s="85" t="s">
        <v>1033</v>
      </c>
      <c r="C774" s="85">
        <v>525190</v>
      </c>
      <c r="D774" s="85" t="s">
        <v>1033</v>
      </c>
    </row>
    <row r="775" spans="1:8">
      <c r="A775" s="85">
        <v>525910</v>
      </c>
      <c r="B775" s="85" t="s">
        <v>295</v>
      </c>
      <c r="C775" s="85">
        <v>525910</v>
      </c>
      <c r="D775" s="85" t="s">
        <v>295</v>
      </c>
    </row>
    <row r="776" spans="1:8">
      <c r="A776" s="85">
        <v>525920</v>
      </c>
      <c r="B776" s="85" t="s">
        <v>1034</v>
      </c>
      <c r="C776" s="85">
        <v>525920</v>
      </c>
      <c r="D776" s="85" t="s">
        <v>1034</v>
      </c>
    </row>
    <row r="777" spans="1:8">
      <c r="A777" s="85">
        <v>525990</v>
      </c>
      <c r="B777" s="85" t="s">
        <v>1035</v>
      </c>
      <c r="C777" s="85">
        <v>525990</v>
      </c>
      <c r="D777" s="85" t="s">
        <v>1035</v>
      </c>
    </row>
    <row r="778" spans="1:8" ht="25.5">
      <c r="A778" s="85">
        <v>531110</v>
      </c>
      <c r="B778" s="85" t="s">
        <v>1036</v>
      </c>
      <c r="C778" s="85">
        <v>531110</v>
      </c>
      <c r="D778" s="85" t="s">
        <v>1036</v>
      </c>
    </row>
    <row r="779" spans="1:8" ht="25.5">
      <c r="A779" s="85">
        <v>531120</v>
      </c>
      <c r="B779" s="85" t="s">
        <v>104</v>
      </c>
      <c r="C779" s="85">
        <v>531120</v>
      </c>
      <c r="D779" s="85" t="s">
        <v>104</v>
      </c>
    </row>
    <row r="780" spans="1:8" ht="25.5">
      <c r="A780" s="85">
        <v>531130</v>
      </c>
      <c r="B780" s="85" t="s">
        <v>114</v>
      </c>
      <c r="C780" s="85">
        <v>531130</v>
      </c>
      <c r="D780" s="85" t="s">
        <v>114</v>
      </c>
    </row>
    <row r="781" spans="1:8">
      <c r="A781" s="85">
        <v>531190</v>
      </c>
      <c r="B781" s="85" t="s">
        <v>150</v>
      </c>
      <c r="C781" s="85">
        <v>531190</v>
      </c>
      <c r="D781" s="85" t="s">
        <v>150</v>
      </c>
    </row>
    <row r="782" spans="1:8" ht="25.5">
      <c r="A782" s="85">
        <v>531210</v>
      </c>
      <c r="B782" s="85" t="s">
        <v>186</v>
      </c>
      <c r="C782" s="85">
        <v>531210</v>
      </c>
      <c r="D782" s="85" t="s">
        <v>186</v>
      </c>
    </row>
    <row r="783" spans="1:8">
      <c r="A783" s="85">
        <v>531311</v>
      </c>
      <c r="B783" s="85" t="s">
        <v>85</v>
      </c>
      <c r="C783" s="85">
        <v>531311</v>
      </c>
      <c r="D783" s="85" t="s">
        <v>85</v>
      </c>
    </row>
    <row r="784" spans="1:8">
      <c r="A784" s="85">
        <v>531312</v>
      </c>
      <c r="B784" s="85" t="s">
        <v>224</v>
      </c>
      <c r="C784" s="85">
        <v>531312</v>
      </c>
      <c r="D784" s="85" t="s">
        <v>224</v>
      </c>
    </row>
    <row r="785" spans="1:8">
      <c r="A785" s="85">
        <v>531320</v>
      </c>
      <c r="B785" s="85" t="s">
        <v>1037</v>
      </c>
      <c r="C785" s="85">
        <v>531320</v>
      </c>
      <c r="D785" s="85" t="s">
        <v>1037</v>
      </c>
    </row>
    <row r="786" spans="1:8">
      <c r="A786" s="85">
        <v>531390</v>
      </c>
      <c r="B786" s="85" t="s">
        <v>1038</v>
      </c>
      <c r="C786" s="85">
        <v>531390</v>
      </c>
      <c r="D786" s="85" t="s">
        <v>1038</v>
      </c>
    </row>
    <row r="787" spans="1:8">
      <c r="A787" s="85">
        <v>532111</v>
      </c>
      <c r="B787" s="85" t="s">
        <v>133</v>
      </c>
      <c r="C787" s="85">
        <v>532111</v>
      </c>
      <c r="D787" s="85" t="s">
        <v>133</v>
      </c>
    </row>
    <row r="788" spans="1:8">
      <c r="A788" s="85">
        <v>532112</v>
      </c>
      <c r="B788" s="85" t="s">
        <v>1039</v>
      </c>
      <c r="C788" s="85">
        <v>532112</v>
      </c>
      <c r="D788" s="85" t="s">
        <v>1039</v>
      </c>
    </row>
    <row r="789" spans="1:8" ht="38.25">
      <c r="A789" s="85">
        <v>532120</v>
      </c>
      <c r="B789" s="85" t="s">
        <v>251</v>
      </c>
      <c r="C789" s="85">
        <v>532120</v>
      </c>
      <c r="D789" s="85" t="s">
        <v>251</v>
      </c>
    </row>
    <row r="790" spans="1:8" ht="25.5">
      <c r="A790" s="85">
        <v>532210</v>
      </c>
      <c r="B790" s="85" t="s">
        <v>1040</v>
      </c>
      <c r="C790" s="85">
        <v>532210</v>
      </c>
      <c r="D790" s="85" t="s">
        <v>1040</v>
      </c>
    </row>
    <row r="791" spans="1:8">
      <c r="A791" s="85">
        <v>532281</v>
      </c>
      <c r="B791" s="85" t="s">
        <v>1041</v>
      </c>
      <c r="C791" s="85">
        <v>532220</v>
      </c>
      <c r="D791" s="85" t="s">
        <v>1041</v>
      </c>
    </row>
    <row r="792" spans="1:8">
      <c r="A792" s="85">
        <v>532282</v>
      </c>
      <c r="B792" s="85" t="s">
        <v>1042</v>
      </c>
      <c r="C792" s="85">
        <v>532230</v>
      </c>
      <c r="D792" s="85" t="s">
        <v>1042</v>
      </c>
    </row>
    <row r="793" spans="1:8">
      <c r="A793" s="85">
        <v>532283</v>
      </c>
      <c r="B793" s="85" t="s">
        <v>1043</v>
      </c>
      <c r="C793" s="85">
        <v>532291</v>
      </c>
      <c r="D793" s="85" t="s">
        <v>1043</v>
      </c>
    </row>
    <row r="794" spans="1:8">
      <c r="A794" s="85">
        <v>532284</v>
      </c>
      <c r="B794" s="85" t="s">
        <v>1044</v>
      </c>
      <c r="C794" s="85">
        <v>532292</v>
      </c>
      <c r="D794" s="85" t="s">
        <v>1044</v>
      </c>
    </row>
    <row r="795" spans="1:8">
      <c r="A795" s="85">
        <v>532289</v>
      </c>
      <c r="B795" s="85" t="s">
        <v>145</v>
      </c>
      <c r="C795" s="85">
        <v>532299</v>
      </c>
      <c r="D795" s="85" t="s">
        <v>145</v>
      </c>
    </row>
    <row r="796" spans="1:8">
      <c r="A796" s="85">
        <v>532310</v>
      </c>
      <c r="B796" s="85" t="s">
        <v>1045</v>
      </c>
      <c r="C796" s="85">
        <v>532310</v>
      </c>
      <c r="D796" s="85" t="s">
        <v>1045</v>
      </c>
      <c r="H796" t="s">
        <v>391</v>
      </c>
    </row>
    <row r="797" spans="1:8" ht="38.25">
      <c r="A797" s="85">
        <v>532411</v>
      </c>
      <c r="B797" s="85" t="s">
        <v>1046</v>
      </c>
      <c r="C797" s="85">
        <v>532411</v>
      </c>
      <c r="D797" s="85" t="s">
        <v>1046</v>
      </c>
      <c r="G797" t="s">
        <v>391</v>
      </c>
    </row>
    <row r="798" spans="1:8" ht="38.25">
      <c r="A798" s="85">
        <v>532412</v>
      </c>
      <c r="B798" s="85" t="s">
        <v>1047</v>
      </c>
      <c r="C798" s="85">
        <v>532412</v>
      </c>
      <c r="D798" s="85" t="s">
        <v>1047</v>
      </c>
    </row>
    <row r="799" spans="1:8" ht="25.5">
      <c r="A799" s="85">
        <v>532420</v>
      </c>
      <c r="B799" s="85" t="s">
        <v>1048</v>
      </c>
      <c r="C799" s="85">
        <v>532420</v>
      </c>
      <c r="D799" s="85" t="s">
        <v>1048</v>
      </c>
    </row>
    <row r="800" spans="1:8" ht="38.25">
      <c r="A800" s="85">
        <v>532490</v>
      </c>
      <c r="B800" s="85" t="s">
        <v>273</v>
      </c>
      <c r="C800" s="85">
        <v>532490</v>
      </c>
      <c r="D800" s="85" t="s">
        <v>273</v>
      </c>
    </row>
    <row r="801" spans="1:11" ht="25.5">
      <c r="A801" s="85">
        <v>533110</v>
      </c>
      <c r="B801" s="85" t="s">
        <v>1049</v>
      </c>
      <c r="C801" s="85">
        <v>533110</v>
      </c>
      <c r="D801" s="85" t="s">
        <v>1049</v>
      </c>
    </row>
    <row r="802" spans="1:11">
      <c r="A802" s="85">
        <v>541110</v>
      </c>
      <c r="B802" s="85" t="s">
        <v>129</v>
      </c>
      <c r="C802" s="85">
        <v>541110</v>
      </c>
      <c r="D802" s="85" t="s">
        <v>129</v>
      </c>
    </row>
    <row r="803" spans="1:11">
      <c r="A803" s="85">
        <v>541120</v>
      </c>
      <c r="B803" s="85" t="s">
        <v>1050</v>
      </c>
      <c r="C803" s="85">
        <v>541120</v>
      </c>
      <c r="D803" s="85" t="s">
        <v>1050</v>
      </c>
    </row>
    <row r="804" spans="1:11">
      <c r="A804" s="85">
        <v>541191</v>
      </c>
      <c r="B804" s="85" t="s">
        <v>1051</v>
      </c>
      <c r="C804" s="85">
        <v>541191</v>
      </c>
      <c r="D804" s="85" t="s">
        <v>1051</v>
      </c>
    </row>
    <row r="805" spans="1:11">
      <c r="A805" s="85">
        <v>541199</v>
      </c>
      <c r="B805" s="85" t="s">
        <v>1052</v>
      </c>
      <c r="C805" s="85">
        <v>541199</v>
      </c>
      <c r="D805" s="85" t="s">
        <v>1052</v>
      </c>
    </row>
    <row r="806" spans="1:11">
      <c r="A806" s="85">
        <v>541211</v>
      </c>
      <c r="B806" s="85" t="s">
        <v>32</v>
      </c>
      <c r="C806" s="85">
        <v>541211</v>
      </c>
      <c r="D806" s="85" t="s">
        <v>32</v>
      </c>
    </row>
    <row r="807" spans="1:11">
      <c r="A807" s="85">
        <v>541213</v>
      </c>
      <c r="B807" s="85" t="s">
        <v>231</v>
      </c>
      <c r="C807" s="85">
        <v>541213</v>
      </c>
      <c r="D807" s="85" t="s">
        <v>231</v>
      </c>
    </row>
    <row r="808" spans="1:11">
      <c r="A808" s="85">
        <v>541214</v>
      </c>
      <c r="B808" s="85" t="s">
        <v>1053</v>
      </c>
      <c r="C808" s="85">
        <v>541214</v>
      </c>
      <c r="D808" s="85" t="s">
        <v>1053</v>
      </c>
    </row>
    <row r="809" spans="1:11">
      <c r="A809" s="85">
        <v>541219</v>
      </c>
      <c r="B809" s="85" t="s">
        <v>222</v>
      </c>
      <c r="C809" s="85">
        <v>541219</v>
      </c>
      <c r="D809" s="85" t="s">
        <v>222</v>
      </c>
    </row>
    <row r="810" spans="1:11">
      <c r="A810" s="85">
        <v>541310</v>
      </c>
      <c r="B810" s="85" t="s">
        <v>1054</v>
      </c>
      <c r="C810" s="85">
        <v>541310</v>
      </c>
      <c r="D810" s="85" t="s">
        <v>1054</v>
      </c>
    </row>
    <row r="811" spans="1:11">
      <c r="A811" s="85">
        <v>541320</v>
      </c>
      <c r="B811" s="85" t="s">
        <v>1055</v>
      </c>
      <c r="C811" s="85">
        <v>541320</v>
      </c>
      <c r="D811" s="85" t="s">
        <v>1055</v>
      </c>
    </row>
    <row r="812" spans="1:11">
      <c r="A812" s="85">
        <v>541330</v>
      </c>
      <c r="B812" s="85" t="s">
        <v>92</v>
      </c>
      <c r="C812" s="85">
        <v>541330</v>
      </c>
      <c r="D812" s="85" t="s">
        <v>92</v>
      </c>
    </row>
    <row r="813" spans="1:11">
      <c r="A813" s="85">
        <v>541340</v>
      </c>
      <c r="B813" s="85" t="s">
        <v>1056</v>
      </c>
      <c r="C813" s="85">
        <v>541340</v>
      </c>
      <c r="D813" s="85" t="s">
        <v>1056</v>
      </c>
    </row>
    <row r="814" spans="1:11">
      <c r="A814" s="85">
        <v>541350</v>
      </c>
      <c r="B814" s="85" t="s">
        <v>227</v>
      </c>
      <c r="C814" s="85">
        <v>541350</v>
      </c>
      <c r="D814" s="85" t="s">
        <v>227</v>
      </c>
    </row>
    <row r="815" spans="1:11" ht="25.5">
      <c r="A815" s="85">
        <v>541360</v>
      </c>
      <c r="B815" s="85" t="s">
        <v>1057</v>
      </c>
      <c r="C815" s="85">
        <v>541360</v>
      </c>
      <c r="D815" s="85" t="s">
        <v>1057</v>
      </c>
    </row>
    <row r="816" spans="1:11" ht="25.5">
      <c r="A816" s="85">
        <v>541370</v>
      </c>
      <c r="B816" s="85" t="s">
        <v>202</v>
      </c>
      <c r="C816" s="85">
        <v>541370</v>
      </c>
      <c r="D816" s="85" t="s">
        <v>202</v>
      </c>
      <c r="K816" t="s">
        <v>391</v>
      </c>
    </row>
    <row r="817" spans="1:4">
      <c r="A817" s="85">
        <v>541380</v>
      </c>
      <c r="B817" s="85" t="s">
        <v>1058</v>
      </c>
      <c r="C817" s="85">
        <v>541380</v>
      </c>
      <c r="D817" s="85" t="s">
        <v>1058</v>
      </c>
    </row>
    <row r="818" spans="1:4">
      <c r="A818" s="85">
        <v>541410</v>
      </c>
      <c r="B818" s="85" t="s">
        <v>274</v>
      </c>
      <c r="C818" s="85">
        <v>541410</v>
      </c>
      <c r="D818" s="85" t="s">
        <v>274</v>
      </c>
    </row>
    <row r="819" spans="1:4">
      <c r="A819" s="85">
        <v>541420</v>
      </c>
      <c r="B819" s="85" t="s">
        <v>1059</v>
      </c>
      <c r="C819" s="85">
        <v>541420</v>
      </c>
      <c r="D819" s="85" t="s">
        <v>1059</v>
      </c>
    </row>
    <row r="820" spans="1:4">
      <c r="A820" s="85">
        <v>541430</v>
      </c>
      <c r="B820" s="85" t="s">
        <v>1060</v>
      </c>
      <c r="C820" s="85">
        <v>541430</v>
      </c>
      <c r="D820" s="85" t="s">
        <v>1060</v>
      </c>
    </row>
    <row r="821" spans="1:4">
      <c r="A821" s="85">
        <v>541490</v>
      </c>
      <c r="B821" s="85" t="s">
        <v>1061</v>
      </c>
      <c r="C821" s="85">
        <v>541490</v>
      </c>
      <c r="D821" s="85" t="s">
        <v>1061</v>
      </c>
    </row>
    <row r="822" spans="1:4" ht="25.5">
      <c r="A822" s="85">
        <v>541511</v>
      </c>
      <c r="B822" s="85" t="s">
        <v>1062</v>
      </c>
      <c r="C822" s="85">
        <v>541511</v>
      </c>
      <c r="D822" s="85" t="s">
        <v>1062</v>
      </c>
    </row>
    <row r="823" spans="1:4">
      <c r="A823" s="85">
        <v>541512</v>
      </c>
      <c r="B823" s="85" t="s">
        <v>220</v>
      </c>
      <c r="C823" s="85">
        <v>541512</v>
      </c>
      <c r="D823" s="85" t="s">
        <v>220</v>
      </c>
    </row>
    <row r="824" spans="1:4" ht="25.5">
      <c r="A824" s="85">
        <v>541513</v>
      </c>
      <c r="B824" s="85" t="s">
        <v>1063</v>
      </c>
      <c r="C824" s="85">
        <v>541513</v>
      </c>
      <c r="D824" s="85" t="s">
        <v>1063</v>
      </c>
    </row>
    <row r="825" spans="1:4">
      <c r="A825" s="85">
        <v>541519</v>
      </c>
      <c r="B825" s="85" t="s">
        <v>180</v>
      </c>
      <c r="C825" s="85">
        <v>541519</v>
      </c>
      <c r="D825" s="85" t="s">
        <v>180</v>
      </c>
    </row>
    <row r="826" spans="1:4" ht="25.5">
      <c r="A826" s="85">
        <v>541611</v>
      </c>
      <c r="B826" s="85" t="s">
        <v>57</v>
      </c>
      <c r="C826" s="85">
        <v>541611</v>
      </c>
      <c r="D826" s="85" t="s">
        <v>57</v>
      </c>
    </row>
    <row r="827" spans="1:4">
      <c r="A827" s="85">
        <v>541612</v>
      </c>
      <c r="B827" s="85" t="s">
        <v>1064</v>
      </c>
      <c r="C827" s="85">
        <v>541612</v>
      </c>
      <c r="D827" s="85" t="s">
        <v>1064</v>
      </c>
    </row>
    <row r="828" spans="1:4">
      <c r="A828" s="85">
        <v>541613</v>
      </c>
      <c r="B828" s="85" t="s">
        <v>185</v>
      </c>
      <c r="C828" s="85">
        <v>541613</v>
      </c>
      <c r="D828" s="85" t="s">
        <v>185</v>
      </c>
    </row>
    <row r="829" spans="1:4" ht="25.5">
      <c r="A829" s="85">
        <v>541614</v>
      </c>
      <c r="B829" s="85" t="s">
        <v>1065</v>
      </c>
      <c r="C829" s="85">
        <v>541614</v>
      </c>
      <c r="D829" s="85" t="s">
        <v>1065</v>
      </c>
    </row>
    <row r="830" spans="1:4">
      <c r="A830" s="85">
        <v>541618</v>
      </c>
      <c r="B830" s="85" t="s">
        <v>195</v>
      </c>
      <c r="C830" s="85">
        <v>541618</v>
      </c>
      <c r="D830" s="85" t="s">
        <v>195</v>
      </c>
    </row>
    <row r="831" spans="1:4">
      <c r="A831" s="85">
        <v>541620</v>
      </c>
      <c r="B831" s="85" t="s">
        <v>135</v>
      </c>
      <c r="C831" s="85">
        <v>541620</v>
      </c>
      <c r="D831" s="85" t="s">
        <v>135</v>
      </c>
    </row>
    <row r="832" spans="1:4" ht="25.5">
      <c r="A832" s="85">
        <v>541690</v>
      </c>
      <c r="B832" s="85" t="s">
        <v>1066</v>
      </c>
      <c r="C832" s="85">
        <v>541690</v>
      </c>
      <c r="D832" s="85" t="s">
        <v>1066</v>
      </c>
    </row>
    <row r="833" spans="1:9" ht="51">
      <c r="A833" s="88">
        <v>541713</v>
      </c>
      <c r="B833" s="85" t="s">
        <v>1067</v>
      </c>
      <c r="C833" s="87">
        <v>541711</v>
      </c>
      <c r="D833" s="85" t="s">
        <v>1068</v>
      </c>
    </row>
    <row r="834" spans="1:9" ht="63.75">
      <c r="A834" s="88">
        <v>541713</v>
      </c>
      <c r="B834" s="85" t="s">
        <v>1067</v>
      </c>
      <c r="C834" s="87">
        <v>541712</v>
      </c>
      <c r="D834" s="85" t="s">
        <v>1069</v>
      </c>
      <c r="F834" s="86" t="s">
        <v>391</v>
      </c>
      <c r="G834" t="s">
        <v>391</v>
      </c>
    </row>
    <row r="835" spans="1:9" ht="51">
      <c r="A835" s="85">
        <v>541714</v>
      </c>
      <c r="B835" s="85" t="s">
        <v>279</v>
      </c>
      <c r="C835" s="87">
        <v>541711</v>
      </c>
      <c r="D835" s="85" t="s">
        <v>1070</v>
      </c>
      <c r="F835" s="86"/>
    </row>
    <row r="836" spans="1:9" ht="63.75">
      <c r="A836" s="85">
        <v>541715</v>
      </c>
      <c r="B836" s="85" t="s">
        <v>1071</v>
      </c>
      <c r="C836" s="87">
        <v>541712</v>
      </c>
      <c r="D836" s="85" t="s">
        <v>1072</v>
      </c>
      <c r="F836" s="86"/>
      <c r="G836" s="86" t="s">
        <v>391</v>
      </c>
    </row>
    <row r="837" spans="1:9" ht="25.5">
      <c r="A837" s="85">
        <v>541720</v>
      </c>
      <c r="B837" s="85" t="s">
        <v>1073</v>
      </c>
      <c r="C837" s="85">
        <v>541720</v>
      </c>
      <c r="D837" s="85" t="s">
        <v>1073</v>
      </c>
      <c r="F837" s="86" t="s">
        <v>391</v>
      </c>
    </row>
    <row r="838" spans="1:9">
      <c r="A838" s="85">
        <v>541810</v>
      </c>
      <c r="B838" s="85" t="s">
        <v>201</v>
      </c>
      <c r="C838" s="85">
        <v>541810</v>
      </c>
      <c r="D838" s="85" t="s">
        <v>201</v>
      </c>
    </row>
    <row r="839" spans="1:9">
      <c r="A839" s="85">
        <v>541820</v>
      </c>
      <c r="B839" s="85" t="s">
        <v>1074</v>
      </c>
      <c r="C839" s="85">
        <v>541820</v>
      </c>
      <c r="D839" s="85" t="s">
        <v>1074</v>
      </c>
    </row>
    <row r="840" spans="1:9">
      <c r="A840" s="85">
        <v>541830</v>
      </c>
      <c r="B840" s="85" t="s">
        <v>1075</v>
      </c>
      <c r="C840" s="85">
        <v>541830</v>
      </c>
      <c r="D840" s="85" t="s">
        <v>1075</v>
      </c>
    </row>
    <row r="841" spans="1:9">
      <c r="A841" s="85">
        <v>541840</v>
      </c>
      <c r="B841" s="85" t="s">
        <v>1076</v>
      </c>
      <c r="C841" s="85">
        <v>541840</v>
      </c>
      <c r="D841" s="85" t="s">
        <v>1076</v>
      </c>
    </row>
    <row r="842" spans="1:9">
      <c r="A842" s="85">
        <v>541850</v>
      </c>
      <c r="B842" s="85" t="s">
        <v>1077</v>
      </c>
      <c r="C842" s="85">
        <v>541850</v>
      </c>
      <c r="D842" s="85" t="s">
        <v>1077</v>
      </c>
    </row>
    <row r="843" spans="1:9">
      <c r="A843" s="85">
        <v>541860</v>
      </c>
      <c r="B843" s="85" t="s">
        <v>1078</v>
      </c>
      <c r="C843" s="85">
        <v>541860</v>
      </c>
      <c r="D843" s="85" t="s">
        <v>1078</v>
      </c>
    </row>
    <row r="844" spans="1:9">
      <c r="A844" s="85">
        <v>541870</v>
      </c>
      <c r="B844" s="85" t="s">
        <v>200</v>
      </c>
      <c r="C844" s="85">
        <v>541870</v>
      </c>
      <c r="D844" s="85" t="s">
        <v>200</v>
      </c>
    </row>
    <row r="845" spans="1:9">
      <c r="A845" s="85">
        <v>541890</v>
      </c>
      <c r="B845" s="85" t="s">
        <v>286</v>
      </c>
      <c r="C845" s="85">
        <v>541890</v>
      </c>
      <c r="D845" s="85" t="s">
        <v>286</v>
      </c>
    </row>
    <row r="846" spans="1:9" ht="25.5">
      <c r="A846" s="85">
        <v>541910</v>
      </c>
      <c r="B846" s="85" t="s">
        <v>1079</v>
      </c>
      <c r="C846" s="85">
        <v>541910</v>
      </c>
      <c r="D846" s="85" t="s">
        <v>1079</v>
      </c>
    </row>
    <row r="847" spans="1:9">
      <c r="A847" s="85">
        <v>541921</v>
      </c>
      <c r="B847" s="85" t="s">
        <v>136</v>
      </c>
      <c r="C847" s="85">
        <v>541921</v>
      </c>
      <c r="D847" s="85" t="s">
        <v>136</v>
      </c>
    </row>
    <row r="848" spans="1:9">
      <c r="A848" s="85">
        <v>541922</v>
      </c>
      <c r="B848" s="85" t="s">
        <v>1080</v>
      </c>
      <c r="C848" s="85">
        <v>541922</v>
      </c>
      <c r="D848" s="85" t="s">
        <v>1080</v>
      </c>
      <c r="I848" t="s">
        <v>391</v>
      </c>
    </row>
    <row r="849" spans="1:4">
      <c r="A849" s="85">
        <v>541930</v>
      </c>
      <c r="B849" s="85" t="s">
        <v>1081</v>
      </c>
      <c r="C849" s="85">
        <v>541930</v>
      </c>
      <c r="D849" s="85" t="s">
        <v>1081</v>
      </c>
    </row>
    <row r="850" spans="1:4">
      <c r="A850" s="85">
        <v>541940</v>
      </c>
      <c r="B850" s="85" t="s">
        <v>28</v>
      </c>
      <c r="C850" s="85">
        <v>541940</v>
      </c>
      <c r="D850" s="85" t="s">
        <v>28</v>
      </c>
    </row>
    <row r="851" spans="1:4" ht="25.5">
      <c r="A851" s="85">
        <v>541990</v>
      </c>
      <c r="B851" s="85" t="s">
        <v>204</v>
      </c>
      <c r="C851" s="85">
        <v>541990</v>
      </c>
      <c r="D851" s="85" t="s">
        <v>204</v>
      </c>
    </row>
    <row r="852" spans="1:4">
      <c r="A852" s="85">
        <v>551111</v>
      </c>
      <c r="B852" s="85" t="s">
        <v>1082</v>
      </c>
      <c r="C852" s="85">
        <v>551111</v>
      </c>
      <c r="D852" s="85" t="s">
        <v>1082</v>
      </c>
    </row>
    <row r="853" spans="1:4">
      <c r="A853" s="85">
        <v>551112</v>
      </c>
      <c r="B853" s="85" t="s">
        <v>290</v>
      </c>
      <c r="C853" s="85">
        <v>551112</v>
      </c>
      <c r="D853" s="85" t="s">
        <v>290</v>
      </c>
    </row>
    <row r="854" spans="1:4" ht="25.5">
      <c r="A854" s="85">
        <v>551114</v>
      </c>
      <c r="B854" s="85" t="s">
        <v>30</v>
      </c>
      <c r="C854" s="85">
        <v>551114</v>
      </c>
      <c r="D854" s="85" t="s">
        <v>30</v>
      </c>
    </row>
    <row r="855" spans="1:4">
      <c r="A855" s="85">
        <v>561110</v>
      </c>
      <c r="B855" s="85" t="s">
        <v>165</v>
      </c>
      <c r="C855" s="85">
        <v>561110</v>
      </c>
      <c r="D855" s="85" t="s">
        <v>165</v>
      </c>
    </row>
    <row r="856" spans="1:4">
      <c r="A856" s="85">
        <v>561210</v>
      </c>
      <c r="B856" s="85" t="s">
        <v>207</v>
      </c>
      <c r="C856" s="85">
        <v>561210</v>
      </c>
      <c r="D856" s="85" t="s">
        <v>207</v>
      </c>
    </row>
    <row r="857" spans="1:4">
      <c r="A857" s="85">
        <v>561311</v>
      </c>
      <c r="B857" s="85" t="s">
        <v>197</v>
      </c>
      <c r="C857" s="85">
        <v>561311</v>
      </c>
      <c r="D857" s="85" t="s">
        <v>197</v>
      </c>
    </row>
    <row r="858" spans="1:4">
      <c r="A858" s="85">
        <v>561312</v>
      </c>
      <c r="B858" s="85" t="s">
        <v>1083</v>
      </c>
      <c r="C858" s="85">
        <v>561312</v>
      </c>
      <c r="D858" s="85" t="s">
        <v>1083</v>
      </c>
    </row>
    <row r="859" spans="1:4">
      <c r="A859" s="85">
        <v>561320</v>
      </c>
      <c r="B859" s="85" t="s">
        <v>1084</v>
      </c>
      <c r="C859" s="85">
        <v>561320</v>
      </c>
      <c r="D859" s="85" t="s">
        <v>1084</v>
      </c>
    </row>
    <row r="860" spans="1:4">
      <c r="A860" s="85">
        <v>561330</v>
      </c>
      <c r="B860" s="85" t="s">
        <v>1085</v>
      </c>
      <c r="C860" s="85">
        <v>561330</v>
      </c>
      <c r="D860" s="85" t="s">
        <v>1085</v>
      </c>
    </row>
    <row r="861" spans="1:4">
      <c r="A861" s="85">
        <v>561410</v>
      </c>
      <c r="B861" s="85" t="s">
        <v>1086</v>
      </c>
      <c r="C861" s="85">
        <v>561410</v>
      </c>
      <c r="D861" s="85" t="s">
        <v>1086</v>
      </c>
    </row>
    <row r="862" spans="1:4">
      <c r="A862" s="85">
        <v>561421</v>
      </c>
      <c r="B862" s="85" t="s">
        <v>1087</v>
      </c>
      <c r="C862" s="85">
        <v>561421</v>
      </c>
      <c r="D862" s="85" t="s">
        <v>1087</v>
      </c>
    </row>
    <row r="863" spans="1:4" ht="25.5">
      <c r="A863" s="85">
        <v>561422</v>
      </c>
      <c r="B863" s="85" t="s">
        <v>1088</v>
      </c>
      <c r="C863" s="85">
        <v>561422</v>
      </c>
      <c r="D863" s="85" t="s">
        <v>1088</v>
      </c>
    </row>
    <row r="864" spans="1:4">
      <c r="A864" s="85">
        <v>561431</v>
      </c>
      <c r="B864" s="85" t="s">
        <v>73</v>
      </c>
      <c r="C864" s="85">
        <v>561431</v>
      </c>
      <c r="D864" s="85" t="s">
        <v>73</v>
      </c>
    </row>
    <row r="865" spans="1:8" ht="25.5">
      <c r="A865" s="85">
        <v>561439</v>
      </c>
      <c r="B865" s="85" t="s">
        <v>115</v>
      </c>
      <c r="C865" s="85">
        <v>561439</v>
      </c>
      <c r="D865" s="85" t="s">
        <v>115</v>
      </c>
    </row>
    <row r="866" spans="1:8">
      <c r="A866" s="85">
        <v>561440</v>
      </c>
      <c r="B866" s="85" t="s">
        <v>1089</v>
      </c>
      <c r="C866" s="85">
        <v>561440</v>
      </c>
      <c r="D866" s="85" t="s">
        <v>1089</v>
      </c>
    </row>
    <row r="867" spans="1:8">
      <c r="A867" s="85">
        <v>561450</v>
      </c>
      <c r="B867" s="85" t="s">
        <v>1090</v>
      </c>
      <c r="C867" s="85">
        <v>561450</v>
      </c>
      <c r="D867" s="85" t="s">
        <v>1090</v>
      </c>
    </row>
    <row r="868" spans="1:8">
      <c r="A868" s="85">
        <v>561491</v>
      </c>
      <c r="B868" s="85" t="s">
        <v>1091</v>
      </c>
      <c r="C868" s="85">
        <v>561491</v>
      </c>
      <c r="D868" s="85" t="s">
        <v>1091</v>
      </c>
    </row>
    <row r="869" spans="1:8">
      <c r="A869" s="85">
        <v>561492</v>
      </c>
      <c r="B869" s="85" t="s">
        <v>223</v>
      </c>
      <c r="C869" s="85">
        <v>561492</v>
      </c>
      <c r="D869" s="85" t="s">
        <v>223</v>
      </c>
    </row>
    <row r="870" spans="1:8">
      <c r="A870" s="85">
        <v>561499</v>
      </c>
      <c r="B870" s="85" t="s">
        <v>1092</v>
      </c>
      <c r="C870" s="85">
        <v>561499</v>
      </c>
      <c r="D870" s="85" t="s">
        <v>1092</v>
      </c>
    </row>
    <row r="871" spans="1:8">
      <c r="A871" s="85">
        <v>561510</v>
      </c>
      <c r="B871" s="85" t="s">
        <v>1093</v>
      </c>
      <c r="C871" s="85">
        <v>561510</v>
      </c>
      <c r="D871" s="85" t="s">
        <v>1093</v>
      </c>
    </row>
    <row r="872" spans="1:8">
      <c r="A872" s="85">
        <v>561520</v>
      </c>
      <c r="B872" s="85" t="s">
        <v>1094</v>
      </c>
      <c r="C872" s="85">
        <v>561520</v>
      </c>
      <c r="D872" s="85" t="s">
        <v>1094</v>
      </c>
    </row>
    <row r="873" spans="1:8">
      <c r="A873" s="85">
        <v>561591</v>
      </c>
      <c r="B873" s="85" t="s">
        <v>1095</v>
      </c>
      <c r="C873" s="85">
        <v>561591</v>
      </c>
      <c r="D873" s="85" t="s">
        <v>1095</v>
      </c>
    </row>
    <row r="874" spans="1:8" ht="25.5">
      <c r="A874" s="85">
        <v>561599</v>
      </c>
      <c r="B874" s="85" t="s">
        <v>1096</v>
      </c>
      <c r="C874" s="85">
        <v>561599</v>
      </c>
      <c r="D874" s="85" t="s">
        <v>1096</v>
      </c>
    </row>
    <row r="875" spans="1:8">
      <c r="A875" s="85">
        <v>561611</v>
      </c>
      <c r="B875" s="85" t="s">
        <v>1097</v>
      </c>
      <c r="C875" s="85">
        <v>561611</v>
      </c>
      <c r="D875" s="85" t="s">
        <v>1097</v>
      </c>
      <c r="H875" t="s">
        <v>391</v>
      </c>
    </row>
    <row r="876" spans="1:8">
      <c r="A876" s="85">
        <v>561612</v>
      </c>
      <c r="B876" s="85" t="s">
        <v>1098</v>
      </c>
      <c r="C876" s="85">
        <v>561612</v>
      </c>
      <c r="D876" s="85" t="s">
        <v>1098</v>
      </c>
    </row>
    <row r="877" spans="1:8">
      <c r="A877" s="85">
        <v>561613</v>
      </c>
      <c r="B877" s="85" t="s">
        <v>1099</v>
      </c>
      <c r="C877" s="85">
        <v>561613</v>
      </c>
      <c r="D877" s="85" t="s">
        <v>1099</v>
      </c>
    </row>
    <row r="878" spans="1:8" ht="25.5">
      <c r="A878" s="85">
        <v>561621</v>
      </c>
      <c r="B878" s="85" t="s">
        <v>59</v>
      </c>
      <c r="C878" s="85">
        <v>561621</v>
      </c>
      <c r="D878" s="85" t="s">
        <v>59</v>
      </c>
    </row>
    <row r="879" spans="1:8">
      <c r="A879" s="85">
        <v>561622</v>
      </c>
      <c r="B879" s="85" t="s">
        <v>1100</v>
      </c>
      <c r="C879" s="85">
        <v>561622</v>
      </c>
      <c r="D879" s="85" t="s">
        <v>1100</v>
      </c>
    </row>
    <row r="880" spans="1:8">
      <c r="A880" s="85">
        <v>561710</v>
      </c>
      <c r="B880" s="85" t="s">
        <v>193</v>
      </c>
      <c r="C880" s="85">
        <v>561710</v>
      </c>
      <c r="D880" s="85" t="s">
        <v>193</v>
      </c>
    </row>
    <row r="881" spans="1:4">
      <c r="A881" s="85">
        <v>561720</v>
      </c>
      <c r="B881" s="85" t="s">
        <v>194</v>
      </c>
      <c r="C881" s="85">
        <v>561720</v>
      </c>
      <c r="D881" s="85" t="s">
        <v>194</v>
      </c>
    </row>
    <row r="882" spans="1:4">
      <c r="A882" s="85">
        <v>561730</v>
      </c>
      <c r="B882" s="85" t="s">
        <v>117</v>
      </c>
      <c r="C882" s="85">
        <v>561730</v>
      </c>
      <c r="D882" s="85" t="s">
        <v>117</v>
      </c>
    </row>
    <row r="883" spans="1:4" ht="25.5">
      <c r="A883" s="85">
        <v>561740</v>
      </c>
      <c r="B883" s="85" t="s">
        <v>178</v>
      </c>
      <c r="C883" s="85">
        <v>561740</v>
      </c>
      <c r="D883" s="85" t="s">
        <v>178</v>
      </c>
    </row>
    <row r="884" spans="1:4" ht="25.5">
      <c r="A884" s="85">
        <v>561790</v>
      </c>
      <c r="B884" s="85" t="s">
        <v>96</v>
      </c>
      <c r="C884" s="85">
        <v>561790</v>
      </c>
      <c r="D884" s="85" t="s">
        <v>96</v>
      </c>
    </row>
    <row r="885" spans="1:4">
      <c r="A885" s="85">
        <v>561910</v>
      </c>
      <c r="B885" s="85" t="s">
        <v>1101</v>
      </c>
      <c r="C885" s="85">
        <v>561910</v>
      </c>
      <c r="D885" s="85" t="s">
        <v>1101</v>
      </c>
    </row>
    <row r="886" spans="1:4">
      <c r="A886" s="85">
        <v>561920</v>
      </c>
      <c r="B886" s="85" t="s">
        <v>1102</v>
      </c>
      <c r="C886" s="85">
        <v>561920</v>
      </c>
      <c r="D886" s="85" t="s">
        <v>1102</v>
      </c>
    </row>
    <row r="887" spans="1:4">
      <c r="A887" s="85">
        <v>561990</v>
      </c>
      <c r="B887" s="85" t="s">
        <v>292</v>
      </c>
      <c r="C887" s="85">
        <v>561990</v>
      </c>
      <c r="D887" s="85" t="s">
        <v>292</v>
      </c>
    </row>
    <row r="888" spans="1:4">
      <c r="A888" s="85">
        <v>562111</v>
      </c>
      <c r="B888" s="85" t="s">
        <v>1103</v>
      </c>
      <c r="C888" s="85">
        <v>562111</v>
      </c>
      <c r="D888" s="85" t="s">
        <v>1103</v>
      </c>
    </row>
    <row r="889" spans="1:4">
      <c r="A889" s="85">
        <v>562112</v>
      </c>
      <c r="B889" s="85" t="s">
        <v>1104</v>
      </c>
      <c r="C889" s="85">
        <v>562112</v>
      </c>
      <c r="D889" s="85" t="s">
        <v>1104</v>
      </c>
    </row>
    <row r="890" spans="1:4">
      <c r="A890" s="85">
        <v>562119</v>
      </c>
      <c r="B890" s="85" t="s">
        <v>192</v>
      </c>
      <c r="C890" s="85">
        <v>562119</v>
      </c>
      <c r="D890" s="85" t="s">
        <v>192</v>
      </c>
    </row>
    <row r="891" spans="1:4" ht="25.5">
      <c r="A891" s="85">
        <v>562211</v>
      </c>
      <c r="B891" s="85" t="s">
        <v>1105</v>
      </c>
      <c r="C891" s="85">
        <v>562211</v>
      </c>
      <c r="D891" s="85" t="s">
        <v>1105</v>
      </c>
    </row>
    <row r="892" spans="1:4">
      <c r="A892" s="85">
        <v>562212</v>
      </c>
      <c r="B892" s="85" t="s">
        <v>1106</v>
      </c>
      <c r="C892" s="85">
        <v>562212</v>
      </c>
      <c r="D892" s="85" t="s">
        <v>1106</v>
      </c>
    </row>
    <row r="893" spans="1:4" ht="25.5">
      <c r="A893" s="85">
        <v>562213</v>
      </c>
      <c r="B893" s="85" t="s">
        <v>1107</v>
      </c>
      <c r="C893" s="85">
        <v>562213</v>
      </c>
      <c r="D893" s="85" t="s">
        <v>1107</v>
      </c>
    </row>
    <row r="894" spans="1:4" ht="25.5">
      <c r="A894" s="85">
        <v>562219</v>
      </c>
      <c r="B894" s="85" t="s">
        <v>1108</v>
      </c>
      <c r="C894" s="85">
        <v>562219</v>
      </c>
      <c r="D894" s="85" t="s">
        <v>1108</v>
      </c>
    </row>
    <row r="895" spans="1:4">
      <c r="A895" s="85">
        <v>562910</v>
      </c>
      <c r="B895" s="85" t="s">
        <v>182</v>
      </c>
      <c r="C895" s="85">
        <v>562910</v>
      </c>
      <c r="D895" s="85" t="s">
        <v>182</v>
      </c>
    </row>
    <row r="896" spans="1:4">
      <c r="A896" s="85">
        <v>562920</v>
      </c>
      <c r="B896" s="85" t="s">
        <v>1109</v>
      </c>
      <c r="C896" s="85">
        <v>562920</v>
      </c>
      <c r="D896" s="85" t="s">
        <v>1109</v>
      </c>
    </row>
    <row r="897" spans="1:8">
      <c r="A897" s="85">
        <v>562991</v>
      </c>
      <c r="B897" s="85" t="s">
        <v>1110</v>
      </c>
      <c r="C897" s="85">
        <v>562991</v>
      </c>
      <c r="D897" s="85" t="s">
        <v>1110</v>
      </c>
    </row>
    <row r="898" spans="1:8" ht="25.5">
      <c r="A898" s="85">
        <v>562998</v>
      </c>
      <c r="B898" s="85" t="s">
        <v>173</v>
      </c>
      <c r="C898" s="85">
        <v>562998</v>
      </c>
      <c r="D898" s="85" t="s">
        <v>173</v>
      </c>
    </row>
    <row r="899" spans="1:8">
      <c r="A899" s="85">
        <v>611110</v>
      </c>
      <c r="B899" s="85" t="s">
        <v>196</v>
      </c>
      <c r="C899" s="85">
        <v>611110</v>
      </c>
      <c r="D899" s="85" t="s">
        <v>196</v>
      </c>
      <c r="H899" t="s">
        <v>391</v>
      </c>
    </row>
    <row r="900" spans="1:8">
      <c r="A900" s="85">
        <v>611210</v>
      </c>
      <c r="B900" s="85" t="s">
        <v>1111</v>
      </c>
      <c r="C900" s="85">
        <v>611210</v>
      </c>
      <c r="D900" s="85" t="s">
        <v>1111</v>
      </c>
    </row>
    <row r="901" spans="1:8" ht="25.5">
      <c r="A901" s="85">
        <v>611310</v>
      </c>
      <c r="B901" s="85" t="s">
        <v>1112</v>
      </c>
      <c r="C901" s="85">
        <v>611310</v>
      </c>
      <c r="D901" s="85" t="s">
        <v>1112</v>
      </c>
    </row>
    <row r="902" spans="1:8">
      <c r="A902" s="85">
        <v>611410</v>
      </c>
      <c r="B902" s="85" t="s">
        <v>1113</v>
      </c>
      <c r="C902" s="85">
        <v>611410</v>
      </c>
      <c r="D902" s="85" t="s">
        <v>1113</v>
      </c>
    </row>
    <row r="903" spans="1:8">
      <c r="A903" s="85">
        <v>611420</v>
      </c>
      <c r="B903" s="85" t="s">
        <v>1114</v>
      </c>
      <c r="C903" s="85">
        <v>611420</v>
      </c>
      <c r="D903" s="85" t="s">
        <v>1114</v>
      </c>
    </row>
    <row r="904" spans="1:8" ht="25.5">
      <c r="A904" s="85">
        <v>611430</v>
      </c>
      <c r="B904" s="85" t="s">
        <v>1115</v>
      </c>
      <c r="C904" s="85">
        <v>611430</v>
      </c>
      <c r="D904" s="85" t="s">
        <v>1115</v>
      </c>
    </row>
    <row r="905" spans="1:8">
      <c r="A905" s="85">
        <v>611511</v>
      </c>
      <c r="B905" s="85" t="s">
        <v>1116</v>
      </c>
      <c r="C905" s="85">
        <v>611511</v>
      </c>
      <c r="D905" s="85" t="s">
        <v>1116</v>
      </c>
    </row>
    <row r="906" spans="1:8">
      <c r="A906" s="85">
        <v>611512</v>
      </c>
      <c r="B906" s="85" t="s">
        <v>1117</v>
      </c>
      <c r="C906" s="85">
        <v>611512</v>
      </c>
      <c r="D906" s="85" t="s">
        <v>1117</v>
      </c>
    </row>
    <row r="907" spans="1:8">
      <c r="A907" s="85">
        <v>611513</v>
      </c>
      <c r="B907" s="85" t="s">
        <v>1118</v>
      </c>
      <c r="C907" s="85">
        <v>611513</v>
      </c>
      <c r="D907" s="85" t="s">
        <v>1118</v>
      </c>
    </row>
    <row r="908" spans="1:8">
      <c r="A908" s="85">
        <v>611519</v>
      </c>
      <c r="B908" s="85" t="s">
        <v>232</v>
      </c>
      <c r="C908" s="85">
        <v>611519</v>
      </c>
      <c r="D908" s="85" t="s">
        <v>232</v>
      </c>
    </row>
    <row r="909" spans="1:8">
      <c r="A909" s="85">
        <v>611610</v>
      </c>
      <c r="B909" s="85" t="s">
        <v>239</v>
      </c>
      <c r="C909" s="85">
        <v>611610</v>
      </c>
      <c r="D909" s="85" t="s">
        <v>239</v>
      </c>
    </row>
    <row r="910" spans="1:8">
      <c r="A910" s="85">
        <v>611620</v>
      </c>
      <c r="B910" s="85" t="s">
        <v>71</v>
      </c>
      <c r="C910" s="85">
        <v>611620</v>
      </c>
      <c r="D910" s="85" t="s">
        <v>71</v>
      </c>
    </row>
    <row r="911" spans="1:8">
      <c r="A911" s="85">
        <v>611630</v>
      </c>
      <c r="B911" s="85" t="s">
        <v>1119</v>
      </c>
      <c r="C911" s="85">
        <v>611630</v>
      </c>
      <c r="D911" s="85" t="s">
        <v>1119</v>
      </c>
    </row>
    <row r="912" spans="1:8">
      <c r="A912" s="85">
        <v>611691</v>
      </c>
      <c r="B912" s="85" t="s">
        <v>226</v>
      </c>
      <c r="C912" s="85">
        <v>611691</v>
      </c>
      <c r="D912" s="85" t="s">
        <v>226</v>
      </c>
    </row>
    <row r="913" spans="1:4">
      <c r="A913" s="85">
        <v>611692</v>
      </c>
      <c r="B913" s="85" t="s">
        <v>179</v>
      </c>
      <c r="C913" s="85">
        <v>611692</v>
      </c>
      <c r="D913" s="85" t="s">
        <v>179</v>
      </c>
    </row>
    <row r="914" spans="1:4" ht="25.5">
      <c r="A914" s="85">
        <v>611699</v>
      </c>
      <c r="B914" s="85" t="s">
        <v>121</v>
      </c>
      <c r="C914" s="85">
        <v>611699</v>
      </c>
      <c r="D914" s="85" t="s">
        <v>121</v>
      </c>
    </row>
    <row r="915" spans="1:4">
      <c r="A915" s="85">
        <v>611710</v>
      </c>
      <c r="B915" s="85" t="s">
        <v>1120</v>
      </c>
      <c r="C915" s="85">
        <v>611710</v>
      </c>
      <c r="D915" s="85" t="s">
        <v>1120</v>
      </c>
    </row>
    <row r="916" spans="1:4" ht="25.5">
      <c r="A916" s="85">
        <v>621111</v>
      </c>
      <c r="B916" s="85" t="s">
        <v>98</v>
      </c>
      <c r="C916" s="85">
        <v>621111</v>
      </c>
      <c r="D916" s="85" t="s">
        <v>98</v>
      </c>
    </row>
    <row r="917" spans="1:4" ht="25.5">
      <c r="A917" s="85">
        <v>621112</v>
      </c>
      <c r="B917" s="85" t="s">
        <v>210</v>
      </c>
      <c r="C917" s="85">
        <v>621112</v>
      </c>
      <c r="D917" s="85" t="s">
        <v>210</v>
      </c>
    </row>
    <row r="918" spans="1:4">
      <c r="A918" s="85">
        <v>621210</v>
      </c>
      <c r="B918" s="85" t="s">
        <v>58</v>
      </c>
      <c r="C918" s="85">
        <v>621210</v>
      </c>
      <c r="D918" s="85" t="s">
        <v>58</v>
      </c>
    </row>
    <row r="919" spans="1:4">
      <c r="A919" s="85">
        <v>621310</v>
      </c>
      <c r="B919" s="85" t="s">
        <v>162</v>
      </c>
      <c r="C919" s="85">
        <v>621310</v>
      </c>
      <c r="D919" s="85" t="s">
        <v>162</v>
      </c>
    </row>
    <row r="920" spans="1:4">
      <c r="A920" s="85">
        <v>621320</v>
      </c>
      <c r="B920" s="85" t="s">
        <v>1121</v>
      </c>
      <c r="C920" s="85">
        <v>621320</v>
      </c>
      <c r="D920" s="85" t="s">
        <v>1121</v>
      </c>
    </row>
    <row r="921" spans="1:4" ht="25.5">
      <c r="A921" s="85">
        <v>621330</v>
      </c>
      <c r="B921" s="85" t="s">
        <v>118</v>
      </c>
      <c r="C921" s="85">
        <v>621330</v>
      </c>
      <c r="D921" s="85" t="s">
        <v>118</v>
      </c>
    </row>
    <row r="922" spans="1:4" ht="25.5">
      <c r="A922" s="85">
        <v>621340</v>
      </c>
      <c r="B922" s="85" t="s">
        <v>1122</v>
      </c>
      <c r="C922" s="85">
        <v>621340</v>
      </c>
      <c r="D922" s="85" t="s">
        <v>1122</v>
      </c>
    </row>
    <row r="923" spans="1:4">
      <c r="A923" s="85">
        <v>621391</v>
      </c>
      <c r="B923" s="85" t="s">
        <v>1123</v>
      </c>
      <c r="C923" s="85">
        <v>621391</v>
      </c>
      <c r="D923" s="85" t="s">
        <v>1123</v>
      </c>
    </row>
    <row r="924" spans="1:4" ht="25.5">
      <c r="A924" s="85">
        <v>621399</v>
      </c>
      <c r="B924" s="85" t="s">
        <v>152</v>
      </c>
      <c r="C924" s="85">
        <v>621399</v>
      </c>
      <c r="D924" s="85" t="s">
        <v>152</v>
      </c>
    </row>
    <row r="925" spans="1:4">
      <c r="A925" s="85">
        <v>621410</v>
      </c>
      <c r="B925" s="85" t="s">
        <v>1124</v>
      </c>
      <c r="C925" s="85">
        <v>621410</v>
      </c>
      <c r="D925" s="85" t="s">
        <v>1124</v>
      </c>
    </row>
    <row r="926" spans="1:4" ht="25.5">
      <c r="A926" s="85">
        <v>621420</v>
      </c>
      <c r="B926" s="85" t="s">
        <v>169</v>
      </c>
      <c r="C926" s="85">
        <v>621420</v>
      </c>
      <c r="D926" s="85" t="s">
        <v>169</v>
      </c>
    </row>
    <row r="927" spans="1:4">
      <c r="A927" s="85">
        <v>621491</v>
      </c>
      <c r="B927" s="85" t="s">
        <v>1125</v>
      </c>
      <c r="C927" s="85">
        <v>621491</v>
      </c>
      <c r="D927" s="85" t="s">
        <v>1125</v>
      </c>
    </row>
    <row r="928" spans="1:4">
      <c r="A928" s="85">
        <v>621492</v>
      </c>
      <c r="B928" s="85" t="s">
        <v>1126</v>
      </c>
      <c r="C928" s="85">
        <v>621492</v>
      </c>
      <c r="D928" s="85" t="s">
        <v>1126</v>
      </c>
    </row>
    <row r="929" spans="1:8" ht="25.5">
      <c r="A929" s="85">
        <v>621493</v>
      </c>
      <c r="B929" s="85" t="s">
        <v>1127</v>
      </c>
      <c r="C929" s="85">
        <v>621493</v>
      </c>
      <c r="D929" s="85" t="s">
        <v>1127</v>
      </c>
      <c r="H929" t="s">
        <v>391</v>
      </c>
    </row>
    <row r="930" spans="1:8">
      <c r="A930" s="85">
        <v>621498</v>
      </c>
      <c r="B930" s="85" t="s">
        <v>1128</v>
      </c>
      <c r="C930" s="85">
        <v>621498</v>
      </c>
      <c r="D930" s="85" t="s">
        <v>1128</v>
      </c>
    </row>
    <row r="931" spans="1:8">
      <c r="A931" s="85">
        <v>621511</v>
      </c>
      <c r="B931" s="85" t="s">
        <v>1129</v>
      </c>
      <c r="C931" s="85">
        <v>621511</v>
      </c>
      <c r="D931" s="85" t="s">
        <v>1129</v>
      </c>
    </row>
    <row r="932" spans="1:8">
      <c r="A932" s="85">
        <v>621512</v>
      </c>
      <c r="B932" s="85" t="s">
        <v>188</v>
      </c>
      <c r="C932" s="85">
        <v>621512</v>
      </c>
      <c r="D932" s="85" t="s">
        <v>188</v>
      </c>
    </row>
    <row r="933" spans="1:8">
      <c r="A933" s="85">
        <v>621610</v>
      </c>
      <c r="B933" s="85" t="s">
        <v>156</v>
      </c>
      <c r="C933" s="85">
        <v>621610</v>
      </c>
      <c r="D933" s="85" t="s">
        <v>156</v>
      </c>
    </row>
    <row r="934" spans="1:8">
      <c r="A934" s="85">
        <v>621910</v>
      </c>
      <c r="B934" s="85" t="s">
        <v>1130</v>
      </c>
      <c r="C934" s="85">
        <v>621910</v>
      </c>
      <c r="D934" s="85" t="s">
        <v>1130</v>
      </c>
    </row>
    <row r="935" spans="1:8">
      <c r="A935" s="85">
        <v>621991</v>
      </c>
      <c r="B935" s="85" t="s">
        <v>1131</v>
      </c>
      <c r="C935" s="85">
        <v>621991</v>
      </c>
      <c r="D935" s="85" t="s">
        <v>1131</v>
      </c>
    </row>
    <row r="936" spans="1:8" ht="25.5">
      <c r="A936" s="85">
        <v>621999</v>
      </c>
      <c r="B936" s="85" t="s">
        <v>272</v>
      </c>
      <c r="C936" s="85">
        <v>621999</v>
      </c>
      <c r="D936" s="85" t="s">
        <v>272</v>
      </c>
    </row>
    <row r="937" spans="1:8">
      <c r="A937" s="85">
        <v>622110</v>
      </c>
      <c r="B937" s="85" t="s">
        <v>1132</v>
      </c>
      <c r="C937" s="85">
        <v>622110</v>
      </c>
      <c r="D937" s="85" t="s">
        <v>1132</v>
      </c>
    </row>
    <row r="938" spans="1:8" ht="25.5">
      <c r="A938" s="85">
        <v>622210</v>
      </c>
      <c r="B938" s="85" t="s">
        <v>1133</v>
      </c>
      <c r="C938" s="85">
        <v>622210</v>
      </c>
      <c r="D938" s="85" t="s">
        <v>1133</v>
      </c>
    </row>
    <row r="939" spans="1:8" ht="25.5">
      <c r="A939" s="85">
        <v>622310</v>
      </c>
      <c r="B939" s="85" t="s">
        <v>1134</v>
      </c>
      <c r="C939" s="85">
        <v>622310</v>
      </c>
      <c r="D939" s="85" t="s">
        <v>1134</v>
      </c>
    </row>
    <row r="940" spans="1:8" ht="25.5">
      <c r="A940" s="85">
        <v>623110</v>
      </c>
      <c r="B940" s="85" t="s">
        <v>1135</v>
      </c>
      <c r="C940" s="85">
        <v>623110</v>
      </c>
      <c r="D940" s="85" t="s">
        <v>1135</v>
      </c>
    </row>
    <row r="941" spans="1:8" ht="25.5">
      <c r="A941" s="85">
        <v>623210</v>
      </c>
      <c r="B941" s="85" t="s">
        <v>175</v>
      </c>
      <c r="C941" s="85">
        <v>623210</v>
      </c>
      <c r="D941" s="85" t="s">
        <v>175</v>
      </c>
    </row>
    <row r="942" spans="1:8" ht="25.5">
      <c r="A942" s="85">
        <v>623220</v>
      </c>
      <c r="B942" s="85" t="s">
        <v>128</v>
      </c>
      <c r="C942" s="85">
        <v>623220</v>
      </c>
      <c r="D942" s="85" t="s">
        <v>128</v>
      </c>
    </row>
    <row r="943" spans="1:8" ht="25.5">
      <c r="A943" s="85">
        <v>623311</v>
      </c>
      <c r="B943" s="85" t="s">
        <v>1136</v>
      </c>
      <c r="C943" s="85">
        <v>623311</v>
      </c>
      <c r="D943" s="85" t="s">
        <v>1136</v>
      </c>
    </row>
    <row r="944" spans="1:8">
      <c r="A944" s="85">
        <v>623312</v>
      </c>
      <c r="B944" s="85" t="s">
        <v>122</v>
      </c>
      <c r="C944" s="85">
        <v>623312</v>
      </c>
      <c r="D944" s="85" t="s">
        <v>122</v>
      </c>
    </row>
    <row r="945" spans="1:9">
      <c r="A945" s="85">
        <v>623990</v>
      </c>
      <c r="B945" s="85" t="s">
        <v>1137</v>
      </c>
      <c r="C945" s="85">
        <v>623990</v>
      </c>
      <c r="D945" s="85" t="s">
        <v>1137</v>
      </c>
    </row>
    <row r="946" spans="1:9">
      <c r="A946" s="85">
        <v>624110</v>
      </c>
      <c r="B946" s="85" t="s">
        <v>218</v>
      </c>
      <c r="C946" s="85">
        <v>624110</v>
      </c>
      <c r="D946" s="85" t="s">
        <v>218</v>
      </c>
    </row>
    <row r="947" spans="1:9" ht="25.5">
      <c r="A947" s="85">
        <v>624120</v>
      </c>
      <c r="B947" s="85" t="s">
        <v>55</v>
      </c>
      <c r="C947" s="85">
        <v>624120</v>
      </c>
      <c r="D947" s="85" t="s">
        <v>55</v>
      </c>
    </row>
    <row r="948" spans="1:9">
      <c r="A948" s="85">
        <v>624190</v>
      </c>
      <c r="B948" s="85" t="s">
        <v>211</v>
      </c>
      <c r="C948" s="85">
        <v>624190</v>
      </c>
      <c r="D948" s="85" t="s">
        <v>211</v>
      </c>
    </row>
    <row r="949" spans="1:9">
      <c r="A949" s="85">
        <v>624210</v>
      </c>
      <c r="B949" s="85" t="s">
        <v>1138</v>
      </c>
      <c r="C949" s="85">
        <v>624210</v>
      </c>
      <c r="D949" s="85" t="s">
        <v>1138</v>
      </c>
    </row>
    <row r="950" spans="1:9">
      <c r="A950" s="85">
        <v>624221</v>
      </c>
      <c r="B950" s="85" t="s">
        <v>1139</v>
      </c>
      <c r="C950" s="85">
        <v>624221</v>
      </c>
      <c r="D950" s="85" t="s">
        <v>1139</v>
      </c>
      <c r="I950" t="s">
        <v>391</v>
      </c>
    </row>
    <row r="951" spans="1:9">
      <c r="A951" s="85">
        <v>624229</v>
      </c>
      <c r="B951" s="85" t="s">
        <v>1140</v>
      </c>
      <c r="C951" s="85">
        <v>624229</v>
      </c>
      <c r="D951" s="85" t="s">
        <v>1140</v>
      </c>
    </row>
    <row r="952" spans="1:9">
      <c r="A952" s="85">
        <v>624230</v>
      </c>
      <c r="B952" s="85" t="s">
        <v>1141</v>
      </c>
      <c r="C952" s="85">
        <v>624230</v>
      </c>
      <c r="D952" s="85" t="s">
        <v>1141</v>
      </c>
    </row>
    <row r="953" spans="1:9">
      <c r="A953" s="85">
        <v>624310</v>
      </c>
      <c r="B953" s="85" t="s">
        <v>1142</v>
      </c>
      <c r="C953" s="85">
        <v>624310</v>
      </c>
      <c r="D953" s="85" t="s">
        <v>1142</v>
      </c>
    </row>
    <row r="954" spans="1:9">
      <c r="A954" s="85">
        <v>624410</v>
      </c>
      <c r="B954" s="85" t="s">
        <v>67</v>
      </c>
      <c r="C954" s="85">
        <v>624410</v>
      </c>
      <c r="D954" s="85" t="s">
        <v>67</v>
      </c>
    </row>
    <row r="955" spans="1:9">
      <c r="A955" s="85">
        <v>711110</v>
      </c>
      <c r="B955" s="85" t="s">
        <v>1143</v>
      </c>
      <c r="C955" s="85">
        <v>711110</v>
      </c>
      <c r="D955" s="85" t="s">
        <v>1143</v>
      </c>
    </row>
    <row r="956" spans="1:9">
      <c r="A956" s="85">
        <v>711120</v>
      </c>
      <c r="B956" s="85" t="s">
        <v>1144</v>
      </c>
      <c r="C956" s="85">
        <v>711120</v>
      </c>
      <c r="D956" s="85" t="s">
        <v>1144</v>
      </c>
    </row>
    <row r="957" spans="1:9">
      <c r="A957" s="85">
        <v>711130</v>
      </c>
      <c r="B957" s="85" t="s">
        <v>1145</v>
      </c>
      <c r="C957" s="85">
        <v>711130</v>
      </c>
      <c r="D957" s="85" t="s">
        <v>1145</v>
      </c>
    </row>
    <row r="958" spans="1:9">
      <c r="A958" s="85">
        <v>711190</v>
      </c>
      <c r="B958" s="85" t="s">
        <v>240</v>
      </c>
      <c r="C958" s="85">
        <v>711190</v>
      </c>
      <c r="D958" s="85" t="s">
        <v>240</v>
      </c>
    </row>
    <row r="959" spans="1:9">
      <c r="A959" s="85">
        <v>711211</v>
      </c>
      <c r="B959" s="85" t="s">
        <v>1146</v>
      </c>
      <c r="C959" s="85">
        <v>711211</v>
      </c>
      <c r="D959" s="85" t="s">
        <v>1146</v>
      </c>
    </row>
    <row r="960" spans="1:9">
      <c r="A960" s="85">
        <v>711212</v>
      </c>
      <c r="B960" s="85" t="s">
        <v>1147</v>
      </c>
      <c r="C960" s="85">
        <v>711212</v>
      </c>
      <c r="D960" s="85" t="s">
        <v>1147</v>
      </c>
    </row>
    <row r="961" spans="1:4">
      <c r="A961" s="85">
        <v>711219</v>
      </c>
      <c r="B961" s="85" t="s">
        <v>1148</v>
      </c>
      <c r="C961" s="85">
        <v>711219</v>
      </c>
      <c r="D961" s="85" t="s">
        <v>1148</v>
      </c>
    </row>
    <row r="962" spans="1:4" ht="25.5">
      <c r="A962" s="85">
        <v>711310</v>
      </c>
      <c r="B962" s="85" t="s">
        <v>1149</v>
      </c>
      <c r="C962" s="85">
        <v>711310</v>
      </c>
      <c r="D962" s="85" t="s">
        <v>1149</v>
      </c>
    </row>
    <row r="963" spans="1:4" ht="25.5">
      <c r="A963" s="85">
        <v>711320</v>
      </c>
      <c r="B963" s="85" t="s">
        <v>1150</v>
      </c>
      <c r="C963" s="85">
        <v>711320</v>
      </c>
      <c r="D963" s="85" t="s">
        <v>1150</v>
      </c>
    </row>
    <row r="964" spans="1:4" ht="38.25">
      <c r="A964" s="85">
        <v>711410</v>
      </c>
      <c r="B964" s="85" t="s">
        <v>1151</v>
      </c>
      <c r="C964" s="85">
        <v>711410</v>
      </c>
      <c r="D964" s="85" t="s">
        <v>1151</v>
      </c>
    </row>
    <row r="965" spans="1:4" ht="25.5">
      <c r="A965" s="85">
        <v>711510</v>
      </c>
      <c r="B965" s="85" t="s">
        <v>1152</v>
      </c>
      <c r="C965" s="85">
        <v>711510</v>
      </c>
      <c r="D965" s="85" t="s">
        <v>1152</v>
      </c>
    </row>
    <row r="966" spans="1:4">
      <c r="A966" s="85">
        <v>712110</v>
      </c>
      <c r="B966" s="85" t="s">
        <v>1153</v>
      </c>
      <c r="C966" s="85">
        <v>712110</v>
      </c>
      <c r="D966" s="85" t="s">
        <v>1153</v>
      </c>
    </row>
    <row r="967" spans="1:4">
      <c r="A967" s="85">
        <v>712120</v>
      </c>
      <c r="B967" s="85" t="s">
        <v>1154</v>
      </c>
      <c r="C967" s="85">
        <v>712120</v>
      </c>
      <c r="D967" s="85" t="s">
        <v>1154</v>
      </c>
    </row>
    <row r="968" spans="1:4">
      <c r="A968" s="85">
        <v>712130</v>
      </c>
      <c r="B968" s="85" t="s">
        <v>1155</v>
      </c>
      <c r="C968" s="85">
        <v>712130</v>
      </c>
      <c r="D968" s="85" t="s">
        <v>1155</v>
      </c>
    </row>
    <row r="969" spans="1:4" ht="25.5">
      <c r="A969" s="85">
        <v>712190</v>
      </c>
      <c r="B969" s="85" t="s">
        <v>1156</v>
      </c>
      <c r="C969" s="85">
        <v>712190</v>
      </c>
      <c r="D969" s="85" t="s">
        <v>1156</v>
      </c>
    </row>
    <row r="970" spans="1:4">
      <c r="A970" s="85">
        <v>713110</v>
      </c>
      <c r="B970" s="85" t="s">
        <v>184</v>
      </c>
      <c r="C970" s="85">
        <v>713110</v>
      </c>
      <c r="D970" s="85" t="s">
        <v>184</v>
      </c>
    </row>
    <row r="971" spans="1:4">
      <c r="A971" s="85">
        <v>713120</v>
      </c>
      <c r="B971" s="85" t="s">
        <v>1157</v>
      </c>
      <c r="C971" s="85">
        <v>713120</v>
      </c>
      <c r="D971" s="85" t="s">
        <v>1157</v>
      </c>
    </row>
    <row r="972" spans="1:4">
      <c r="A972" s="85">
        <v>713210</v>
      </c>
      <c r="B972" s="85" t="s">
        <v>1158</v>
      </c>
      <c r="C972" s="85">
        <v>713210</v>
      </c>
      <c r="D972" s="85" t="s">
        <v>1158</v>
      </c>
    </row>
    <row r="973" spans="1:4">
      <c r="A973" s="85">
        <v>713290</v>
      </c>
      <c r="B973" s="85" t="s">
        <v>1159</v>
      </c>
      <c r="C973" s="85">
        <v>713290</v>
      </c>
      <c r="D973" s="85" t="s">
        <v>1159</v>
      </c>
    </row>
    <row r="974" spans="1:4">
      <c r="A974" s="85">
        <v>713910</v>
      </c>
      <c r="B974" s="85" t="s">
        <v>1160</v>
      </c>
      <c r="C974" s="85">
        <v>713910</v>
      </c>
      <c r="D974" s="85" t="s">
        <v>1160</v>
      </c>
    </row>
    <row r="975" spans="1:4">
      <c r="A975" s="85">
        <v>713920</v>
      </c>
      <c r="B975" s="85" t="s">
        <v>1161</v>
      </c>
      <c r="C975" s="85">
        <v>713920</v>
      </c>
      <c r="D975" s="85" t="s">
        <v>1161</v>
      </c>
    </row>
    <row r="976" spans="1:4">
      <c r="A976" s="85">
        <v>713930</v>
      </c>
      <c r="B976" s="85" t="s">
        <v>1162</v>
      </c>
      <c r="C976" s="85">
        <v>713930</v>
      </c>
      <c r="D976" s="85" t="s">
        <v>1162</v>
      </c>
    </row>
    <row r="977" spans="1:7">
      <c r="A977" s="85">
        <v>713940</v>
      </c>
      <c r="B977" s="85" t="s">
        <v>97</v>
      </c>
      <c r="C977" s="85">
        <v>713940</v>
      </c>
      <c r="D977" s="85" t="s">
        <v>97</v>
      </c>
      <c r="G977" t="s">
        <v>391</v>
      </c>
    </row>
    <row r="978" spans="1:7">
      <c r="A978" s="85">
        <v>713950</v>
      </c>
      <c r="B978" s="85" t="s">
        <v>1163</v>
      </c>
      <c r="C978" s="85">
        <v>713950</v>
      </c>
      <c r="D978" s="85" t="s">
        <v>1163</v>
      </c>
    </row>
    <row r="979" spans="1:7" ht="25.5">
      <c r="A979" s="85">
        <v>713990</v>
      </c>
      <c r="B979" s="85" t="s">
        <v>75</v>
      </c>
      <c r="C979" s="85">
        <v>713990</v>
      </c>
      <c r="D979" s="85" t="s">
        <v>75</v>
      </c>
    </row>
    <row r="980" spans="1:7" ht="25.5">
      <c r="A980" s="85">
        <v>721110</v>
      </c>
      <c r="B980" s="85" t="s">
        <v>51</v>
      </c>
      <c r="C980" s="85">
        <v>721110</v>
      </c>
      <c r="D980" s="85" t="s">
        <v>51</v>
      </c>
    </row>
    <row r="981" spans="1:7">
      <c r="A981" s="85">
        <v>721120</v>
      </c>
      <c r="B981" s="85" t="s">
        <v>1164</v>
      </c>
      <c r="C981" s="85">
        <v>721120</v>
      </c>
      <c r="D981" s="85" t="s">
        <v>1164</v>
      </c>
    </row>
    <row r="982" spans="1:7">
      <c r="A982" s="85">
        <v>721191</v>
      </c>
      <c r="B982" s="85" t="s">
        <v>252</v>
      </c>
      <c r="C982" s="85">
        <v>721191</v>
      </c>
      <c r="D982" s="85" t="s">
        <v>252</v>
      </c>
    </row>
    <row r="983" spans="1:7">
      <c r="A983" s="85">
        <v>721199</v>
      </c>
      <c r="B983" s="85" t="s">
        <v>149</v>
      </c>
      <c r="C983" s="85">
        <v>721199</v>
      </c>
      <c r="D983" s="85" t="s">
        <v>149</v>
      </c>
    </row>
    <row r="984" spans="1:7" ht="25.5">
      <c r="A984" s="85">
        <v>721211</v>
      </c>
      <c r="B984" s="85" t="s">
        <v>43</v>
      </c>
      <c r="C984" s="85">
        <v>721211</v>
      </c>
      <c r="D984" s="85" t="s">
        <v>43</v>
      </c>
    </row>
    <row r="985" spans="1:7" ht="25.5">
      <c r="A985" s="85">
        <v>721214</v>
      </c>
      <c r="B985" s="85" t="s">
        <v>293</v>
      </c>
      <c r="C985" s="85">
        <v>721214</v>
      </c>
      <c r="D985" s="85" t="s">
        <v>293</v>
      </c>
    </row>
    <row r="986" spans="1:7" ht="25.5">
      <c r="A986" s="85">
        <v>721310</v>
      </c>
      <c r="B986" s="85" t="s">
        <v>228</v>
      </c>
      <c r="C986" s="85">
        <v>721310</v>
      </c>
      <c r="D986" s="85" t="s">
        <v>1165</v>
      </c>
    </row>
    <row r="987" spans="1:7">
      <c r="A987" s="85">
        <v>722310</v>
      </c>
      <c r="B987" s="85" t="s">
        <v>1166</v>
      </c>
      <c r="C987" s="85">
        <v>722310</v>
      </c>
      <c r="D987" s="85" t="s">
        <v>1166</v>
      </c>
    </row>
    <row r="988" spans="1:7">
      <c r="A988" s="85">
        <v>722320</v>
      </c>
      <c r="B988" s="85" t="s">
        <v>137</v>
      </c>
      <c r="C988" s="85">
        <v>722320</v>
      </c>
      <c r="D988" s="85" t="s">
        <v>137</v>
      </c>
    </row>
    <row r="989" spans="1:7">
      <c r="A989" s="85">
        <v>722330</v>
      </c>
      <c r="B989" s="85" t="s">
        <v>1167</v>
      </c>
      <c r="C989" s="85">
        <v>722330</v>
      </c>
      <c r="D989" s="85" t="s">
        <v>1167</v>
      </c>
    </row>
    <row r="990" spans="1:7">
      <c r="A990" s="85">
        <v>722410</v>
      </c>
      <c r="B990" s="85" t="s">
        <v>101</v>
      </c>
      <c r="C990" s="85">
        <v>722410</v>
      </c>
      <c r="D990" s="85" t="s">
        <v>101</v>
      </c>
    </row>
    <row r="991" spans="1:7">
      <c r="A991" s="138">
        <v>722511</v>
      </c>
      <c r="B991" s="138" t="s">
        <v>86</v>
      </c>
      <c r="C991" s="138">
        <v>722511</v>
      </c>
      <c r="D991" s="138" t="s">
        <v>86</v>
      </c>
    </row>
    <row r="992" spans="1:7">
      <c r="A992" s="138">
        <v>722513</v>
      </c>
      <c r="B992" s="138" t="s">
        <v>34</v>
      </c>
      <c r="C992" s="138">
        <v>722513</v>
      </c>
      <c r="D992" s="138" t="s">
        <v>34</v>
      </c>
    </row>
    <row r="993" spans="1:6">
      <c r="A993" s="138">
        <v>722514</v>
      </c>
      <c r="B993" s="138" t="s">
        <v>209</v>
      </c>
      <c r="C993" s="138">
        <v>722514</v>
      </c>
      <c r="D993" s="138" t="s">
        <v>209</v>
      </c>
    </row>
    <row r="994" spans="1:6">
      <c r="A994" s="138">
        <v>722515</v>
      </c>
      <c r="B994" s="138" t="s">
        <v>113</v>
      </c>
      <c r="C994" s="138">
        <v>722515</v>
      </c>
      <c r="D994" s="138" t="s">
        <v>113</v>
      </c>
    </row>
    <row r="995" spans="1:6">
      <c r="A995" s="85">
        <v>811111</v>
      </c>
      <c r="B995" s="85" t="s">
        <v>100</v>
      </c>
      <c r="C995" s="85">
        <v>811111</v>
      </c>
      <c r="D995" s="85" t="s">
        <v>100</v>
      </c>
    </row>
    <row r="996" spans="1:6">
      <c r="A996" s="85">
        <v>811112</v>
      </c>
      <c r="B996" s="85" t="s">
        <v>1168</v>
      </c>
      <c r="C996" s="85">
        <v>811112</v>
      </c>
      <c r="D996" s="85" t="s">
        <v>1168</v>
      </c>
    </row>
    <row r="997" spans="1:6">
      <c r="A997" s="85">
        <v>811113</v>
      </c>
      <c r="B997" s="85" t="s">
        <v>243</v>
      </c>
      <c r="C997" s="85">
        <v>811113</v>
      </c>
      <c r="D997" s="85" t="s">
        <v>243</v>
      </c>
    </row>
    <row r="998" spans="1:6" ht="25.5">
      <c r="A998" s="85">
        <v>811118</v>
      </c>
      <c r="B998" s="85" t="s">
        <v>1169</v>
      </c>
      <c r="C998" s="85">
        <v>811118</v>
      </c>
      <c r="D998" s="85" t="s">
        <v>1169</v>
      </c>
    </row>
    <row r="999" spans="1:6" ht="25.5">
      <c r="A999" s="85">
        <v>811121</v>
      </c>
      <c r="B999" s="85" t="s">
        <v>157</v>
      </c>
      <c r="C999" s="85">
        <v>811121</v>
      </c>
      <c r="D999" s="85" t="s">
        <v>157</v>
      </c>
    </row>
    <row r="1000" spans="1:6">
      <c r="A1000" s="85">
        <v>811122</v>
      </c>
      <c r="B1000" s="85" t="s">
        <v>277</v>
      </c>
      <c r="C1000" s="85">
        <v>811122</v>
      </c>
      <c r="D1000" s="85" t="s">
        <v>277</v>
      </c>
    </row>
    <row r="1001" spans="1:6" ht="25.5">
      <c r="A1001" s="85">
        <v>811191</v>
      </c>
      <c r="B1001" s="85" t="s">
        <v>176</v>
      </c>
      <c r="C1001" s="85">
        <v>811191</v>
      </c>
      <c r="D1001" s="85" t="s">
        <v>176</v>
      </c>
    </row>
    <row r="1002" spans="1:6">
      <c r="A1002" s="85">
        <v>811192</v>
      </c>
      <c r="B1002" s="85" t="s">
        <v>65</v>
      </c>
      <c r="C1002" s="85">
        <v>811192</v>
      </c>
      <c r="D1002" s="85" t="s">
        <v>65</v>
      </c>
      <c r="F1002" t="s">
        <v>391</v>
      </c>
    </row>
    <row r="1003" spans="1:6" ht="25.5">
      <c r="A1003" s="85">
        <v>811198</v>
      </c>
      <c r="B1003" s="85" t="s">
        <v>66</v>
      </c>
      <c r="C1003" s="85">
        <v>811198</v>
      </c>
      <c r="D1003" s="85" t="s">
        <v>66</v>
      </c>
    </row>
    <row r="1004" spans="1:6" ht="25.5">
      <c r="A1004" s="85">
        <v>811211</v>
      </c>
      <c r="B1004" s="85" t="s">
        <v>1170</v>
      </c>
      <c r="C1004" s="85">
        <v>811211</v>
      </c>
      <c r="D1004" s="85" t="s">
        <v>1170</v>
      </c>
    </row>
    <row r="1005" spans="1:6" ht="25.5">
      <c r="A1005" s="85">
        <v>811212</v>
      </c>
      <c r="B1005" s="85" t="s">
        <v>1171</v>
      </c>
      <c r="C1005" s="85">
        <v>811212</v>
      </c>
      <c r="D1005" s="85" t="s">
        <v>1171</v>
      </c>
    </row>
    <row r="1006" spans="1:6" ht="25.5">
      <c r="A1006" s="85">
        <v>811213</v>
      </c>
      <c r="B1006" s="85" t="s">
        <v>1172</v>
      </c>
      <c r="C1006" s="85">
        <v>811213</v>
      </c>
      <c r="D1006" s="85" t="s">
        <v>1172</v>
      </c>
    </row>
    <row r="1007" spans="1:6" ht="25.5">
      <c r="A1007" s="85">
        <v>811219</v>
      </c>
      <c r="B1007" s="85" t="s">
        <v>1173</v>
      </c>
      <c r="C1007" s="85">
        <v>811219</v>
      </c>
      <c r="D1007" s="85" t="s">
        <v>1173</v>
      </c>
    </row>
    <row r="1008" spans="1:6" ht="38.25">
      <c r="A1008" s="85">
        <v>811310</v>
      </c>
      <c r="B1008" s="85" t="s">
        <v>241</v>
      </c>
      <c r="C1008" s="85">
        <v>811310</v>
      </c>
      <c r="D1008" s="85" t="s">
        <v>241</v>
      </c>
    </row>
    <row r="1009" spans="1:7" ht="25.5">
      <c r="A1009" s="85">
        <v>811411</v>
      </c>
      <c r="B1009" s="85" t="s">
        <v>1174</v>
      </c>
      <c r="C1009" s="85">
        <v>811411</v>
      </c>
      <c r="D1009" s="85" t="s">
        <v>1174</v>
      </c>
    </row>
    <row r="1010" spans="1:7">
      <c r="A1010" s="85">
        <v>811412</v>
      </c>
      <c r="B1010" s="85" t="s">
        <v>1175</v>
      </c>
      <c r="C1010" s="85">
        <v>811412</v>
      </c>
      <c r="D1010" s="85" t="s">
        <v>1175</v>
      </c>
    </row>
    <row r="1011" spans="1:7">
      <c r="A1011" s="85">
        <v>811420</v>
      </c>
      <c r="B1011" s="85" t="s">
        <v>1176</v>
      </c>
      <c r="C1011" s="85">
        <v>811420</v>
      </c>
      <c r="D1011" s="85" t="s">
        <v>1176</v>
      </c>
    </row>
    <row r="1012" spans="1:7">
      <c r="A1012" s="85">
        <v>811430</v>
      </c>
      <c r="B1012" s="85" t="s">
        <v>1177</v>
      </c>
      <c r="C1012" s="85">
        <v>811430</v>
      </c>
      <c r="D1012" s="85" t="s">
        <v>1177</v>
      </c>
    </row>
    <row r="1013" spans="1:7" ht="25.5">
      <c r="A1013" s="85">
        <v>811490</v>
      </c>
      <c r="B1013" s="85" t="s">
        <v>27</v>
      </c>
      <c r="C1013" s="85">
        <v>811490</v>
      </c>
      <c r="D1013" s="85" t="s">
        <v>27</v>
      </c>
    </row>
    <row r="1014" spans="1:7">
      <c r="A1014" s="85">
        <v>812111</v>
      </c>
      <c r="B1014" s="85" t="s">
        <v>258</v>
      </c>
      <c r="C1014" s="85">
        <v>812111</v>
      </c>
      <c r="D1014" s="85" t="s">
        <v>258</v>
      </c>
    </row>
    <row r="1015" spans="1:7">
      <c r="A1015" s="85">
        <v>812112</v>
      </c>
      <c r="B1015" s="85" t="s">
        <v>123</v>
      </c>
      <c r="C1015" s="85">
        <v>812112</v>
      </c>
      <c r="D1015" s="85" t="s">
        <v>123</v>
      </c>
    </row>
    <row r="1016" spans="1:7">
      <c r="A1016" s="85">
        <v>812113</v>
      </c>
      <c r="B1016" s="85" t="s">
        <v>265</v>
      </c>
      <c r="C1016" s="85">
        <v>812113</v>
      </c>
      <c r="D1016" s="85" t="s">
        <v>265</v>
      </c>
    </row>
    <row r="1017" spans="1:7">
      <c r="A1017" s="85">
        <v>812191</v>
      </c>
      <c r="B1017" s="85" t="s">
        <v>1178</v>
      </c>
      <c r="C1017" s="85">
        <v>812191</v>
      </c>
      <c r="D1017" s="85" t="s">
        <v>1178</v>
      </c>
    </row>
    <row r="1018" spans="1:7">
      <c r="A1018" s="85">
        <v>812199</v>
      </c>
      <c r="B1018" s="85" t="s">
        <v>90</v>
      </c>
      <c r="C1018" s="85">
        <v>812199</v>
      </c>
      <c r="D1018" s="85" t="s">
        <v>90</v>
      </c>
    </row>
    <row r="1019" spans="1:7">
      <c r="A1019" s="85">
        <v>812210</v>
      </c>
      <c r="B1019" s="85" t="s">
        <v>36</v>
      </c>
      <c r="C1019" s="85">
        <v>812210</v>
      </c>
      <c r="D1019" s="85" t="s">
        <v>36</v>
      </c>
    </row>
    <row r="1020" spans="1:7">
      <c r="A1020" s="85">
        <v>812220</v>
      </c>
      <c r="B1020" s="85" t="s">
        <v>1179</v>
      </c>
      <c r="C1020" s="85">
        <v>812220</v>
      </c>
      <c r="D1020" s="85" t="s">
        <v>1179</v>
      </c>
    </row>
    <row r="1021" spans="1:7" ht="25.5">
      <c r="A1021" s="85">
        <v>812310</v>
      </c>
      <c r="B1021" s="85" t="s">
        <v>102</v>
      </c>
      <c r="C1021" s="85">
        <v>812310</v>
      </c>
      <c r="D1021" s="85" t="s">
        <v>102</v>
      </c>
      <c r="G1021" t="s">
        <v>391</v>
      </c>
    </row>
    <row r="1022" spans="1:7" ht="25.5">
      <c r="A1022" s="85">
        <v>812320</v>
      </c>
      <c r="B1022" s="85" t="s">
        <v>250</v>
      </c>
      <c r="C1022" s="85">
        <v>812320</v>
      </c>
      <c r="D1022" s="85" t="s">
        <v>250</v>
      </c>
    </row>
    <row r="1023" spans="1:7">
      <c r="A1023" s="85">
        <v>812331</v>
      </c>
      <c r="B1023" s="85" t="s">
        <v>1180</v>
      </c>
      <c r="C1023" s="85">
        <v>812331</v>
      </c>
      <c r="D1023" s="85" t="s">
        <v>1180</v>
      </c>
    </row>
    <row r="1024" spans="1:7">
      <c r="A1024" s="85">
        <v>812332</v>
      </c>
      <c r="B1024" s="85" t="s">
        <v>1181</v>
      </c>
      <c r="C1024" s="85">
        <v>812332</v>
      </c>
      <c r="D1024" s="85" t="s">
        <v>1181</v>
      </c>
    </row>
    <row r="1025" spans="1:4">
      <c r="A1025" s="85">
        <v>812910</v>
      </c>
      <c r="B1025" s="85" t="s">
        <v>108</v>
      </c>
      <c r="C1025" s="85">
        <v>812910</v>
      </c>
      <c r="D1025" s="85" t="s">
        <v>108</v>
      </c>
    </row>
    <row r="1026" spans="1:4" ht="25.5">
      <c r="A1026" s="85">
        <v>812921</v>
      </c>
      <c r="B1026" s="85" t="s">
        <v>1182</v>
      </c>
      <c r="C1026" s="85">
        <v>812921</v>
      </c>
      <c r="D1026" s="85" t="s">
        <v>1182</v>
      </c>
    </row>
    <row r="1027" spans="1:4">
      <c r="A1027" s="85">
        <v>812922</v>
      </c>
      <c r="B1027" s="85" t="s">
        <v>1183</v>
      </c>
      <c r="C1027" s="85">
        <v>812922</v>
      </c>
      <c r="D1027" s="85" t="s">
        <v>1183</v>
      </c>
    </row>
    <row r="1028" spans="1:4">
      <c r="A1028" s="85">
        <v>812930</v>
      </c>
      <c r="B1028" s="85" t="s">
        <v>1184</v>
      </c>
      <c r="C1028" s="85">
        <v>812930</v>
      </c>
      <c r="D1028" s="85" t="s">
        <v>1184</v>
      </c>
    </row>
    <row r="1029" spans="1:4">
      <c r="A1029" s="85">
        <v>812990</v>
      </c>
      <c r="B1029" s="85" t="s">
        <v>164</v>
      </c>
      <c r="C1029" s="85">
        <v>812990</v>
      </c>
      <c r="D1029" s="85" t="s">
        <v>164</v>
      </c>
    </row>
    <row r="1030" spans="1:4">
      <c r="A1030" s="85">
        <v>813110</v>
      </c>
      <c r="B1030" s="85" t="s">
        <v>1185</v>
      </c>
      <c r="C1030" s="85">
        <v>813110</v>
      </c>
      <c r="D1030" s="85" t="s">
        <v>1185</v>
      </c>
    </row>
    <row r="1031" spans="1:4">
      <c r="A1031" s="85">
        <v>813211</v>
      </c>
      <c r="B1031" s="85" t="s">
        <v>1186</v>
      </c>
      <c r="C1031" s="85">
        <v>813211</v>
      </c>
      <c r="D1031" s="85" t="s">
        <v>1186</v>
      </c>
    </row>
    <row r="1032" spans="1:4">
      <c r="A1032" s="85">
        <v>813212</v>
      </c>
      <c r="B1032" s="85" t="s">
        <v>1187</v>
      </c>
      <c r="C1032" s="85">
        <v>813212</v>
      </c>
      <c r="D1032" s="85" t="s">
        <v>1187</v>
      </c>
    </row>
    <row r="1033" spans="1:4">
      <c r="A1033" s="85">
        <v>813219</v>
      </c>
      <c r="B1033" s="85" t="s">
        <v>1188</v>
      </c>
      <c r="C1033" s="85">
        <v>813219</v>
      </c>
      <c r="D1033" s="85" t="s">
        <v>1188</v>
      </c>
    </row>
    <row r="1034" spans="1:4">
      <c r="A1034" s="85">
        <v>813311</v>
      </c>
      <c r="B1034" s="85" t="s">
        <v>1189</v>
      </c>
      <c r="C1034" s="85">
        <v>813311</v>
      </c>
      <c r="D1034" s="85" t="s">
        <v>1189</v>
      </c>
    </row>
    <row r="1035" spans="1:4" ht="25.5">
      <c r="A1035" s="85">
        <v>813312</v>
      </c>
      <c r="B1035" s="85" t="s">
        <v>1190</v>
      </c>
      <c r="C1035" s="85">
        <v>813312</v>
      </c>
      <c r="D1035" s="85" t="s">
        <v>1190</v>
      </c>
    </row>
    <row r="1036" spans="1:4">
      <c r="A1036" s="85">
        <v>813319</v>
      </c>
      <c r="B1036" s="85" t="s">
        <v>1191</v>
      </c>
      <c r="C1036" s="85">
        <v>813319</v>
      </c>
      <c r="D1036" s="85" t="s">
        <v>1191</v>
      </c>
    </row>
    <row r="1037" spans="1:4">
      <c r="A1037" s="85">
        <v>813410</v>
      </c>
      <c r="B1037" s="85" t="s">
        <v>1192</v>
      </c>
      <c r="C1037" s="85">
        <v>813410</v>
      </c>
      <c r="D1037" s="85" t="s">
        <v>1192</v>
      </c>
    </row>
    <row r="1038" spans="1:4">
      <c r="A1038" s="85">
        <v>813910</v>
      </c>
      <c r="B1038" s="85" t="s">
        <v>1193</v>
      </c>
      <c r="C1038" s="85">
        <v>813910</v>
      </c>
      <c r="D1038" s="85" t="s">
        <v>1193</v>
      </c>
    </row>
    <row r="1039" spans="1:4">
      <c r="A1039" s="85">
        <v>813920</v>
      </c>
      <c r="B1039" s="85" t="s">
        <v>1194</v>
      </c>
      <c r="C1039" s="85">
        <v>813920</v>
      </c>
      <c r="D1039" s="85" t="s">
        <v>1194</v>
      </c>
    </row>
    <row r="1040" spans="1:4" ht="25.5">
      <c r="A1040" s="85">
        <v>813930</v>
      </c>
      <c r="B1040" s="85" t="s">
        <v>1195</v>
      </c>
      <c r="C1040" s="85">
        <v>813930</v>
      </c>
      <c r="D1040" s="85" t="s">
        <v>1195</v>
      </c>
    </row>
    <row r="1041" spans="1:8">
      <c r="A1041" s="85">
        <v>813940</v>
      </c>
      <c r="B1041" s="85" t="s">
        <v>1196</v>
      </c>
      <c r="C1041" s="85">
        <v>813940</v>
      </c>
      <c r="D1041" s="85" t="s">
        <v>1196</v>
      </c>
    </row>
    <row r="1042" spans="1:8" ht="38.25">
      <c r="A1042" s="85">
        <v>813990</v>
      </c>
      <c r="B1042" s="85" t="s">
        <v>1197</v>
      </c>
      <c r="C1042" s="85">
        <v>813990</v>
      </c>
      <c r="D1042" s="85" t="s">
        <v>1197</v>
      </c>
    </row>
    <row r="1043" spans="1:8">
      <c r="A1043" s="85">
        <v>814110</v>
      </c>
      <c r="B1043" s="85" t="s">
        <v>1198</v>
      </c>
      <c r="C1043" s="85">
        <v>814110</v>
      </c>
      <c r="D1043" s="85" t="s">
        <v>1198</v>
      </c>
    </row>
    <row r="1044" spans="1:8">
      <c r="A1044" s="85">
        <v>921110</v>
      </c>
      <c r="B1044" s="85" t="s">
        <v>1199</v>
      </c>
      <c r="C1044" s="85">
        <v>921110</v>
      </c>
      <c r="D1044" s="85" t="s">
        <v>1199</v>
      </c>
    </row>
    <row r="1045" spans="1:8">
      <c r="A1045" s="85">
        <v>921120</v>
      </c>
      <c r="B1045" s="85" t="s">
        <v>1200</v>
      </c>
      <c r="C1045" s="85">
        <v>921120</v>
      </c>
      <c r="D1045" s="85" t="s">
        <v>1200</v>
      </c>
    </row>
    <row r="1046" spans="1:8">
      <c r="A1046" s="85">
        <v>921130</v>
      </c>
      <c r="B1046" s="85" t="s">
        <v>1201</v>
      </c>
      <c r="C1046" s="85">
        <v>921130</v>
      </c>
      <c r="D1046" s="85" t="s">
        <v>1201</v>
      </c>
    </row>
    <row r="1047" spans="1:8" ht="25.5">
      <c r="A1047" s="85">
        <v>921140</v>
      </c>
      <c r="B1047" s="85" t="s">
        <v>1202</v>
      </c>
      <c r="C1047" s="85">
        <v>921140</v>
      </c>
      <c r="D1047" s="85" t="s">
        <v>1202</v>
      </c>
    </row>
    <row r="1048" spans="1:8" ht="25.5">
      <c r="A1048" s="85">
        <v>921150</v>
      </c>
      <c r="B1048" s="85" t="s">
        <v>1203</v>
      </c>
      <c r="C1048" s="85">
        <v>921150</v>
      </c>
      <c r="D1048" s="85" t="s">
        <v>1203</v>
      </c>
    </row>
    <row r="1049" spans="1:8">
      <c r="A1049" s="85">
        <v>921190</v>
      </c>
      <c r="B1049" s="85" t="s">
        <v>1204</v>
      </c>
      <c r="C1049" s="85">
        <v>921190</v>
      </c>
      <c r="D1049" s="85" t="s">
        <v>1204</v>
      </c>
    </row>
    <row r="1050" spans="1:8">
      <c r="A1050" s="85">
        <v>922110</v>
      </c>
      <c r="B1050" s="85" t="s">
        <v>1205</v>
      </c>
      <c r="C1050" s="85">
        <v>922110</v>
      </c>
      <c r="D1050" s="85" t="s">
        <v>1205</v>
      </c>
    </row>
    <row r="1051" spans="1:8">
      <c r="A1051" s="85">
        <v>922120</v>
      </c>
      <c r="B1051" s="85" t="s">
        <v>1206</v>
      </c>
      <c r="C1051" s="85">
        <v>922120</v>
      </c>
      <c r="D1051" s="85" t="s">
        <v>1206</v>
      </c>
      <c r="H1051" t="s">
        <v>391</v>
      </c>
    </row>
    <row r="1052" spans="1:8">
      <c r="A1052" s="85">
        <v>922130</v>
      </c>
      <c r="B1052" s="85" t="s">
        <v>1207</v>
      </c>
      <c r="C1052" s="85">
        <v>922130</v>
      </c>
      <c r="D1052" s="85" t="s">
        <v>1207</v>
      </c>
    </row>
    <row r="1053" spans="1:8">
      <c r="A1053" s="85">
        <v>922140</v>
      </c>
      <c r="B1053" s="85" t="s">
        <v>1208</v>
      </c>
      <c r="C1053" s="85">
        <v>922140</v>
      </c>
      <c r="D1053" s="85" t="s">
        <v>1208</v>
      </c>
    </row>
    <row r="1054" spans="1:8">
      <c r="A1054" s="85">
        <v>922150</v>
      </c>
      <c r="B1054" s="85" t="s">
        <v>1209</v>
      </c>
      <c r="C1054" s="85">
        <v>922150</v>
      </c>
      <c r="D1054" s="85" t="s">
        <v>1209</v>
      </c>
    </row>
    <row r="1055" spans="1:8">
      <c r="A1055" s="85">
        <v>922160</v>
      </c>
      <c r="B1055" s="85" t="s">
        <v>1210</v>
      </c>
      <c r="C1055" s="85">
        <v>922160</v>
      </c>
      <c r="D1055" s="85" t="s">
        <v>1210</v>
      </c>
    </row>
    <row r="1056" spans="1:8" ht="25.5">
      <c r="A1056" s="85">
        <v>922190</v>
      </c>
      <c r="B1056" s="85" t="s">
        <v>1211</v>
      </c>
      <c r="C1056" s="85">
        <v>922190</v>
      </c>
      <c r="D1056" s="85" t="s">
        <v>1211</v>
      </c>
    </row>
    <row r="1057" spans="1:6">
      <c r="A1057" s="85">
        <v>923110</v>
      </c>
      <c r="B1057" s="85" t="s">
        <v>1212</v>
      </c>
      <c r="C1057" s="85">
        <v>923110</v>
      </c>
      <c r="D1057" s="85" t="s">
        <v>1212</v>
      </c>
    </row>
    <row r="1058" spans="1:6" ht="25.5">
      <c r="A1058" s="85">
        <v>923120</v>
      </c>
      <c r="B1058" s="85" t="s">
        <v>1213</v>
      </c>
      <c r="C1058" s="85">
        <v>923120</v>
      </c>
      <c r="D1058" s="85" t="s">
        <v>1213</v>
      </c>
    </row>
    <row r="1059" spans="1:6" ht="38.25">
      <c r="A1059" s="85">
        <v>923130</v>
      </c>
      <c r="B1059" s="85" t="s">
        <v>1214</v>
      </c>
      <c r="C1059" s="85">
        <v>923130</v>
      </c>
      <c r="D1059" s="85" t="s">
        <v>1214</v>
      </c>
    </row>
    <row r="1060" spans="1:6">
      <c r="A1060" s="85">
        <v>923140</v>
      </c>
      <c r="B1060" s="85" t="s">
        <v>1215</v>
      </c>
      <c r="C1060" s="85">
        <v>923140</v>
      </c>
      <c r="D1060" s="85" t="s">
        <v>1215</v>
      </c>
    </row>
    <row r="1061" spans="1:6" ht="38.25">
      <c r="A1061" s="85">
        <v>924110</v>
      </c>
      <c r="B1061" s="85" t="s">
        <v>1216</v>
      </c>
      <c r="C1061" s="85">
        <v>924110</v>
      </c>
      <c r="D1061" s="85" t="s">
        <v>1216</v>
      </c>
    </row>
    <row r="1062" spans="1:6">
      <c r="A1062" s="85">
        <v>924120</v>
      </c>
      <c r="B1062" s="85" t="s">
        <v>1217</v>
      </c>
      <c r="C1062" s="85">
        <v>924120</v>
      </c>
      <c r="D1062" s="85" t="s">
        <v>1217</v>
      </c>
    </row>
    <row r="1063" spans="1:6">
      <c r="A1063" s="85">
        <v>925110</v>
      </c>
      <c r="B1063" s="85" t="s">
        <v>1218</v>
      </c>
      <c r="C1063" s="85">
        <v>925110</v>
      </c>
      <c r="D1063" s="85" t="s">
        <v>1218</v>
      </c>
    </row>
    <row r="1064" spans="1:6" ht="25.5">
      <c r="A1064" s="85">
        <v>925120</v>
      </c>
      <c r="B1064" s="85" t="s">
        <v>1219</v>
      </c>
      <c r="C1064" s="85">
        <v>925120</v>
      </c>
      <c r="D1064" s="85" t="s">
        <v>1219</v>
      </c>
      <c r="F1064" t="s">
        <v>391</v>
      </c>
    </row>
    <row r="1065" spans="1:6" ht="25.5">
      <c r="A1065" s="85">
        <v>926110</v>
      </c>
      <c r="B1065" s="85" t="s">
        <v>1220</v>
      </c>
      <c r="C1065" s="85">
        <v>926110</v>
      </c>
      <c r="D1065" s="85" t="s">
        <v>1220</v>
      </c>
    </row>
    <row r="1066" spans="1:6" ht="25.5">
      <c r="A1066" s="85">
        <v>926120</v>
      </c>
      <c r="B1066" s="85" t="s">
        <v>1221</v>
      </c>
      <c r="C1066" s="85">
        <v>926120</v>
      </c>
      <c r="D1066" s="85" t="s">
        <v>1221</v>
      </c>
    </row>
    <row r="1067" spans="1:6" ht="38.25">
      <c r="A1067" s="85">
        <v>926130</v>
      </c>
      <c r="B1067" s="85" t="s">
        <v>1222</v>
      </c>
      <c r="C1067" s="85">
        <v>926130</v>
      </c>
      <c r="D1067" s="85" t="s">
        <v>1222</v>
      </c>
    </row>
    <row r="1068" spans="1:6" ht="25.5">
      <c r="A1068" s="85">
        <v>926140</v>
      </c>
      <c r="B1068" s="85" t="s">
        <v>1223</v>
      </c>
      <c r="C1068" s="85">
        <v>926140</v>
      </c>
      <c r="D1068" s="85" t="s">
        <v>1223</v>
      </c>
    </row>
    <row r="1069" spans="1:6" ht="25.5">
      <c r="A1069" s="85">
        <v>926150</v>
      </c>
      <c r="B1069" s="85" t="s">
        <v>1224</v>
      </c>
      <c r="C1069" s="85">
        <v>926150</v>
      </c>
      <c r="D1069" s="85" t="s">
        <v>1224</v>
      </c>
    </row>
    <row r="1070" spans="1:6">
      <c r="A1070" s="85">
        <v>927110</v>
      </c>
      <c r="B1070" s="85" t="s">
        <v>1225</v>
      </c>
      <c r="C1070" s="85">
        <v>927110</v>
      </c>
      <c r="D1070" s="85" t="s">
        <v>1225</v>
      </c>
    </row>
    <row r="1071" spans="1:6">
      <c r="A1071" s="85">
        <v>928110</v>
      </c>
      <c r="B1071" s="85" t="s">
        <v>1226</v>
      </c>
      <c r="C1071" s="85">
        <v>928110</v>
      </c>
      <c r="D1071" s="85" t="s">
        <v>1226</v>
      </c>
    </row>
    <row r="1072" spans="1:6">
      <c r="A1072" s="85">
        <v>928120</v>
      </c>
      <c r="B1072" s="85" t="s">
        <v>1227</v>
      </c>
      <c r="C1072" s="85">
        <v>928120</v>
      </c>
      <c r="D1072" s="85" t="s">
        <v>1227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B68A-58D1-414C-82B9-0DF83138D562}">
  <dimension ref="A1:AS238"/>
  <sheetViews>
    <sheetView workbookViewId="0"/>
  </sheetViews>
  <sheetFormatPr defaultRowHeight="15"/>
  <cols>
    <col min="1" max="1" width="11.5703125" style="299" bestFit="1" customWidth="1"/>
    <col min="2" max="2" width="11" style="300" bestFit="1" customWidth="1"/>
    <col min="3" max="3" width="9.42578125" style="300" bestFit="1" customWidth="1"/>
    <col min="4" max="4" width="13.28515625" bestFit="1" customWidth="1"/>
    <col min="5" max="5" width="6.42578125" style="301" bestFit="1" customWidth="1"/>
    <col min="6" max="6" width="13.28515625" style="302" bestFit="1" customWidth="1"/>
    <col min="7" max="7" width="8.42578125" style="303" bestFit="1" customWidth="1"/>
    <col min="8" max="8" width="8.42578125" style="303" customWidth="1"/>
    <col min="9" max="9" width="10.7109375" style="304" bestFit="1" customWidth="1"/>
    <col min="10" max="10" width="9" style="301" bestFit="1" customWidth="1"/>
    <col min="11" max="11" width="10.7109375" style="304" bestFit="1" customWidth="1"/>
    <col min="12" max="12" width="9" style="301" bestFit="1" customWidth="1"/>
    <col min="13" max="13" width="8.85546875" style="301" bestFit="1" customWidth="1"/>
    <col min="14" max="14" width="7.42578125" style="305" bestFit="1" customWidth="1"/>
    <col min="15" max="15" width="9.28515625" style="303" bestFit="1" customWidth="1"/>
    <col min="16" max="16" width="11.5703125" style="302" bestFit="1" customWidth="1"/>
    <col min="17" max="17" width="66.140625" bestFit="1" customWidth="1"/>
    <col min="18" max="18" width="33.85546875" bestFit="1" customWidth="1"/>
    <col min="19" max="19" width="32.42578125" style="301" bestFit="1" customWidth="1"/>
    <col min="20" max="20" width="7" style="301" bestFit="1" customWidth="1"/>
    <col min="21" max="21" width="9.85546875" style="303" bestFit="1" customWidth="1"/>
    <col min="22" max="22" width="9.85546875" style="303" customWidth="1"/>
    <col min="23" max="23" width="7.7109375" style="303" bestFit="1" customWidth="1"/>
    <col min="24" max="24" width="6.7109375" style="306" customWidth="1"/>
    <col min="25" max="25" width="8.140625" style="306" bestFit="1" customWidth="1"/>
    <col min="26" max="26" width="8" style="303" bestFit="1" customWidth="1"/>
    <col min="27" max="27" width="12.5703125" style="303" customWidth="1"/>
    <col min="28" max="28" width="8.42578125" style="304" bestFit="1" customWidth="1"/>
    <col min="29" max="29" width="8.42578125" style="304" customWidth="1"/>
    <col min="30" max="30" width="37.140625" style="302" bestFit="1" customWidth="1"/>
    <col min="31" max="31" width="9" style="301" bestFit="1" customWidth="1"/>
    <col min="32" max="32" width="14" bestFit="1" customWidth="1"/>
    <col min="33" max="33" width="10.140625" bestFit="1" customWidth="1"/>
    <col min="34" max="34" width="8.85546875" bestFit="1" customWidth="1"/>
    <col min="36" max="36" width="9.28515625" bestFit="1" customWidth="1"/>
    <col min="37" max="37" width="11.5703125" bestFit="1" customWidth="1"/>
    <col min="38" max="38" width="15.5703125" bestFit="1" customWidth="1"/>
    <col min="41" max="41" width="11.85546875" customWidth="1"/>
    <col min="44" max="44" width="16.42578125" customWidth="1"/>
    <col min="45" max="45" width="13.85546875" customWidth="1"/>
    <col min="47" max="47" width="14.28515625" bestFit="1" customWidth="1"/>
  </cols>
  <sheetData>
    <row r="1" spans="1:45" ht="15.75" thickBot="1">
      <c r="Y1" t="s">
        <v>1654</v>
      </c>
      <c r="Z1" s="307" t="s">
        <v>1655</v>
      </c>
      <c r="AA1" s="307" t="s">
        <v>1656</v>
      </c>
      <c r="AB1" s="307" t="s">
        <v>1657</v>
      </c>
      <c r="AC1" s="307"/>
      <c r="AD1" s="307" t="s">
        <v>1658</v>
      </c>
      <c r="AE1" s="307" t="s">
        <v>1659</v>
      </c>
      <c r="AF1" s="307" t="s">
        <v>1660</v>
      </c>
      <c r="AG1" s="307" t="s">
        <v>1661</v>
      </c>
      <c r="AH1" s="307" t="s">
        <v>1662</v>
      </c>
      <c r="AI1" s="307"/>
      <c r="AJ1" s="307" t="s">
        <v>1663</v>
      </c>
      <c r="AK1" s="307" t="s">
        <v>1664</v>
      </c>
    </row>
    <row r="2" spans="1:45">
      <c r="P2" s="308"/>
      <c r="Y2" s="309">
        <v>1</v>
      </c>
      <c r="Z2" s="310">
        <f>COUNTIF(AJ5:AJ1237,"="&amp;Y2)</f>
        <v>233</v>
      </c>
      <c r="AA2" s="310">
        <f>SUMIF(AJ5:AJ1237,"="&amp;Y2,F5:F1237)</f>
        <v>279796141.63999999</v>
      </c>
      <c r="AB2" s="311">
        <f>SUMPRODUCT(--(AJ5:AJ1237=Y2),$F$5:$F$1237, G5:G1237)/SUMIF(AJ5:AJ1237,"="&amp;Y2,$F$5:$F$1237)</f>
        <v>2.0448927613553778</v>
      </c>
      <c r="AC2" s="311"/>
      <c r="AD2" s="312">
        <f>SUMPRODUCT(--($AJ$5:$AJ$1237=$Y$2),$F$5:$F$1237,I5:I1237)/SUMPRODUCT(--($AJ$5:$AJ$1237=$Y$2),$F$5:$F$1237)</f>
        <v>44639.717118236782</v>
      </c>
      <c r="AE2" s="313">
        <f>SUMPRODUCT(--($AJ$5:$AJ$1237=$Y$2),$F$5:$F$1237, J5:J1237)/SUMPRODUCT(--($AJ$5:$AJ$1237=$Y$2),$F$5:$F$1237)</f>
        <v>9.969679742971886</v>
      </c>
      <c r="AF2" s="314">
        <f>SUMPRODUCT(--($AJ$5:$AJ$1237=$Y$2),$F$5:$F$1237, K5:K1237)/SUMPRODUCT(--($AJ$5:$AJ$1237=$Y$2),$F$5:$F$1237)</f>
        <v>53385.955993969335</v>
      </c>
      <c r="AG2" s="313">
        <f>SUMPRODUCT(--($AJ$5:$AJ$1237=$Y$2),$F$5:$F$1237, L5:L1237)/SUMPRODUCT(--($AJ$5:$AJ$1237=$Y$2),$F$5:$F$1237)</f>
        <v>286.94470628687253</v>
      </c>
      <c r="AH2" s="313">
        <f>SUMPRODUCT(--($AJ$5:$AJ$1237=$Y$2),$F$5:$F$1237,M5:M1237)/SUMPRODUCT(--($AJ$5:$AJ$1237=$Y$2),$F$5:$F$1237)</f>
        <v>277.47243660089526</v>
      </c>
      <c r="AI2" s="315"/>
      <c r="AJ2" s="315">
        <v>3.3</v>
      </c>
      <c r="AK2" s="310">
        <f>AB2%*AA2*AJ2</f>
        <v>18881052.454928398</v>
      </c>
      <c r="AL2" t="s">
        <v>1665</v>
      </c>
    </row>
    <row r="4" spans="1:45" ht="15.75" thickBot="1">
      <c r="A4" s="307" t="s">
        <v>1666</v>
      </c>
      <c r="B4" s="307" t="s">
        <v>2</v>
      </c>
      <c r="C4" s="307" t="s">
        <v>1667</v>
      </c>
      <c r="D4" s="307" t="s">
        <v>1668</v>
      </c>
      <c r="E4" s="307" t="s">
        <v>1669</v>
      </c>
      <c r="F4" s="307" t="s">
        <v>1656</v>
      </c>
      <c r="G4" s="307" t="s">
        <v>1657</v>
      </c>
      <c r="H4" s="307"/>
      <c r="I4" s="316" t="s">
        <v>1658</v>
      </c>
      <c r="J4" s="307" t="s">
        <v>1659</v>
      </c>
      <c r="K4" s="316" t="s">
        <v>1660</v>
      </c>
      <c r="L4" s="307" t="s">
        <v>1661</v>
      </c>
      <c r="M4" s="307" t="s">
        <v>1662</v>
      </c>
      <c r="N4" s="307" t="s">
        <v>1670</v>
      </c>
      <c r="O4" s="307" t="s">
        <v>1663</v>
      </c>
      <c r="P4" s="307" t="s">
        <v>1664</v>
      </c>
      <c r="Q4" s="307" t="s">
        <v>1671</v>
      </c>
      <c r="R4" s="307" t="s">
        <v>1672</v>
      </c>
      <c r="S4" s="307" t="s">
        <v>1673</v>
      </c>
      <c r="T4" s="307" t="s">
        <v>1674</v>
      </c>
      <c r="U4" s="307" t="s">
        <v>1675</v>
      </c>
      <c r="V4" s="307"/>
      <c r="W4" s="307" t="s">
        <v>1676</v>
      </c>
      <c r="X4" s="307" t="s">
        <v>1677</v>
      </c>
      <c r="Y4" s="307" t="s">
        <v>1678</v>
      </c>
      <c r="Z4" s="307" t="s">
        <v>1679</v>
      </c>
      <c r="AA4" s="307" t="s">
        <v>1680</v>
      </c>
      <c r="AB4" s="307" t="s">
        <v>1681</v>
      </c>
      <c r="AC4" s="307"/>
      <c r="AD4" s="307" t="s">
        <v>1682</v>
      </c>
      <c r="AE4" s="307" t="s">
        <v>1683</v>
      </c>
      <c r="AF4" s="307" t="s">
        <v>1684</v>
      </c>
      <c r="AG4" s="317" t="s">
        <v>1685</v>
      </c>
      <c r="AH4" s="317" t="s">
        <v>1686</v>
      </c>
      <c r="AI4" s="318" t="s">
        <v>1687</v>
      </c>
      <c r="AJ4" s="319" t="s">
        <v>1688</v>
      </c>
      <c r="AK4" s="320"/>
      <c r="AL4" s="321"/>
      <c r="AM4" s="321"/>
      <c r="AN4" s="321"/>
      <c r="AO4" s="321"/>
      <c r="AP4" s="321"/>
      <c r="AQ4" s="321"/>
      <c r="AR4" s="320"/>
      <c r="AS4" s="320"/>
    </row>
    <row r="5" spans="1:45">
      <c r="A5" s="299">
        <v>315553.11</v>
      </c>
      <c r="B5" s="300">
        <v>6050028209</v>
      </c>
      <c r="C5" s="300" t="s">
        <v>1689</v>
      </c>
      <c r="D5" s="300" t="s">
        <v>1690</v>
      </c>
      <c r="E5" s="300">
        <v>402</v>
      </c>
      <c r="F5" s="322">
        <v>3258532.15</v>
      </c>
      <c r="G5" s="323">
        <v>3.4049999999999998</v>
      </c>
      <c r="H5" s="324">
        <f>G5/100</f>
        <v>3.4049999999999997E-2</v>
      </c>
      <c r="I5" s="325">
        <v>44064</v>
      </c>
      <c r="J5" s="300">
        <v>29</v>
      </c>
      <c r="K5" s="325">
        <v>53523</v>
      </c>
      <c r="L5" s="300">
        <v>311</v>
      </c>
      <c r="M5" s="300">
        <v>282</v>
      </c>
      <c r="N5" s="326">
        <v>44916</v>
      </c>
      <c r="O5" s="323">
        <v>3.3</v>
      </c>
      <c r="P5" s="322">
        <v>366144.96503474994</v>
      </c>
      <c r="Q5" s="300" t="s">
        <v>1321</v>
      </c>
      <c r="R5" s="300" t="s">
        <v>1691</v>
      </c>
      <c r="S5" s="300" t="s">
        <v>1692</v>
      </c>
      <c r="T5" s="300">
        <v>811192</v>
      </c>
      <c r="U5" s="323">
        <v>2.75</v>
      </c>
      <c r="V5" s="327">
        <f>U5/100</f>
        <v>2.75E-2</v>
      </c>
      <c r="W5" s="323">
        <v>-2.35</v>
      </c>
      <c r="X5" s="300" t="s">
        <v>26</v>
      </c>
      <c r="Y5" s="300" t="s">
        <v>1248</v>
      </c>
      <c r="Z5" s="300" t="s">
        <v>1251</v>
      </c>
      <c r="AA5" s="300" t="s">
        <v>1251</v>
      </c>
      <c r="AB5" s="300" t="s">
        <v>1556</v>
      </c>
      <c r="AC5" s="300"/>
      <c r="AD5" s="328" t="s">
        <v>1557</v>
      </c>
      <c r="AE5" s="328">
        <v>402162</v>
      </c>
      <c r="AF5" s="328" t="s">
        <v>1251</v>
      </c>
      <c r="AG5" s="29">
        <v>81</v>
      </c>
      <c r="AH5" s="329" t="s">
        <v>52</v>
      </c>
      <c r="AI5" s="330">
        <v>1</v>
      </c>
      <c r="AJ5" s="309">
        <v>1</v>
      </c>
      <c r="AK5" s="302"/>
      <c r="AL5" s="303"/>
      <c r="AM5" s="305"/>
      <c r="AN5" s="301"/>
      <c r="AO5" s="305"/>
      <c r="AP5" s="301"/>
      <c r="AQ5" s="301"/>
      <c r="AR5" s="331"/>
    </row>
    <row r="6" spans="1:45">
      <c r="A6" s="299">
        <v>319663.11</v>
      </c>
      <c r="B6" s="300">
        <v>4019269101</v>
      </c>
      <c r="C6" s="300" t="s">
        <v>1689</v>
      </c>
      <c r="D6" s="300" t="s">
        <v>1690</v>
      </c>
      <c r="E6" s="300">
        <v>402</v>
      </c>
      <c r="F6" s="322">
        <v>1902000</v>
      </c>
      <c r="G6" s="323">
        <v>0.30499999999999999</v>
      </c>
      <c r="H6" s="324">
        <f t="shared" ref="H6:H69" si="0">G6/100</f>
        <v>3.0499999999999998E-3</v>
      </c>
      <c r="I6" s="325">
        <v>44707</v>
      </c>
      <c r="J6" s="300">
        <v>8</v>
      </c>
      <c r="K6" s="325">
        <v>54132</v>
      </c>
      <c r="L6" s="300">
        <v>310</v>
      </c>
      <c r="M6" s="300">
        <v>302</v>
      </c>
      <c r="N6" s="326">
        <v>44900</v>
      </c>
      <c r="O6" s="323">
        <v>3.3</v>
      </c>
      <c r="P6" s="322">
        <v>19143.629999999997</v>
      </c>
      <c r="Q6" s="300" t="s">
        <v>1322</v>
      </c>
      <c r="R6" s="300" t="s">
        <v>1693</v>
      </c>
      <c r="S6" s="300" t="s">
        <v>1694</v>
      </c>
      <c r="T6" s="300">
        <v>312120</v>
      </c>
      <c r="U6" s="323">
        <v>1.5</v>
      </c>
      <c r="V6" s="327">
        <f t="shared" ref="V6:V69" si="1">U6/100</f>
        <v>1.4999999999999999E-2</v>
      </c>
      <c r="W6" s="323">
        <v>-0.5</v>
      </c>
      <c r="X6" s="300" t="s">
        <v>26</v>
      </c>
      <c r="Y6" s="300" t="s">
        <v>1248</v>
      </c>
      <c r="Z6" s="300" t="s">
        <v>1251</v>
      </c>
      <c r="AA6" s="300" t="s">
        <v>1251</v>
      </c>
      <c r="AB6" s="300" t="s">
        <v>1556</v>
      </c>
      <c r="AC6" s="300"/>
      <c r="AD6" s="328" t="s">
        <v>1558</v>
      </c>
      <c r="AE6" s="328">
        <v>400136</v>
      </c>
      <c r="AF6" s="328" t="s">
        <v>1251</v>
      </c>
      <c r="AG6" s="29">
        <v>31</v>
      </c>
      <c r="AH6" s="329" t="s">
        <v>82</v>
      </c>
      <c r="AI6" s="330">
        <v>1</v>
      </c>
      <c r="AJ6" s="309">
        <v>1</v>
      </c>
      <c r="AK6" s="302"/>
      <c r="AL6" s="303"/>
      <c r="AM6" s="305"/>
      <c r="AN6" s="301"/>
      <c r="AO6" s="305"/>
      <c r="AP6" s="301"/>
      <c r="AQ6" s="301"/>
      <c r="AR6" s="332"/>
    </row>
    <row r="7" spans="1:45">
      <c r="A7" s="299">
        <v>319729.11</v>
      </c>
      <c r="B7" s="300">
        <v>2976569100</v>
      </c>
      <c r="C7" s="300" t="s">
        <v>1689</v>
      </c>
      <c r="D7" s="300" t="s">
        <v>1690</v>
      </c>
      <c r="E7" s="300">
        <v>402</v>
      </c>
      <c r="F7" s="322">
        <v>858627.6</v>
      </c>
      <c r="G7" s="323">
        <v>5.5E-2</v>
      </c>
      <c r="H7" s="324">
        <f t="shared" si="0"/>
        <v>5.5000000000000003E-4</v>
      </c>
      <c r="I7" s="325">
        <v>44587</v>
      </c>
      <c r="J7" s="300">
        <v>12</v>
      </c>
      <c r="K7" s="325">
        <v>53950</v>
      </c>
      <c r="L7" s="300">
        <v>308</v>
      </c>
      <c r="M7" s="300">
        <v>296</v>
      </c>
      <c r="N7" s="326">
        <v>44900</v>
      </c>
      <c r="O7" s="323">
        <v>3.3</v>
      </c>
      <c r="P7" s="322">
        <v>1558.4090939999999</v>
      </c>
      <c r="Q7" s="300" t="s">
        <v>1323</v>
      </c>
      <c r="R7" s="300" t="s">
        <v>1695</v>
      </c>
      <c r="S7" s="300" t="s">
        <v>1696</v>
      </c>
      <c r="T7" s="300">
        <v>541110</v>
      </c>
      <c r="U7" s="323">
        <v>1.25</v>
      </c>
      <c r="V7" s="327">
        <f t="shared" si="1"/>
        <v>1.2500000000000001E-2</v>
      </c>
      <c r="W7" s="323">
        <v>-0.5</v>
      </c>
      <c r="X7" s="300" t="s">
        <v>26</v>
      </c>
      <c r="Y7" s="300" t="s">
        <v>1248</v>
      </c>
      <c r="Z7" s="300" t="s">
        <v>1251</v>
      </c>
      <c r="AA7" s="300" t="s">
        <v>1251</v>
      </c>
      <c r="AB7" s="300" t="s">
        <v>1556</v>
      </c>
      <c r="AC7" s="300"/>
      <c r="AD7" s="328" t="s">
        <v>1559</v>
      </c>
      <c r="AE7" s="328">
        <v>400132</v>
      </c>
      <c r="AF7" s="328" t="s">
        <v>1251</v>
      </c>
      <c r="AG7" s="29">
        <v>54</v>
      </c>
      <c r="AH7" s="329" t="s">
        <v>52</v>
      </c>
      <c r="AI7" s="330">
        <v>1</v>
      </c>
      <c r="AJ7" s="309">
        <v>1</v>
      </c>
      <c r="AK7" s="302"/>
      <c r="AL7" s="303"/>
      <c r="AM7" s="305"/>
      <c r="AN7" s="301"/>
      <c r="AO7" s="305"/>
      <c r="AP7" s="301"/>
      <c r="AQ7" s="301"/>
      <c r="AR7" s="332"/>
    </row>
    <row r="8" spans="1:45">
      <c r="A8" s="299">
        <v>319789.11</v>
      </c>
      <c r="B8" s="300">
        <v>3718729102</v>
      </c>
      <c r="C8" s="300" t="s">
        <v>1689</v>
      </c>
      <c r="D8" s="300" t="s">
        <v>1690</v>
      </c>
      <c r="E8" s="300">
        <v>402</v>
      </c>
      <c r="F8" s="322">
        <v>318670.42</v>
      </c>
      <c r="G8" s="323">
        <v>1.79</v>
      </c>
      <c r="H8" s="324">
        <f t="shared" si="0"/>
        <v>1.7899999999999999E-2</v>
      </c>
      <c r="I8" s="325">
        <v>44652</v>
      </c>
      <c r="J8" s="300">
        <v>9</v>
      </c>
      <c r="K8" s="325">
        <v>54011</v>
      </c>
      <c r="L8" s="300">
        <v>307</v>
      </c>
      <c r="M8" s="300">
        <v>298</v>
      </c>
      <c r="N8" s="326">
        <v>44902</v>
      </c>
      <c r="O8" s="323">
        <v>3.3</v>
      </c>
      <c r="P8" s="322">
        <v>18823.861709399996</v>
      </c>
      <c r="Q8" s="300" t="s">
        <v>1324</v>
      </c>
      <c r="R8" s="300" t="s">
        <v>1697</v>
      </c>
      <c r="S8" s="300" t="s">
        <v>1698</v>
      </c>
      <c r="T8" s="300">
        <v>621111</v>
      </c>
      <c r="U8" s="323">
        <v>2.75</v>
      </c>
      <c r="V8" s="327">
        <f t="shared" si="1"/>
        <v>2.75E-2</v>
      </c>
      <c r="W8" s="323">
        <v>-0.67500000000000004</v>
      </c>
      <c r="X8" s="300" t="s">
        <v>26</v>
      </c>
      <c r="Y8" s="300" t="s">
        <v>1248</v>
      </c>
      <c r="Z8" s="300" t="s">
        <v>1251</v>
      </c>
      <c r="AA8" s="300" t="s">
        <v>1251</v>
      </c>
      <c r="AB8" s="300" t="s">
        <v>1</v>
      </c>
      <c r="AC8" s="300"/>
      <c r="AD8" s="328" t="s">
        <v>1560</v>
      </c>
      <c r="AE8" s="328">
        <v>402165</v>
      </c>
      <c r="AF8" s="328" t="s">
        <v>1251</v>
      </c>
      <c r="AG8" s="29">
        <v>62</v>
      </c>
      <c r="AH8" s="329" t="s">
        <v>49</v>
      </c>
      <c r="AI8" s="330">
        <v>1</v>
      </c>
      <c r="AJ8" s="309">
        <v>1</v>
      </c>
      <c r="AK8" s="302"/>
      <c r="AL8" s="303"/>
      <c r="AM8" s="305"/>
      <c r="AN8" s="301"/>
      <c r="AO8" s="305"/>
      <c r="AP8" s="301"/>
      <c r="AQ8" s="301"/>
      <c r="AR8" s="332"/>
    </row>
    <row r="9" spans="1:45">
      <c r="A9" s="299">
        <v>319693.11</v>
      </c>
      <c r="B9" s="300">
        <v>4128449106</v>
      </c>
      <c r="C9" s="300" t="s">
        <v>1689</v>
      </c>
      <c r="D9" s="300" t="s">
        <v>1690</v>
      </c>
      <c r="E9" s="300">
        <v>402</v>
      </c>
      <c r="F9" s="322">
        <v>253553.36</v>
      </c>
      <c r="G9" s="323">
        <v>1.355</v>
      </c>
      <c r="H9" s="324">
        <f t="shared" si="0"/>
        <v>1.355E-2</v>
      </c>
      <c r="I9" s="325">
        <v>44742</v>
      </c>
      <c r="J9" s="300">
        <v>7</v>
      </c>
      <c r="K9" s="325">
        <v>54011</v>
      </c>
      <c r="L9" s="300">
        <v>305</v>
      </c>
      <c r="M9" s="300">
        <v>298</v>
      </c>
      <c r="N9" s="326">
        <v>44888</v>
      </c>
      <c r="O9" s="323">
        <v>3.3</v>
      </c>
      <c r="P9" s="322">
        <v>11337.638492399998</v>
      </c>
      <c r="Q9" s="300" t="s">
        <v>1325</v>
      </c>
      <c r="R9" s="300" t="s">
        <v>1699</v>
      </c>
      <c r="S9" s="300" t="s">
        <v>1700</v>
      </c>
      <c r="T9" s="300">
        <v>621310</v>
      </c>
      <c r="U9" s="323">
        <v>2</v>
      </c>
      <c r="V9" s="327">
        <f t="shared" si="1"/>
        <v>0.02</v>
      </c>
      <c r="W9" s="323">
        <v>-0.5</v>
      </c>
      <c r="X9" s="300" t="s">
        <v>26</v>
      </c>
      <c r="Y9" s="300" t="s">
        <v>1248</v>
      </c>
      <c r="Z9" s="300" t="s">
        <v>1251</v>
      </c>
      <c r="AA9" s="300" t="s">
        <v>1251</v>
      </c>
      <c r="AB9" s="300" t="s">
        <v>1556</v>
      </c>
      <c r="AC9" s="300"/>
      <c r="AD9" s="328" t="s">
        <v>1561</v>
      </c>
      <c r="AE9" s="328">
        <v>400144</v>
      </c>
      <c r="AF9" s="328" t="s">
        <v>1251</v>
      </c>
      <c r="AG9" s="29">
        <v>62</v>
      </c>
      <c r="AH9" s="329" t="s">
        <v>42</v>
      </c>
      <c r="AI9" s="330">
        <v>1</v>
      </c>
      <c r="AJ9" s="309">
        <v>1</v>
      </c>
      <c r="AK9" s="302"/>
      <c r="AL9" s="303"/>
      <c r="AM9" s="305"/>
      <c r="AN9" s="301"/>
      <c r="AO9" s="305"/>
      <c r="AP9" s="301"/>
      <c r="AQ9" s="301"/>
      <c r="AR9" s="332"/>
    </row>
    <row r="10" spans="1:45">
      <c r="A10" s="299">
        <v>319109.11</v>
      </c>
      <c r="B10" s="300">
        <v>1442439108</v>
      </c>
      <c r="C10" s="300" t="s">
        <v>1689</v>
      </c>
      <c r="D10" s="300" t="s">
        <v>1690</v>
      </c>
      <c r="E10" s="300">
        <v>402</v>
      </c>
      <c r="F10" s="322">
        <v>354113.18</v>
      </c>
      <c r="G10" s="323">
        <v>1.655</v>
      </c>
      <c r="H10" s="324">
        <f t="shared" si="0"/>
        <v>1.6549999999999999E-2</v>
      </c>
      <c r="I10" s="325">
        <v>44449</v>
      </c>
      <c r="J10" s="300">
        <v>16</v>
      </c>
      <c r="K10" s="325">
        <v>53738</v>
      </c>
      <c r="L10" s="300">
        <v>305</v>
      </c>
      <c r="M10" s="300">
        <v>289</v>
      </c>
      <c r="N10" s="326">
        <v>44896</v>
      </c>
      <c r="O10" s="323">
        <v>3.3</v>
      </c>
      <c r="P10" s="322">
        <v>19339.891325699999</v>
      </c>
      <c r="Q10" s="300" t="s">
        <v>1326</v>
      </c>
      <c r="R10" s="300" t="s">
        <v>1701</v>
      </c>
      <c r="S10" s="300" t="s">
        <v>1702</v>
      </c>
      <c r="T10" s="300">
        <v>531130</v>
      </c>
      <c r="U10" s="323">
        <v>2.5</v>
      </c>
      <c r="V10" s="327">
        <f t="shared" si="1"/>
        <v>2.5000000000000001E-2</v>
      </c>
      <c r="W10" s="323">
        <v>-0.3</v>
      </c>
      <c r="X10" s="300" t="s">
        <v>26</v>
      </c>
      <c r="Y10" s="300" t="s">
        <v>1248</v>
      </c>
      <c r="Z10" s="300" t="s">
        <v>1251</v>
      </c>
      <c r="AA10" s="300" t="s">
        <v>1251</v>
      </c>
      <c r="AB10" s="300" t="s">
        <v>1556</v>
      </c>
      <c r="AC10" s="300"/>
      <c r="AD10" s="328" t="s">
        <v>1562</v>
      </c>
      <c r="AE10" s="328">
        <v>388394</v>
      </c>
      <c r="AF10" s="328" t="s">
        <v>1251</v>
      </c>
      <c r="AG10" s="29">
        <v>53</v>
      </c>
      <c r="AH10" s="329" t="s">
        <v>172</v>
      </c>
      <c r="AI10" s="330">
        <v>1</v>
      </c>
      <c r="AJ10" s="309">
        <v>1</v>
      </c>
      <c r="AK10" s="302"/>
      <c r="AL10" s="303"/>
      <c r="AM10" s="305"/>
      <c r="AN10" s="301"/>
      <c r="AO10" s="305"/>
      <c r="AP10" s="301"/>
      <c r="AQ10" s="301"/>
      <c r="AR10" s="332"/>
    </row>
    <row r="11" spans="1:45">
      <c r="A11" s="299">
        <v>319028.11</v>
      </c>
      <c r="B11" s="300">
        <v>2603799107</v>
      </c>
      <c r="C11" s="300" t="s">
        <v>1689</v>
      </c>
      <c r="D11" s="300" t="s">
        <v>1690</v>
      </c>
      <c r="E11" s="300">
        <v>402</v>
      </c>
      <c r="F11" s="322">
        <v>3380969.64</v>
      </c>
      <c r="G11" s="323">
        <v>2.4049999999999998</v>
      </c>
      <c r="H11" s="324">
        <f t="shared" si="0"/>
        <v>2.4049999999999998E-2</v>
      </c>
      <c r="I11" s="325">
        <v>44537</v>
      </c>
      <c r="J11" s="300">
        <v>13</v>
      </c>
      <c r="K11" s="325">
        <v>53766</v>
      </c>
      <c r="L11" s="300">
        <v>303</v>
      </c>
      <c r="M11" s="300">
        <v>290</v>
      </c>
      <c r="N11" s="326">
        <v>44907</v>
      </c>
      <c r="O11" s="323">
        <v>3.3</v>
      </c>
      <c r="P11" s="322">
        <v>268330.65547859995</v>
      </c>
      <c r="Q11" s="300" t="s">
        <v>1327</v>
      </c>
      <c r="R11" s="300" t="s">
        <v>1703</v>
      </c>
      <c r="S11" s="300" t="s">
        <v>1704</v>
      </c>
      <c r="T11" s="300">
        <v>447110</v>
      </c>
      <c r="U11" s="323">
        <v>1.75</v>
      </c>
      <c r="V11" s="327">
        <f t="shared" si="1"/>
        <v>1.7500000000000002E-2</v>
      </c>
      <c r="W11" s="323">
        <v>-2.35</v>
      </c>
      <c r="X11" s="300" t="s">
        <v>26</v>
      </c>
      <c r="Y11" s="300" t="s">
        <v>1248</v>
      </c>
      <c r="Z11" s="300" t="s">
        <v>1251</v>
      </c>
      <c r="AA11" s="300" t="s">
        <v>1251</v>
      </c>
      <c r="AB11" s="300" t="s">
        <v>1556</v>
      </c>
      <c r="AC11" s="300"/>
      <c r="AD11" s="328" t="s">
        <v>1563</v>
      </c>
      <c r="AE11" s="328">
        <v>397505</v>
      </c>
      <c r="AF11" s="328" t="s">
        <v>1251</v>
      </c>
      <c r="AG11" s="29">
        <v>44</v>
      </c>
      <c r="AH11" s="329" t="s">
        <v>120</v>
      </c>
      <c r="AI11" s="330">
        <v>1</v>
      </c>
      <c r="AJ11" s="309">
        <v>1</v>
      </c>
      <c r="AK11" s="302"/>
      <c r="AL11" s="303"/>
      <c r="AM11" s="305"/>
      <c r="AN11" s="301"/>
      <c r="AO11" s="305"/>
      <c r="AP11" s="301"/>
      <c r="AQ11" s="301"/>
      <c r="AR11" s="332"/>
    </row>
    <row r="12" spans="1:45">
      <c r="A12" s="299">
        <v>316667.11</v>
      </c>
      <c r="B12" s="300">
        <v>1683159108</v>
      </c>
      <c r="C12" s="300" t="s">
        <v>1689</v>
      </c>
      <c r="D12" s="300" t="s">
        <v>1690</v>
      </c>
      <c r="E12" s="300">
        <v>402</v>
      </c>
      <c r="F12" s="322">
        <v>3683720.23</v>
      </c>
      <c r="G12" s="323">
        <v>2.4550000000000001</v>
      </c>
      <c r="H12" s="324">
        <f t="shared" si="0"/>
        <v>2.4550000000000002E-2</v>
      </c>
      <c r="I12" s="325">
        <v>44495</v>
      </c>
      <c r="J12" s="300">
        <v>15</v>
      </c>
      <c r="K12" s="325">
        <v>53707</v>
      </c>
      <c r="L12" s="300">
        <v>303</v>
      </c>
      <c r="M12" s="300">
        <v>288</v>
      </c>
      <c r="N12" s="326">
        <v>44906</v>
      </c>
      <c r="O12" s="323">
        <v>3.3</v>
      </c>
      <c r="P12" s="322">
        <v>298436.59443345002</v>
      </c>
      <c r="Q12" s="300" t="s">
        <v>1328</v>
      </c>
      <c r="R12" s="300" t="s">
        <v>1705</v>
      </c>
      <c r="S12" s="300" t="s">
        <v>1706</v>
      </c>
      <c r="T12" s="300">
        <v>721110</v>
      </c>
      <c r="U12" s="323">
        <v>1.25</v>
      </c>
      <c r="V12" s="327">
        <f t="shared" si="1"/>
        <v>1.2500000000000001E-2</v>
      </c>
      <c r="W12" s="323">
        <v>-2.35</v>
      </c>
      <c r="X12" s="300" t="s">
        <v>26</v>
      </c>
      <c r="Y12" s="300" t="s">
        <v>1248</v>
      </c>
      <c r="Z12" s="300" t="s">
        <v>1251</v>
      </c>
      <c r="AA12" s="300" t="s">
        <v>1251</v>
      </c>
      <c r="AB12" s="300" t="s">
        <v>1556</v>
      </c>
      <c r="AC12" s="300"/>
      <c r="AD12" s="328" t="s">
        <v>1564</v>
      </c>
      <c r="AE12" s="328">
        <v>402158</v>
      </c>
      <c r="AF12" s="328" t="s">
        <v>1251</v>
      </c>
      <c r="AG12" s="29">
        <v>72</v>
      </c>
      <c r="AH12" s="329" t="s">
        <v>52</v>
      </c>
      <c r="AI12" s="330">
        <v>1</v>
      </c>
      <c r="AJ12" s="309">
        <v>1</v>
      </c>
      <c r="AK12" s="302"/>
      <c r="AL12" s="303"/>
      <c r="AM12" s="305"/>
      <c r="AN12" s="301"/>
      <c r="AO12" s="305"/>
      <c r="AP12" s="301"/>
      <c r="AQ12" s="301"/>
      <c r="AR12" s="332"/>
    </row>
    <row r="13" spans="1:45">
      <c r="A13" s="299">
        <v>319595.11</v>
      </c>
      <c r="B13" s="300">
        <v>4324049101</v>
      </c>
      <c r="C13" s="300" t="s">
        <v>1689</v>
      </c>
      <c r="D13" s="300" t="s">
        <v>1690</v>
      </c>
      <c r="E13" s="300">
        <v>402</v>
      </c>
      <c r="F13" s="322">
        <v>432300</v>
      </c>
      <c r="G13" s="323">
        <v>0.36499999999999999</v>
      </c>
      <c r="H13" s="324">
        <f t="shared" si="0"/>
        <v>3.65E-3</v>
      </c>
      <c r="I13" s="325">
        <v>44830</v>
      </c>
      <c r="J13" s="300">
        <v>4</v>
      </c>
      <c r="K13" s="325">
        <v>54011</v>
      </c>
      <c r="L13" s="300">
        <v>302</v>
      </c>
      <c r="M13" s="300">
        <v>298</v>
      </c>
      <c r="N13" s="326">
        <v>44848</v>
      </c>
      <c r="O13" s="323">
        <v>3.3</v>
      </c>
      <c r="P13" s="322">
        <v>5207.0535</v>
      </c>
      <c r="Q13" s="300" t="s">
        <v>1329</v>
      </c>
      <c r="R13" s="300" t="s">
        <v>1707</v>
      </c>
      <c r="S13" s="300" t="s">
        <v>1708</v>
      </c>
      <c r="T13" s="300">
        <v>453998</v>
      </c>
      <c r="U13" s="323">
        <v>1.5</v>
      </c>
      <c r="V13" s="327">
        <f t="shared" si="1"/>
        <v>1.4999999999999999E-2</v>
      </c>
      <c r="W13" s="323">
        <v>-0.5</v>
      </c>
      <c r="X13" s="300" t="s">
        <v>26</v>
      </c>
      <c r="Y13" s="300" t="s">
        <v>1248</v>
      </c>
      <c r="Z13" s="300" t="s">
        <v>1251</v>
      </c>
      <c r="AA13" s="300" t="s">
        <v>1251</v>
      </c>
      <c r="AB13" s="300" t="s">
        <v>1556</v>
      </c>
      <c r="AC13" s="300"/>
      <c r="AD13" s="328" t="s">
        <v>1565</v>
      </c>
      <c r="AE13" s="328">
        <v>400162</v>
      </c>
      <c r="AF13" s="328" t="s">
        <v>1251</v>
      </c>
      <c r="AG13" s="29">
        <v>45</v>
      </c>
      <c r="AH13" s="329" t="s">
        <v>52</v>
      </c>
      <c r="AI13" s="330">
        <v>1</v>
      </c>
      <c r="AJ13" s="309">
        <v>1</v>
      </c>
      <c r="AK13" s="302"/>
      <c r="AL13" s="303"/>
      <c r="AM13" s="305"/>
      <c r="AN13" s="301"/>
      <c r="AO13" s="305"/>
      <c r="AP13" s="301"/>
      <c r="AQ13" s="301"/>
      <c r="AR13" s="332"/>
    </row>
    <row r="14" spans="1:45">
      <c r="A14" s="299">
        <v>319661.11</v>
      </c>
      <c r="B14" s="300">
        <v>4337379105</v>
      </c>
      <c r="C14" s="300" t="s">
        <v>1689</v>
      </c>
      <c r="D14" s="300" t="s">
        <v>1690</v>
      </c>
      <c r="E14" s="300">
        <v>402</v>
      </c>
      <c r="F14" s="322">
        <v>397500</v>
      </c>
      <c r="G14" s="323">
        <v>0.36499999999999999</v>
      </c>
      <c r="H14" s="324">
        <f t="shared" si="0"/>
        <v>3.65E-3</v>
      </c>
      <c r="I14" s="325">
        <v>44833</v>
      </c>
      <c r="J14" s="300">
        <v>4</v>
      </c>
      <c r="K14" s="325">
        <v>54011</v>
      </c>
      <c r="L14" s="300">
        <v>302</v>
      </c>
      <c r="M14" s="300">
        <v>298</v>
      </c>
      <c r="N14" s="326">
        <v>44862</v>
      </c>
      <c r="O14" s="323">
        <v>3.3</v>
      </c>
      <c r="P14" s="322">
        <v>4787.8874999999998</v>
      </c>
      <c r="Q14" s="300" t="s">
        <v>1330</v>
      </c>
      <c r="R14" s="300" t="s">
        <v>1709</v>
      </c>
      <c r="S14" s="300" t="s">
        <v>1710</v>
      </c>
      <c r="T14" s="300">
        <v>812112</v>
      </c>
      <c r="U14" s="323">
        <v>1.5</v>
      </c>
      <c r="V14" s="327">
        <f t="shared" si="1"/>
        <v>1.4999999999999999E-2</v>
      </c>
      <c r="W14" s="323">
        <v>-0.5</v>
      </c>
      <c r="X14" s="300" t="s">
        <v>26</v>
      </c>
      <c r="Y14" s="300" t="s">
        <v>1248</v>
      </c>
      <c r="Z14" s="300" t="s">
        <v>1251</v>
      </c>
      <c r="AA14" s="300" t="s">
        <v>1251</v>
      </c>
      <c r="AB14" s="300" t="s">
        <v>1556</v>
      </c>
      <c r="AC14" s="300"/>
      <c r="AD14" s="328" t="s">
        <v>1566</v>
      </c>
      <c r="AE14" s="328">
        <v>400166</v>
      </c>
      <c r="AF14" s="328" t="s">
        <v>1251</v>
      </c>
      <c r="AG14" s="29">
        <v>81</v>
      </c>
      <c r="AH14" s="329" t="s">
        <v>52</v>
      </c>
      <c r="AI14" s="330">
        <v>1</v>
      </c>
      <c r="AJ14" s="309">
        <v>1</v>
      </c>
      <c r="AK14" s="302"/>
      <c r="AL14" s="303"/>
      <c r="AM14" s="305"/>
      <c r="AN14" s="301"/>
      <c r="AO14" s="305"/>
      <c r="AP14" s="301"/>
      <c r="AQ14" s="301"/>
      <c r="AR14" s="332"/>
    </row>
    <row r="15" spans="1:45">
      <c r="A15" s="299">
        <v>319659.11</v>
      </c>
      <c r="B15" s="300">
        <v>4256059101</v>
      </c>
      <c r="C15" s="300" t="s">
        <v>1689</v>
      </c>
      <c r="D15" s="300" t="s">
        <v>1690</v>
      </c>
      <c r="E15" s="300">
        <v>402</v>
      </c>
      <c r="F15" s="322">
        <v>2022314.55</v>
      </c>
      <c r="G15" s="323">
        <v>0.30499999999999999</v>
      </c>
      <c r="H15" s="324">
        <f t="shared" si="0"/>
        <v>3.0499999999999998E-3</v>
      </c>
      <c r="I15" s="325">
        <v>44798</v>
      </c>
      <c r="J15" s="300">
        <v>5</v>
      </c>
      <c r="K15" s="325">
        <v>53980</v>
      </c>
      <c r="L15" s="300">
        <v>302</v>
      </c>
      <c r="M15" s="300">
        <v>297</v>
      </c>
      <c r="N15" s="326">
        <v>44900</v>
      </c>
      <c r="O15" s="323">
        <v>3.3</v>
      </c>
      <c r="P15" s="322">
        <v>20354.595945749996</v>
      </c>
      <c r="Q15" s="300" t="s">
        <v>1331</v>
      </c>
      <c r="R15" s="300" t="s">
        <v>1711</v>
      </c>
      <c r="S15" s="300" t="s">
        <v>1712</v>
      </c>
      <c r="T15" s="300">
        <v>721110</v>
      </c>
      <c r="U15" s="323">
        <v>1.5</v>
      </c>
      <c r="V15" s="327">
        <f t="shared" si="1"/>
        <v>1.4999999999999999E-2</v>
      </c>
      <c r="W15" s="323">
        <v>-0.5</v>
      </c>
      <c r="X15" s="300" t="s">
        <v>26</v>
      </c>
      <c r="Y15" s="300" t="s">
        <v>1248</v>
      </c>
      <c r="Z15" s="300" t="s">
        <v>1251</v>
      </c>
      <c r="AA15" s="300" t="s">
        <v>1251</v>
      </c>
      <c r="AB15" s="300" t="s">
        <v>1556</v>
      </c>
      <c r="AC15" s="300"/>
      <c r="AD15" s="328" t="s">
        <v>1567</v>
      </c>
      <c r="AE15" s="328">
        <v>400154</v>
      </c>
      <c r="AF15" s="328" t="s">
        <v>1251</v>
      </c>
      <c r="AG15" s="29">
        <v>72</v>
      </c>
      <c r="AH15" s="329" t="s">
        <v>103</v>
      </c>
      <c r="AI15" s="330">
        <v>1</v>
      </c>
      <c r="AJ15" s="309">
        <v>1</v>
      </c>
      <c r="AK15" s="302"/>
      <c r="AL15" s="303"/>
      <c r="AM15" s="305"/>
      <c r="AN15" s="301"/>
      <c r="AO15" s="305"/>
      <c r="AP15" s="301"/>
      <c r="AQ15" s="301"/>
      <c r="AR15" s="332"/>
    </row>
    <row r="16" spans="1:45">
      <c r="A16" s="299">
        <v>318722.11</v>
      </c>
      <c r="B16" s="300">
        <v>1750589109</v>
      </c>
      <c r="C16" s="300" t="s">
        <v>1689</v>
      </c>
      <c r="D16" s="300" t="s">
        <v>1690</v>
      </c>
      <c r="E16" s="300">
        <v>402</v>
      </c>
      <c r="F16" s="322">
        <v>3672791.21</v>
      </c>
      <c r="G16" s="323">
        <v>2.4550000000000001</v>
      </c>
      <c r="H16" s="324">
        <f t="shared" si="0"/>
        <v>2.4550000000000002E-2</v>
      </c>
      <c r="I16" s="325">
        <v>44589</v>
      </c>
      <c r="J16" s="300">
        <v>12</v>
      </c>
      <c r="K16" s="325">
        <v>53766</v>
      </c>
      <c r="L16" s="300">
        <v>302</v>
      </c>
      <c r="M16" s="300">
        <v>290</v>
      </c>
      <c r="N16" s="326">
        <v>44896</v>
      </c>
      <c r="O16" s="323">
        <v>3.3</v>
      </c>
      <c r="P16" s="322">
        <v>297551.17987815</v>
      </c>
      <c r="Q16" s="300" t="s">
        <v>1332</v>
      </c>
      <c r="R16" s="300" t="s">
        <v>1713</v>
      </c>
      <c r="S16" s="300" t="s">
        <v>1714</v>
      </c>
      <c r="T16" s="300">
        <v>721110</v>
      </c>
      <c r="U16" s="323">
        <v>1.25</v>
      </c>
      <c r="V16" s="327">
        <f t="shared" si="1"/>
        <v>1.2500000000000001E-2</v>
      </c>
      <c r="W16" s="323">
        <v>-2.35</v>
      </c>
      <c r="X16" s="300" t="s">
        <v>26</v>
      </c>
      <c r="Y16" s="300" t="s">
        <v>1248</v>
      </c>
      <c r="Z16" s="300" t="s">
        <v>1251</v>
      </c>
      <c r="AA16" s="300" t="s">
        <v>1251</v>
      </c>
      <c r="AB16" s="300" t="s">
        <v>1556</v>
      </c>
      <c r="AC16" s="300"/>
      <c r="AD16" s="328" t="s">
        <v>1568</v>
      </c>
      <c r="AE16" s="328">
        <v>397503</v>
      </c>
      <c r="AF16" s="328" t="s">
        <v>1251</v>
      </c>
      <c r="AG16" s="29">
        <v>72</v>
      </c>
      <c r="AH16" s="329" t="s">
        <v>37</v>
      </c>
      <c r="AI16" s="330">
        <v>1</v>
      </c>
      <c r="AJ16" s="309">
        <v>1</v>
      </c>
      <c r="AK16" s="302"/>
      <c r="AL16" s="303"/>
      <c r="AM16" s="305"/>
      <c r="AN16" s="301"/>
      <c r="AO16" s="305"/>
      <c r="AP16" s="301"/>
      <c r="AQ16" s="301"/>
      <c r="AR16" s="332"/>
    </row>
    <row r="17" spans="1:44">
      <c r="A17" s="299">
        <v>316449.11</v>
      </c>
      <c r="B17" s="300">
        <v>1738619102</v>
      </c>
      <c r="C17" s="300" t="s">
        <v>1689</v>
      </c>
      <c r="D17" s="300" t="s">
        <v>1690</v>
      </c>
      <c r="E17" s="300">
        <v>402</v>
      </c>
      <c r="F17" s="322">
        <v>3689717.04</v>
      </c>
      <c r="G17" s="323">
        <v>2.4550000000000001</v>
      </c>
      <c r="H17" s="324">
        <f t="shared" si="0"/>
        <v>2.4550000000000002E-2</v>
      </c>
      <c r="I17" s="325">
        <v>44483</v>
      </c>
      <c r="J17" s="300">
        <v>15</v>
      </c>
      <c r="K17" s="325">
        <v>53676</v>
      </c>
      <c r="L17" s="300">
        <v>302</v>
      </c>
      <c r="M17" s="300">
        <v>287</v>
      </c>
      <c r="N17" s="326">
        <v>44906</v>
      </c>
      <c r="O17" s="323">
        <v>3.3</v>
      </c>
      <c r="P17" s="322">
        <v>298922.4259956</v>
      </c>
      <c r="Q17" s="300" t="s">
        <v>1333</v>
      </c>
      <c r="R17" s="300" t="s">
        <v>1715</v>
      </c>
      <c r="S17" s="300" t="s">
        <v>1716</v>
      </c>
      <c r="T17" s="300">
        <v>721110</v>
      </c>
      <c r="U17" s="323">
        <v>1.25</v>
      </c>
      <c r="V17" s="327">
        <f t="shared" si="1"/>
        <v>1.2500000000000001E-2</v>
      </c>
      <c r="W17" s="323">
        <v>-2.35</v>
      </c>
      <c r="X17" s="300" t="s">
        <v>26</v>
      </c>
      <c r="Y17" s="300" t="s">
        <v>1248</v>
      </c>
      <c r="Z17" s="300" t="s">
        <v>1251</v>
      </c>
      <c r="AA17" s="300" t="s">
        <v>1251</v>
      </c>
      <c r="AB17" s="300" t="s">
        <v>1556</v>
      </c>
      <c r="AC17" s="300"/>
      <c r="AD17" s="328" t="s">
        <v>1564</v>
      </c>
      <c r="AE17" s="328">
        <v>402160</v>
      </c>
      <c r="AF17" s="328" t="s">
        <v>1251</v>
      </c>
      <c r="AG17" s="29">
        <v>72</v>
      </c>
      <c r="AH17" s="329" t="s">
        <v>52</v>
      </c>
      <c r="AI17" s="330">
        <v>1</v>
      </c>
      <c r="AJ17" s="309">
        <v>1</v>
      </c>
      <c r="AK17" s="302"/>
      <c r="AL17" s="303"/>
      <c r="AM17" s="305"/>
      <c r="AN17" s="301"/>
      <c r="AO17" s="305"/>
      <c r="AP17" s="301"/>
      <c r="AQ17" s="301"/>
      <c r="AR17" s="332"/>
    </row>
    <row r="18" spans="1:44">
      <c r="A18" s="299">
        <v>315326.11</v>
      </c>
      <c r="B18" s="300">
        <v>1280049105</v>
      </c>
      <c r="C18" s="300" t="s">
        <v>1689</v>
      </c>
      <c r="D18" s="300" t="s">
        <v>1690</v>
      </c>
      <c r="E18" s="300">
        <v>402</v>
      </c>
      <c r="F18" s="322">
        <v>3652477.86</v>
      </c>
      <c r="G18" s="323">
        <v>2.7050000000000001</v>
      </c>
      <c r="H18" s="324">
        <f t="shared" si="0"/>
        <v>2.7050000000000001E-2</v>
      </c>
      <c r="I18" s="325">
        <v>44406</v>
      </c>
      <c r="J18" s="300">
        <v>18</v>
      </c>
      <c r="K18" s="325">
        <v>53585</v>
      </c>
      <c r="L18" s="300">
        <v>302</v>
      </c>
      <c r="M18" s="300">
        <v>284</v>
      </c>
      <c r="N18" s="326">
        <v>44902</v>
      </c>
      <c r="O18" s="323">
        <v>3.3</v>
      </c>
      <c r="P18" s="322">
        <v>326038.43617289996</v>
      </c>
      <c r="Q18" s="300" t="s">
        <v>1334</v>
      </c>
      <c r="R18" s="300" t="s">
        <v>1717</v>
      </c>
      <c r="S18" s="300" t="s">
        <v>1718</v>
      </c>
      <c r="T18" s="300">
        <v>623312</v>
      </c>
      <c r="U18" s="323">
        <v>1.5</v>
      </c>
      <c r="V18" s="327">
        <f t="shared" si="1"/>
        <v>1.4999999999999999E-2</v>
      </c>
      <c r="W18" s="323">
        <v>-2.35</v>
      </c>
      <c r="X18" s="300" t="s">
        <v>26</v>
      </c>
      <c r="Y18" s="300" t="s">
        <v>1248</v>
      </c>
      <c r="Z18" s="300" t="s">
        <v>1251</v>
      </c>
      <c r="AA18" s="300" t="s">
        <v>1251</v>
      </c>
      <c r="AB18" s="300" t="s">
        <v>1556</v>
      </c>
      <c r="AC18" s="300"/>
      <c r="AD18" s="328" t="s">
        <v>1569</v>
      </c>
      <c r="AE18" s="328">
        <v>400067</v>
      </c>
      <c r="AF18" s="328" t="s">
        <v>1251</v>
      </c>
      <c r="AG18" s="29">
        <v>62</v>
      </c>
      <c r="AH18" s="329" t="s">
        <v>52</v>
      </c>
      <c r="AI18" s="330">
        <v>1</v>
      </c>
      <c r="AJ18" s="309">
        <v>1</v>
      </c>
      <c r="AK18" s="302"/>
      <c r="AL18" s="303"/>
      <c r="AM18" s="305"/>
      <c r="AN18" s="301"/>
      <c r="AO18" s="305"/>
      <c r="AP18" s="301"/>
      <c r="AQ18" s="301"/>
      <c r="AR18" s="332"/>
    </row>
    <row r="19" spans="1:44">
      <c r="A19" s="299">
        <v>319946.11</v>
      </c>
      <c r="B19" s="300">
        <v>4355619109</v>
      </c>
      <c r="C19" s="300" t="s">
        <v>1689</v>
      </c>
      <c r="D19" s="300" t="s">
        <v>1690</v>
      </c>
      <c r="E19" s="300">
        <v>402</v>
      </c>
      <c r="F19" s="322">
        <v>1458750</v>
      </c>
      <c r="G19" s="323">
        <v>0.95</v>
      </c>
      <c r="H19" s="324">
        <f t="shared" si="0"/>
        <v>9.4999999999999998E-3</v>
      </c>
      <c r="I19" s="325">
        <v>44869</v>
      </c>
      <c r="J19" s="300">
        <v>2</v>
      </c>
      <c r="K19" s="325">
        <v>54041</v>
      </c>
      <c r="L19" s="300">
        <v>301</v>
      </c>
      <c r="M19" s="300">
        <v>299</v>
      </c>
      <c r="N19" s="326">
        <v>44900</v>
      </c>
      <c r="O19" s="323">
        <v>3.3</v>
      </c>
      <c r="P19" s="322">
        <v>45731.8125</v>
      </c>
      <c r="Q19" s="300" t="s">
        <v>1335</v>
      </c>
      <c r="R19" s="300" t="s">
        <v>1719</v>
      </c>
      <c r="S19" s="300" t="s">
        <v>1720</v>
      </c>
      <c r="T19" s="300">
        <v>541211</v>
      </c>
      <c r="U19" s="323">
        <v>1.97</v>
      </c>
      <c r="V19" s="327">
        <f t="shared" si="1"/>
        <v>1.9699999999999999E-2</v>
      </c>
      <c r="W19" s="323">
        <v>-0.67500000000000004</v>
      </c>
      <c r="X19" s="300" t="s">
        <v>26</v>
      </c>
      <c r="Y19" s="300" t="s">
        <v>1248</v>
      </c>
      <c r="Z19" s="300" t="s">
        <v>1251</v>
      </c>
      <c r="AA19" s="300" t="s">
        <v>1251</v>
      </c>
      <c r="AB19" s="300" t="s">
        <v>1556</v>
      </c>
      <c r="AC19" s="300"/>
      <c r="AD19" s="328" t="s">
        <v>1570</v>
      </c>
      <c r="AE19" s="328">
        <v>402193</v>
      </c>
      <c r="AF19" s="328" t="s">
        <v>1251</v>
      </c>
      <c r="AG19" s="29">
        <v>54</v>
      </c>
      <c r="AH19" s="329" t="s">
        <v>54</v>
      </c>
      <c r="AI19" s="330">
        <v>1</v>
      </c>
      <c r="AJ19" s="309">
        <v>1</v>
      </c>
      <c r="AK19" s="302"/>
      <c r="AL19" s="303"/>
      <c r="AM19" s="305"/>
      <c r="AN19" s="301"/>
      <c r="AO19" s="305"/>
      <c r="AP19" s="301"/>
      <c r="AQ19" s="301"/>
      <c r="AR19" s="332"/>
    </row>
    <row r="20" spans="1:44">
      <c r="A20" s="299">
        <v>319869.11</v>
      </c>
      <c r="B20" s="300">
        <v>4334789104</v>
      </c>
      <c r="C20" s="300" t="s">
        <v>1689</v>
      </c>
      <c r="D20" s="300" t="s">
        <v>1690</v>
      </c>
      <c r="E20" s="300">
        <v>402</v>
      </c>
      <c r="F20" s="322">
        <v>736500</v>
      </c>
      <c r="G20" s="323">
        <v>1.79</v>
      </c>
      <c r="H20" s="324">
        <f t="shared" si="0"/>
        <v>1.7899999999999999E-2</v>
      </c>
      <c r="I20" s="325">
        <v>44867</v>
      </c>
      <c r="J20" s="300">
        <v>2</v>
      </c>
      <c r="K20" s="325">
        <v>54041</v>
      </c>
      <c r="L20" s="300">
        <v>301</v>
      </c>
      <c r="M20" s="300">
        <v>299</v>
      </c>
      <c r="N20" s="326">
        <v>44896</v>
      </c>
      <c r="O20" s="323">
        <v>3.3</v>
      </c>
      <c r="P20" s="322">
        <v>43505.055</v>
      </c>
      <c r="Q20" s="300" t="s">
        <v>1336</v>
      </c>
      <c r="R20" s="300" t="s">
        <v>1721</v>
      </c>
      <c r="S20" s="300" t="s">
        <v>1722</v>
      </c>
      <c r="T20" s="300">
        <v>624410</v>
      </c>
      <c r="U20" s="323">
        <v>2.75</v>
      </c>
      <c r="V20" s="327">
        <f t="shared" si="1"/>
        <v>2.75E-2</v>
      </c>
      <c r="W20" s="323">
        <v>-0.67500000000000004</v>
      </c>
      <c r="X20" s="300" t="s">
        <v>26</v>
      </c>
      <c r="Y20" s="300" t="s">
        <v>1248</v>
      </c>
      <c r="Z20" s="300" t="s">
        <v>1251</v>
      </c>
      <c r="AA20" s="300" t="s">
        <v>1251</v>
      </c>
      <c r="AB20" s="300" t="s">
        <v>1</v>
      </c>
      <c r="AC20" s="300"/>
      <c r="AD20" s="328" t="s">
        <v>1571</v>
      </c>
      <c r="AE20" s="328">
        <v>402187</v>
      </c>
      <c r="AF20" s="328" t="s">
        <v>1251</v>
      </c>
      <c r="AG20" s="29">
        <v>62</v>
      </c>
      <c r="AH20" s="329" t="s">
        <v>29</v>
      </c>
      <c r="AI20" s="330">
        <v>1</v>
      </c>
      <c r="AJ20" s="309">
        <v>1</v>
      </c>
      <c r="AK20" s="302"/>
      <c r="AL20" s="303"/>
      <c r="AM20" s="305"/>
      <c r="AN20" s="301"/>
      <c r="AO20" s="305"/>
      <c r="AP20" s="301"/>
      <c r="AQ20" s="301"/>
      <c r="AR20" s="332"/>
    </row>
    <row r="21" spans="1:44">
      <c r="A21" s="299">
        <v>319859.11</v>
      </c>
      <c r="B21" s="300">
        <v>4418009101</v>
      </c>
      <c r="C21" s="300" t="s">
        <v>1689</v>
      </c>
      <c r="D21" s="300" t="s">
        <v>1690</v>
      </c>
      <c r="E21" s="300">
        <v>402</v>
      </c>
      <c r="F21" s="322">
        <v>756319.25</v>
      </c>
      <c r="G21" s="323">
        <v>0.98</v>
      </c>
      <c r="H21" s="324">
        <f t="shared" si="0"/>
        <v>9.7999999999999997E-3</v>
      </c>
      <c r="I21" s="325">
        <v>44875</v>
      </c>
      <c r="J21" s="300">
        <v>2</v>
      </c>
      <c r="K21" s="325">
        <v>54041</v>
      </c>
      <c r="L21" s="300">
        <v>301</v>
      </c>
      <c r="M21" s="300">
        <v>299</v>
      </c>
      <c r="N21" s="326">
        <v>44901</v>
      </c>
      <c r="O21" s="323">
        <v>3.3</v>
      </c>
      <c r="P21" s="322">
        <v>24459.364544999997</v>
      </c>
      <c r="Q21" s="300" t="s">
        <v>1337</v>
      </c>
      <c r="R21" s="300" t="s">
        <v>1723</v>
      </c>
      <c r="S21" s="300" t="s">
        <v>1724</v>
      </c>
      <c r="T21" s="300">
        <v>447110</v>
      </c>
      <c r="U21" s="323">
        <v>2</v>
      </c>
      <c r="V21" s="327">
        <f t="shared" si="1"/>
        <v>0.02</v>
      </c>
      <c r="W21" s="323">
        <v>-0.67500000000000004</v>
      </c>
      <c r="X21" s="300" t="s">
        <v>26</v>
      </c>
      <c r="Y21" s="300" t="s">
        <v>1248</v>
      </c>
      <c r="Z21" s="300" t="s">
        <v>1251</v>
      </c>
      <c r="AA21" s="300" t="s">
        <v>1251</v>
      </c>
      <c r="AB21" s="300" t="s">
        <v>1556</v>
      </c>
      <c r="AC21" s="300"/>
      <c r="AD21" s="328" t="s">
        <v>1572</v>
      </c>
      <c r="AE21" s="328">
        <v>402199</v>
      </c>
      <c r="AF21" s="328" t="s">
        <v>1251</v>
      </c>
      <c r="AG21" s="29">
        <v>44</v>
      </c>
      <c r="AH21" s="329" t="s">
        <v>49</v>
      </c>
      <c r="AI21" s="330">
        <v>1</v>
      </c>
      <c r="AJ21" s="309">
        <v>1</v>
      </c>
      <c r="AK21" s="302"/>
      <c r="AL21" s="303"/>
      <c r="AM21" s="305"/>
      <c r="AN21" s="301"/>
      <c r="AO21" s="305"/>
      <c r="AP21" s="301"/>
      <c r="AQ21" s="301"/>
      <c r="AR21" s="332"/>
    </row>
    <row r="22" spans="1:44">
      <c r="A22" s="299">
        <v>319857.11</v>
      </c>
      <c r="B22" s="300">
        <v>4400599105</v>
      </c>
      <c r="C22" s="300" t="s">
        <v>1689</v>
      </c>
      <c r="D22" s="300" t="s">
        <v>1690</v>
      </c>
      <c r="E22" s="300">
        <v>402</v>
      </c>
      <c r="F22" s="322">
        <v>678750</v>
      </c>
      <c r="G22" s="323">
        <v>0.98</v>
      </c>
      <c r="H22" s="324">
        <f t="shared" si="0"/>
        <v>9.7999999999999997E-3</v>
      </c>
      <c r="I22" s="325">
        <v>44873</v>
      </c>
      <c r="J22" s="300">
        <v>2</v>
      </c>
      <c r="K22" s="325">
        <v>54041</v>
      </c>
      <c r="L22" s="300">
        <v>301</v>
      </c>
      <c r="M22" s="300">
        <v>299</v>
      </c>
      <c r="N22" s="326">
        <v>44893</v>
      </c>
      <c r="O22" s="323">
        <v>3.3</v>
      </c>
      <c r="P22" s="322">
        <v>21950.774999999998</v>
      </c>
      <c r="Q22" s="300" t="s">
        <v>1338</v>
      </c>
      <c r="R22" s="300" t="s">
        <v>1725</v>
      </c>
      <c r="S22" s="300" t="s">
        <v>1726</v>
      </c>
      <c r="T22" s="300">
        <v>812320</v>
      </c>
      <c r="U22" s="323">
        <v>2</v>
      </c>
      <c r="V22" s="327">
        <f t="shared" si="1"/>
        <v>0.02</v>
      </c>
      <c r="W22" s="323">
        <v>-0.67500000000000004</v>
      </c>
      <c r="X22" s="300" t="s">
        <v>26</v>
      </c>
      <c r="Y22" s="300" t="s">
        <v>1248</v>
      </c>
      <c r="Z22" s="300" t="s">
        <v>1251</v>
      </c>
      <c r="AA22" s="300" t="s">
        <v>1251</v>
      </c>
      <c r="AB22" s="300" t="s">
        <v>1556</v>
      </c>
      <c r="AC22" s="300"/>
      <c r="AD22" s="328" t="s">
        <v>1573</v>
      </c>
      <c r="AE22" s="328">
        <v>402197</v>
      </c>
      <c r="AF22" s="328" t="s">
        <v>1251</v>
      </c>
      <c r="AG22" s="29">
        <v>81</v>
      </c>
      <c r="AH22" s="329" t="s">
        <v>49</v>
      </c>
      <c r="AI22" s="330">
        <v>1</v>
      </c>
      <c r="AJ22" s="309">
        <v>1</v>
      </c>
      <c r="AK22" s="302"/>
      <c r="AL22" s="303"/>
      <c r="AM22" s="305"/>
      <c r="AN22" s="301"/>
      <c r="AO22" s="305"/>
      <c r="AP22" s="301"/>
      <c r="AQ22" s="301"/>
      <c r="AR22" s="332"/>
    </row>
    <row r="23" spans="1:44">
      <c r="A23" s="299">
        <v>319854.11</v>
      </c>
      <c r="B23" s="300">
        <v>4340429108</v>
      </c>
      <c r="C23" s="300" t="s">
        <v>1689</v>
      </c>
      <c r="D23" s="300" t="s">
        <v>1690</v>
      </c>
      <c r="E23" s="300">
        <v>402</v>
      </c>
      <c r="F23" s="322">
        <v>382500</v>
      </c>
      <c r="G23" s="323">
        <v>0.73</v>
      </c>
      <c r="H23" s="324">
        <f t="shared" si="0"/>
        <v>7.3000000000000001E-3</v>
      </c>
      <c r="I23" s="325">
        <v>44879</v>
      </c>
      <c r="J23" s="300">
        <v>2</v>
      </c>
      <c r="K23" s="325">
        <v>54041</v>
      </c>
      <c r="L23" s="300">
        <v>301</v>
      </c>
      <c r="M23" s="300">
        <v>299</v>
      </c>
      <c r="N23" s="326">
        <v>44893</v>
      </c>
      <c r="O23" s="323">
        <v>3.3</v>
      </c>
      <c r="P23" s="322">
        <v>9214.4249999999993</v>
      </c>
      <c r="Q23" s="300" t="s">
        <v>1339</v>
      </c>
      <c r="R23" s="300" t="s">
        <v>1727</v>
      </c>
      <c r="S23" s="300" t="s">
        <v>1728</v>
      </c>
      <c r="T23" s="300">
        <v>722513</v>
      </c>
      <c r="U23" s="323">
        <v>1.75</v>
      </c>
      <c r="V23" s="327">
        <f t="shared" si="1"/>
        <v>1.7500000000000002E-2</v>
      </c>
      <c r="W23" s="323">
        <v>-0.67500000000000004</v>
      </c>
      <c r="X23" s="300" t="s">
        <v>26</v>
      </c>
      <c r="Y23" s="300" t="s">
        <v>1248</v>
      </c>
      <c r="Z23" s="300" t="s">
        <v>1251</v>
      </c>
      <c r="AA23" s="300" t="s">
        <v>1251</v>
      </c>
      <c r="AB23" s="300" t="s">
        <v>1556</v>
      </c>
      <c r="AC23" s="300"/>
      <c r="AD23" s="328" t="s">
        <v>1574</v>
      </c>
      <c r="AE23" s="328">
        <v>402189</v>
      </c>
      <c r="AF23" s="328" t="s">
        <v>1251</v>
      </c>
      <c r="AG23" s="29">
        <v>72</v>
      </c>
      <c r="AH23" s="329" t="s">
        <v>40</v>
      </c>
      <c r="AI23" s="330">
        <v>1</v>
      </c>
      <c r="AJ23" s="309">
        <v>1</v>
      </c>
      <c r="AK23" s="302"/>
      <c r="AL23" s="303"/>
      <c r="AM23" s="305"/>
      <c r="AN23" s="301"/>
      <c r="AO23" s="305"/>
      <c r="AP23" s="301"/>
      <c r="AQ23" s="301"/>
      <c r="AR23" s="332"/>
    </row>
    <row r="24" spans="1:44">
      <c r="A24" s="299">
        <v>319784.11</v>
      </c>
      <c r="B24" s="300">
        <v>4301309104</v>
      </c>
      <c r="C24" s="300" t="s">
        <v>1689</v>
      </c>
      <c r="D24" s="300" t="s">
        <v>1690</v>
      </c>
      <c r="E24" s="300">
        <v>402</v>
      </c>
      <c r="F24" s="322">
        <v>1283949.3999999999</v>
      </c>
      <c r="G24" s="323">
        <v>1.73</v>
      </c>
      <c r="H24" s="324">
        <f t="shared" si="0"/>
        <v>1.7299999999999999E-2</v>
      </c>
      <c r="I24" s="325">
        <v>44839</v>
      </c>
      <c r="J24" s="300">
        <v>3</v>
      </c>
      <c r="K24" s="325">
        <v>54011</v>
      </c>
      <c r="L24" s="300">
        <v>301</v>
      </c>
      <c r="M24" s="300">
        <v>298</v>
      </c>
      <c r="N24" s="326">
        <v>44907</v>
      </c>
      <c r="O24" s="323">
        <v>3.3</v>
      </c>
      <c r="P24" s="322">
        <v>73300.671245999984</v>
      </c>
      <c r="Q24" s="300" t="s">
        <v>1340</v>
      </c>
      <c r="R24" s="300" t="s">
        <v>1729</v>
      </c>
      <c r="S24" s="300" t="s">
        <v>1730</v>
      </c>
      <c r="T24" s="300">
        <v>623312</v>
      </c>
      <c r="U24" s="323">
        <v>2.75</v>
      </c>
      <c r="V24" s="327">
        <f t="shared" si="1"/>
        <v>2.75E-2</v>
      </c>
      <c r="W24" s="323">
        <v>-0.67500000000000004</v>
      </c>
      <c r="X24" s="300" t="s">
        <v>26</v>
      </c>
      <c r="Y24" s="300" t="s">
        <v>1248</v>
      </c>
      <c r="Z24" s="300" t="s">
        <v>1251</v>
      </c>
      <c r="AA24" s="300" t="s">
        <v>1251</v>
      </c>
      <c r="AB24" s="300" t="s">
        <v>1556</v>
      </c>
      <c r="AC24" s="300"/>
      <c r="AD24" s="328" t="s">
        <v>1575</v>
      </c>
      <c r="AE24" s="328">
        <v>402180</v>
      </c>
      <c r="AF24" s="328" t="s">
        <v>1251</v>
      </c>
      <c r="AG24" s="29">
        <v>62</v>
      </c>
      <c r="AH24" s="329" t="s">
        <v>105</v>
      </c>
      <c r="AI24" s="330">
        <v>1</v>
      </c>
      <c r="AJ24" s="309">
        <v>1</v>
      </c>
      <c r="AK24" s="302"/>
      <c r="AL24" s="303"/>
      <c r="AM24" s="305"/>
      <c r="AN24" s="301"/>
      <c r="AO24" s="305"/>
      <c r="AP24" s="301"/>
      <c r="AQ24" s="301"/>
      <c r="AR24" s="332"/>
    </row>
    <row r="25" spans="1:44">
      <c r="A25" s="299">
        <v>319717.11</v>
      </c>
      <c r="B25" s="300">
        <v>4341929107</v>
      </c>
      <c r="C25" s="300" t="s">
        <v>1689</v>
      </c>
      <c r="D25" s="300" t="s">
        <v>1690</v>
      </c>
      <c r="E25" s="300">
        <v>402</v>
      </c>
      <c r="F25" s="322">
        <v>1343550</v>
      </c>
      <c r="G25" s="323">
        <v>1.5549999999999999</v>
      </c>
      <c r="H25" s="324">
        <f t="shared" si="0"/>
        <v>1.555E-2</v>
      </c>
      <c r="I25" s="325">
        <v>44855</v>
      </c>
      <c r="J25" s="300">
        <v>3</v>
      </c>
      <c r="K25" s="325">
        <v>54011</v>
      </c>
      <c r="L25" s="300">
        <v>301</v>
      </c>
      <c r="M25" s="300">
        <v>298</v>
      </c>
      <c r="N25" s="326">
        <v>44890</v>
      </c>
      <c r="O25" s="323">
        <v>3.3</v>
      </c>
      <c r="P25" s="322">
        <v>68944.268249999994</v>
      </c>
      <c r="Q25" s="300" t="s">
        <v>1341</v>
      </c>
      <c r="R25" s="300" t="s">
        <v>1731</v>
      </c>
      <c r="S25" s="300" t="s">
        <v>1732</v>
      </c>
      <c r="T25" s="300">
        <v>722511</v>
      </c>
      <c r="U25" s="323">
        <v>2.75</v>
      </c>
      <c r="V25" s="327">
        <f t="shared" si="1"/>
        <v>2.75E-2</v>
      </c>
      <c r="W25" s="323">
        <v>-0.5</v>
      </c>
      <c r="X25" s="300" t="s">
        <v>26</v>
      </c>
      <c r="Y25" s="300" t="s">
        <v>1248</v>
      </c>
      <c r="Z25" s="300" t="s">
        <v>1251</v>
      </c>
      <c r="AA25" s="300" t="s">
        <v>1251</v>
      </c>
      <c r="AB25" s="300" t="s">
        <v>1556</v>
      </c>
      <c r="AC25" s="300"/>
      <c r="AD25" s="328" t="s">
        <v>1572</v>
      </c>
      <c r="AE25" s="328">
        <v>400167</v>
      </c>
      <c r="AF25" s="328" t="s">
        <v>1251</v>
      </c>
      <c r="AG25" s="29">
        <v>72</v>
      </c>
      <c r="AH25" s="329" t="s">
        <v>54</v>
      </c>
      <c r="AI25" s="330">
        <v>1</v>
      </c>
      <c r="AJ25" s="309">
        <v>1</v>
      </c>
      <c r="AK25" s="302"/>
      <c r="AL25" s="303"/>
      <c r="AM25" s="305"/>
      <c r="AN25" s="301"/>
      <c r="AO25" s="305"/>
      <c r="AP25" s="301"/>
      <c r="AQ25" s="301"/>
      <c r="AR25" s="332"/>
    </row>
    <row r="26" spans="1:44">
      <c r="A26" s="299">
        <v>319941.11</v>
      </c>
      <c r="B26" s="300">
        <v>4404059104</v>
      </c>
      <c r="C26" s="300" t="s">
        <v>1689</v>
      </c>
      <c r="D26" s="300" t="s">
        <v>1690</v>
      </c>
      <c r="E26" s="300">
        <v>402</v>
      </c>
      <c r="F26" s="322">
        <v>1794708.12</v>
      </c>
      <c r="G26" s="323">
        <v>0.98</v>
      </c>
      <c r="H26" s="324">
        <f t="shared" si="0"/>
        <v>9.7999999999999997E-3</v>
      </c>
      <c r="I26" s="325">
        <v>44865</v>
      </c>
      <c r="J26" s="300">
        <v>3</v>
      </c>
      <c r="K26" s="325">
        <v>54011</v>
      </c>
      <c r="L26" s="300">
        <v>301</v>
      </c>
      <c r="M26" s="300">
        <v>298</v>
      </c>
      <c r="N26" s="326">
        <v>44923</v>
      </c>
      <c r="O26" s="323">
        <v>3.3</v>
      </c>
      <c r="P26" s="322">
        <v>58040.860600799999</v>
      </c>
      <c r="Q26" s="300" t="s">
        <v>1342</v>
      </c>
      <c r="R26" s="300" t="s">
        <v>1733</v>
      </c>
      <c r="S26" s="300" t="s">
        <v>1734</v>
      </c>
      <c r="T26" s="300">
        <v>721110</v>
      </c>
      <c r="U26" s="323">
        <v>2</v>
      </c>
      <c r="V26" s="327">
        <f t="shared" si="1"/>
        <v>0.02</v>
      </c>
      <c r="W26" s="323">
        <v>-0.67500000000000004</v>
      </c>
      <c r="X26" s="300" t="s">
        <v>26</v>
      </c>
      <c r="Y26" s="300" t="s">
        <v>1248</v>
      </c>
      <c r="Z26" s="300" t="s">
        <v>1251</v>
      </c>
      <c r="AA26" s="300" t="s">
        <v>1251</v>
      </c>
      <c r="AB26" s="300" t="s">
        <v>1556</v>
      </c>
      <c r="AC26" s="300"/>
      <c r="AD26" s="328" t="s">
        <v>1557</v>
      </c>
      <c r="AE26" s="328">
        <v>402198</v>
      </c>
      <c r="AF26" s="328" t="s">
        <v>1251</v>
      </c>
      <c r="AG26" s="29">
        <v>72</v>
      </c>
      <c r="AH26" s="329" t="s">
        <v>52</v>
      </c>
      <c r="AI26" s="330">
        <v>1</v>
      </c>
      <c r="AJ26" s="309">
        <v>1</v>
      </c>
      <c r="AK26" s="302"/>
      <c r="AL26" s="303"/>
      <c r="AM26" s="305"/>
      <c r="AN26" s="301"/>
      <c r="AO26" s="305"/>
      <c r="AP26" s="301"/>
      <c r="AQ26" s="301"/>
      <c r="AR26" s="332"/>
    </row>
    <row r="27" spans="1:44">
      <c r="A27" s="299">
        <v>319802.11</v>
      </c>
      <c r="B27" s="300">
        <v>4293009107</v>
      </c>
      <c r="C27" s="300" t="s">
        <v>1689</v>
      </c>
      <c r="D27" s="300" t="s">
        <v>1690</v>
      </c>
      <c r="E27" s="300">
        <v>402</v>
      </c>
      <c r="F27" s="322">
        <v>1575000</v>
      </c>
      <c r="G27" s="323">
        <v>0.98</v>
      </c>
      <c r="H27" s="324">
        <f t="shared" si="0"/>
        <v>9.7999999999999997E-3</v>
      </c>
      <c r="I27" s="325">
        <v>44860</v>
      </c>
      <c r="J27" s="300">
        <v>3</v>
      </c>
      <c r="K27" s="325">
        <v>54011</v>
      </c>
      <c r="L27" s="300">
        <v>301</v>
      </c>
      <c r="M27" s="300">
        <v>298</v>
      </c>
      <c r="N27" s="326">
        <v>44893</v>
      </c>
      <c r="O27" s="323">
        <v>3.3</v>
      </c>
      <c r="P27" s="322">
        <v>50935.5</v>
      </c>
      <c r="Q27" s="300" t="s">
        <v>1343</v>
      </c>
      <c r="R27" s="300" t="s">
        <v>1735</v>
      </c>
      <c r="S27" s="300" t="s">
        <v>1736</v>
      </c>
      <c r="T27" s="300">
        <v>323111</v>
      </c>
      <c r="U27" s="323">
        <v>2</v>
      </c>
      <c r="V27" s="327">
        <f t="shared" si="1"/>
        <v>0.02</v>
      </c>
      <c r="W27" s="323">
        <v>-0.67500000000000004</v>
      </c>
      <c r="X27" s="300" t="s">
        <v>26</v>
      </c>
      <c r="Y27" s="300" t="s">
        <v>1248</v>
      </c>
      <c r="Z27" s="300" t="s">
        <v>1251</v>
      </c>
      <c r="AA27" s="300" t="s">
        <v>1251</v>
      </c>
      <c r="AB27" s="300" t="s">
        <v>1556</v>
      </c>
      <c r="AC27" s="300"/>
      <c r="AD27" s="328" t="s">
        <v>1576</v>
      </c>
      <c r="AE27" s="328">
        <v>402178</v>
      </c>
      <c r="AF27" s="328" t="s">
        <v>1251</v>
      </c>
      <c r="AG27" s="29">
        <v>32</v>
      </c>
      <c r="AH27" s="329" t="s">
        <v>40</v>
      </c>
      <c r="AI27" s="330">
        <v>1</v>
      </c>
      <c r="AJ27" s="309">
        <v>1</v>
      </c>
      <c r="AK27" s="302"/>
      <c r="AL27" s="303"/>
      <c r="AM27" s="305"/>
      <c r="AN27" s="301"/>
      <c r="AO27" s="305"/>
      <c r="AP27" s="301"/>
      <c r="AQ27" s="301"/>
      <c r="AR27" s="332"/>
    </row>
    <row r="28" spans="1:44">
      <c r="A28" s="299">
        <v>319766.11</v>
      </c>
      <c r="B28" s="300">
        <v>4366389107</v>
      </c>
      <c r="C28" s="300" t="s">
        <v>1689</v>
      </c>
      <c r="D28" s="300" t="s">
        <v>1690</v>
      </c>
      <c r="E28" s="300">
        <v>402</v>
      </c>
      <c r="F28" s="322">
        <v>2760121.47</v>
      </c>
      <c r="G28" s="323">
        <v>0.48</v>
      </c>
      <c r="H28" s="324">
        <f t="shared" si="0"/>
        <v>4.7999999999999996E-3</v>
      </c>
      <c r="I28" s="325">
        <v>44854</v>
      </c>
      <c r="J28" s="300">
        <v>3</v>
      </c>
      <c r="K28" s="325">
        <v>54011</v>
      </c>
      <c r="L28" s="300">
        <v>301</v>
      </c>
      <c r="M28" s="300">
        <v>298</v>
      </c>
      <c r="N28" s="326">
        <v>44900</v>
      </c>
      <c r="O28" s="323">
        <v>3.3</v>
      </c>
      <c r="P28" s="322">
        <v>43720.324084799999</v>
      </c>
      <c r="Q28" s="300" t="s">
        <v>1344</v>
      </c>
      <c r="R28" s="300" t="s">
        <v>1737</v>
      </c>
      <c r="S28" s="300" t="s">
        <v>1738</v>
      </c>
      <c r="T28" s="300">
        <v>721110</v>
      </c>
      <c r="U28" s="323">
        <v>1.5</v>
      </c>
      <c r="V28" s="327">
        <f t="shared" si="1"/>
        <v>1.4999999999999999E-2</v>
      </c>
      <c r="W28" s="323">
        <v>-0.67500000000000004</v>
      </c>
      <c r="X28" s="300" t="s">
        <v>26</v>
      </c>
      <c r="Y28" s="300" t="s">
        <v>1248</v>
      </c>
      <c r="Z28" s="300" t="s">
        <v>1251</v>
      </c>
      <c r="AA28" s="300" t="s">
        <v>1251</v>
      </c>
      <c r="AB28" s="300" t="s">
        <v>1556</v>
      </c>
      <c r="AC28" s="300"/>
      <c r="AD28" s="328" t="s">
        <v>1577</v>
      </c>
      <c r="AE28" s="328">
        <v>402194</v>
      </c>
      <c r="AF28" s="328" t="s">
        <v>1251</v>
      </c>
      <c r="AG28" s="29">
        <v>72</v>
      </c>
      <c r="AH28" s="329" t="s">
        <v>105</v>
      </c>
      <c r="AI28" s="330">
        <v>1</v>
      </c>
      <c r="AJ28" s="309">
        <v>1</v>
      </c>
      <c r="AK28" s="302"/>
      <c r="AL28" s="303"/>
      <c r="AM28" s="305"/>
      <c r="AN28" s="301"/>
      <c r="AO28" s="305"/>
      <c r="AP28" s="301"/>
      <c r="AQ28" s="301"/>
      <c r="AR28" s="332"/>
    </row>
    <row r="29" spans="1:44">
      <c r="A29" s="299">
        <v>319891.11</v>
      </c>
      <c r="B29" s="300">
        <v>4335499102</v>
      </c>
      <c r="C29" s="300" t="s">
        <v>1689</v>
      </c>
      <c r="D29" s="300" t="s">
        <v>1690</v>
      </c>
      <c r="E29" s="300">
        <v>402</v>
      </c>
      <c r="F29" s="322">
        <v>1450500</v>
      </c>
      <c r="G29" s="323">
        <v>0.73</v>
      </c>
      <c r="H29" s="324">
        <f t="shared" si="0"/>
        <v>7.3000000000000001E-3</v>
      </c>
      <c r="I29" s="325">
        <v>44848</v>
      </c>
      <c r="J29" s="300">
        <v>3</v>
      </c>
      <c r="K29" s="325">
        <v>54011</v>
      </c>
      <c r="L29" s="300">
        <v>301</v>
      </c>
      <c r="M29" s="300">
        <v>298</v>
      </c>
      <c r="N29" s="326">
        <v>44893</v>
      </c>
      <c r="O29" s="323">
        <v>3.3</v>
      </c>
      <c r="P29" s="322">
        <v>34942.544999999998</v>
      </c>
      <c r="Q29" s="300" t="s">
        <v>1345</v>
      </c>
      <c r="R29" s="300" t="s">
        <v>1739</v>
      </c>
      <c r="S29" s="300" t="s">
        <v>1740</v>
      </c>
      <c r="T29" s="300">
        <v>238990</v>
      </c>
      <c r="U29" s="323">
        <v>1.75</v>
      </c>
      <c r="V29" s="327">
        <f t="shared" si="1"/>
        <v>1.7500000000000002E-2</v>
      </c>
      <c r="W29" s="323">
        <v>-0.67500000000000004</v>
      </c>
      <c r="X29" s="300" t="s">
        <v>26</v>
      </c>
      <c r="Y29" s="300" t="s">
        <v>1248</v>
      </c>
      <c r="Z29" s="300" t="s">
        <v>1251</v>
      </c>
      <c r="AA29" s="300" t="s">
        <v>1251</v>
      </c>
      <c r="AB29" s="300" t="s">
        <v>1556</v>
      </c>
      <c r="AC29" s="300"/>
      <c r="AD29" s="328" t="s">
        <v>1578</v>
      </c>
      <c r="AE29" s="328">
        <v>402188</v>
      </c>
      <c r="AF29" s="328" t="s">
        <v>1251</v>
      </c>
      <c r="AG29" s="29">
        <v>23</v>
      </c>
      <c r="AH29" s="329" t="s">
        <v>151</v>
      </c>
      <c r="AI29" s="330">
        <v>1</v>
      </c>
      <c r="AJ29" s="309">
        <v>1</v>
      </c>
      <c r="AK29" s="302"/>
      <c r="AL29" s="303"/>
      <c r="AM29" s="305"/>
      <c r="AN29" s="301"/>
      <c r="AO29" s="305"/>
      <c r="AP29" s="301"/>
      <c r="AQ29" s="301"/>
      <c r="AR29" s="332"/>
    </row>
    <row r="30" spans="1:44">
      <c r="A30" s="299">
        <v>319944.11</v>
      </c>
      <c r="B30" s="300">
        <v>4309699110</v>
      </c>
      <c r="C30" s="300" t="s">
        <v>1689</v>
      </c>
      <c r="D30" s="300" t="s">
        <v>1690</v>
      </c>
      <c r="E30" s="300">
        <v>402</v>
      </c>
      <c r="F30" s="322">
        <v>1446249.98</v>
      </c>
      <c r="G30" s="323">
        <v>0.73</v>
      </c>
      <c r="H30" s="324">
        <f t="shared" si="0"/>
        <v>7.3000000000000001E-3</v>
      </c>
      <c r="I30" s="325">
        <v>44838</v>
      </c>
      <c r="J30" s="300">
        <v>3</v>
      </c>
      <c r="K30" s="325">
        <v>54011</v>
      </c>
      <c r="L30" s="300">
        <v>301</v>
      </c>
      <c r="M30" s="300">
        <v>298</v>
      </c>
      <c r="N30" s="326">
        <v>44894</v>
      </c>
      <c r="O30" s="323">
        <v>3.3</v>
      </c>
      <c r="P30" s="322">
        <v>34840.162018199997</v>
      </c>
      <c r="Q30" s="300" t="s">
        <v>1346</v>
      </c>
      <c r="R30" s="300" t="s">
        <v>1741</v>
      </c>
      <c r="S30" s="300" t="s">
        <v>1742</v>
      </c>
      <c r="T30" s="300">
        <v>721110</v>
      </c>
      <c r="U30" s="323">
        <v>1.75</v>
      </c>
      <c r="V30" s="327">
        <f t="shared" si="1"/>
        <v>1.7500000000000002E-2</v>
      </c>
      <c r="W30" s="323">
        <v>-0.67500000000000004</v>
      </c>
      <c r="X30" s="300" t="s">
        <v>26</v>
      </c>
      <c r="Y30" s="300" t="s">
        <v>1248</v>
      </c>
      <c r="Z30" s="300" t="s">
        <v>1251</v>
      </c>
      <c r="AA30" s="300" t="s">
        <v>1251</v>
      </c>
      <c r="AB30" s="300" t="s">
        <v>1556</v>
      </c>
      <c r="AC30" s="300"/>
      <c r="AD30" s="328" t="s">
        <v>1579</v>
      </c>
      <c r="AE30" s="328">
        <v>402181</v>
      </c>
      <c r="AF30" s="328" t="s">
        <v>1251</v>
      </c>
      <c r="AG30" s="29">
        <v>72</v>
      </c>
      <c r="AH30" s="329" t="s">
        <v>87</v>
      </c>
      <c r="AI30" s="330">
        <v>1</v>
      </c>
      <c r="AJ30" s="309">
        <v>1</v>
      </c>
      <c r="AK30" s="302"/>
      <c r="AL30" s="303"/>
      <c r="AM30" s="305"/>
      <c r="AN30" s="301"/>
      <c r="AO30" s="305"/>
      <c r="AP30" s="301"/>
      <c r="AQ30" s="301"/>
      <c r="AR30" s="332"/>
    </row>
    <row r="31" spans="1:44">
      <c r="A31" s="299">
        <v>319775.11</v>
      </c>
      <c r="B31" s="300">
        <v>9631768210</v>
      </c>
      <c r="C31" s="300" t="s">
        <v>1689</v>
      </c>
      <c r="D31" s="300" t="s">
        <v>1690</v>
      </c>
      <c r="E31" s="300">
        <v>402</v>
      </c>
      <c r="F31" s="322">
        <v>1796742.92</v>
      </c>
      <c r="G31" s="323">
        <v>0.53</v>
      </c>
      <c r="H31" s="324">
        <f t="shared" si="0"/>
        <v>5.3E-3</v>
      </c>
      <c r="I31" s="325">
        <v>44854</v>
      </c>
      <c r="J31" s="300">
        <v>3</v>
      </c>
      <c r="K31" s="325">
        <v>54011</v>
      </c>
      <c r="L31" s="300">
        <v>301</v>
      </c>
      <c r="M31" s="300">
        <v>298</v>
      </c>
      <c r="N31" s="326">
        <v>44885</v>
      </c>
      <c r="O31" s="323">
        <v>3.3</v>
      </c>
      <c r="P31" s="322">
        <v>31425.033670799996</v>
      </c>
      <c r="Q31" s="300" t="s">
        <v>1347</v>
      </c>
      <c r="R31" s="300" t="s">
        <v>1743</v>
      </c>
      <c r="S31" s="300" t="s">
        <v>1744</v>
      </c>
      <c r="T31" s="300">
        <v>722511</v>
      </c>
      <c r="U31" s="323">
        <v>1</v>
      </c>
      <c r="V31" s="327">
        <f t="shared" si="1"/>
        <v>0.01</v>
      </c>
      <c r="W31" s="323">
        <v>-0.67500000000000004</v>
      </c>
      <c r="X31" s="300" t="s">
        <v>26</v>
      </c>
      <c r="Y31" s="300" t="s">
        <v>1248</v>
      </c>
      <c r="Z31" s="300" t="s">
        <v>1251</v>
      </c>
      <c r="AA31" s="300" t="s">
        <v>1251</v>
      </c>
      <c r="AB31" s="300" t="s">
        <v>1556</v>
      </c>
      <c r="AC31" s="300"/>
      <c r="AD31" s="328" t="s">
        <v>1580</v>
      </c>
      <c r="AE31" s="328">
        <v>402203</v>
      </c>
      <c r="AF31" s="328" t="s">
        <v>1251</v>
      </c>
      <c r="AG31" s="29">
        <v>72</v>
      </c>
      <c r="AH31" s="329" t="s">
        <v>93</v>
      </c>
      <c r="AI31" s="330">
        <v>1</v>
      </c>
      <c r="AJ31" s="309">
        <v>1</v>
      </c>
      <c r="AK31" s="302"/>
      <c r="AL31" s="303"/>
      <c r="AM31" s="305"/>
      <c r="AN31" s="301"/>
      <c r="AO31" s="305"/>
      <c r="AP31" s="301"/>
      <c r="AQ31" s="301"/>
      <c r="AR31" s="332"/>
    </row>
    <row r="32" spans="1:44">
      <c r="A32" s="299">
        <v>319940.11</v>
      </c>
      <c r="B32" s="300">
        <v>4423569110</v>
      </c>
      <c r="C32" s="300" t="s">
        <v>1689</v>
      </c>
      <c r="D32" s="300" t="s">
        <v>1690</v>
      </c>
      <c r="E32" s="300">
        <v>402</v>
      </c>
      <c r="F32" s="322">
        <v>535500</v>
      </c>
      <c r="G32" s="323">
        <v>1.73</v>
      </c>
      <c r="H32" s="324">
        <f t="shared" si="0"/>
        <v>1.7299999999999999E-2</v>
      </c>
      <c r="I32" s="325">
        <v>44865</v>
      </c>
      <c r="J32" s="300">
        <v>3</v>
      </c>
      <c r="K32" s="325">
        <v>54011</v>
      </c>
      <c r="L32" s="300">
        <v>301</v>
      </c>
      <c r="M32" s="300">
        <v>298</v>
      </c>
      <c r="N32" s="326">
        <v>44899</v>
      </c>
      <c r="O32" s="323">
        <v>3.3</v>
      </c>
      <c r="P32" s="322">
        <v>30571.695</v>
      </c>
      <c r="Q32" s="300" t="s">
        <v>1348</v>
      </c>
      <c r="R32" s="300" t="s">
        <v>1745</v>
      </c>
      <c r="S32" s="300" t="s">
        <v>1746</v>
      </c>
      <c r="T32" s="300">
        <v>238160</v>
      </c>
      <c r="U32" s="323">
        <v>2.75</v>
      </c>
      <c r="V32" s="327">
        <f t="shared" si="1"/>
        <v>2.75E-2</v>
      </c>
      <c r="W32" s="323">
        <v>-0.67500000000000004</v>
      </c>
      <c r="X32" s="300" t="s">
        <v>26</v>
      </c>
      <c r="Y32" s="300" t="s">
        <v>1248</v>
      </c>
      <c r="Z32" s="300" t="s">
        <v>1251</v>
      </c>
      <c r="AA32" s="300" t="s">
        <v>1251</v>
      </c>
      <c r="AB32" s="300" t="s">
        <v>1556</v>
      </c>
      <c r="AC32" s="300"/>
      <c r="AD32" s="328" t="s">
        <v>1557</v>
      </c>
      <c r="AE32" s="328">
        <v>402200</v>
      </c>
      <c r="AF32" s="328" t="s">
        <v>1251</v>
      </c>
      <c r="AG32" s="29">
        <v>23</v>
      </c>
      <c r="AH32" s="329" t="s">
        <v>42</v>
      </c>
      <c r="AI32" s="330">
        <v>1</v>
      </c>
      <c r="AJ32" s="309">
        <v>1</v>
      </c>
      <c r="AK32" s="302"/>
      <c r="AL32" s="303"/>
      <c r="AM32" s="305"/>
      <c r="AN32" s="301"/>
      <c r="AO32" s="305"/>
      <c r="AP32" s="301"/>
      <c r="AQ32" s="301"/>
      <c r="AR32" s="332"/>
    </row>
    <row r="33" spans="1:44">
      <c r="A33" s="299">
        <v>319748.11</v>
      </c>
      <c r="B33" s="300">
        <v>4349739103</v>
      </c>
      <c r="C33" s="300" t="s">
        <v>1689</v>
      </c>
      <c r="D33" s="300" t="s">
        <v>1690</v>
      </c>
      <c r="E33" s="300">
        <v>402</v>
      </c>
      <c r="F33" s="322">
        <v>506397.33</v>
      </c>
      <c r="G33" s="323">
        <v>1.73</v>
      </c>
      <c r="H33" s="324">
        <f t="shared" si="0"/>
        <v>1.7299999999999999E-2</v>
      </c>
      <c r="I33" s="325">
        <v>44848</v>
      </c>
      <c r="J33" s="300">
        <v>3</v>
      </c>
      <c r="K33" s="325">
        <v>54011</v>
      </c>
      <c r="L33" s="300">
        <v>301</v>
      </c>
      <c r="M33" s="300">
        <v>298</v>
      </c>
      <c r="N33" s="326">
        <v>44909</v>
      </c>
      <c r="O33" s="323">
        <v>3.3</v>
      </c>
      <c r="P33" s="322">
        <v>28910.2235697</v>
      </c>
      <c r="Q33" s="300" t="s">
        <v>1349</v>
      </c>
      <c r="R33" s="300" t="s">
        <v>1747</v>
      </c>
      <c r="S33" s="300" t="s">
        <v>1748</v>
      </c>
      <c r="T33" s="300">
        <v>624410</v>
      </c>
      <c r="U33" s="323">
        <v>2.75</v>
      </c>
      <c r="V33" s="327">
        <f t="shared" si="1"/>
        <v>2.75E-2</v>
      </c>
      <c r="W33" s="323">
        <v>-0.67500000000000004</v>
      </c>
      <c r="X33" s="300" t="s">
        <v>26</v>
      </c>
      <c r="Y33" s="300" t="s">
        <v>1248</v>
      </c>
      <c r="Z33" s="300" t="s">
        <v>1251</v>
      </c>
      <c r="AA33" s="300" t="s">
        <v>1251</v>
      </c>
      <c r="AB33" s="300" t="s">
        <v>1556</v>
      </c>
      <c r="AC33" s="300"/>
      <c r="AD33" s="328" t="s">
        <v>1557</v>
      </c>
      <c r="AE33" s="328">
        <v>402190</v>
      </c>
      <c r="AF33" s="328" t="s">
        <v>1251</v>
      </c>
      <c r="AG33" s="29">
        <v>62</v>
      </c>
      <c r="AH33" s="329" t="s">
        <v>82</v>
      </c>
      <c r="AI33" s="330">
        <v>1</v>
      </c>
      <c r="AJ33" s="309">
        <v>1</v>
      </c>
      <c r="AK33" s="302"/>
      <c r="AL33" s="303"/>
      <c r="AM33" s="305"/>
      <c r="AN33" s="301"/>
      <c r="AO33" s="305"/>
      <c r="AP33" s="301"/>
      <c r="AQ33" s="301"/>
      <c r="AR33" s="332"/>
    </row>
    <row r="34" spans="1:44">
      <c r="A34" s="299">
        <v>319678.11</v>
      </c>
      <c r="B34" s="300">
        <v>4325179107</v>
      </c>
      <c r="C34" s="300" t="s">
        <v>1689</v>
      </c>
      <c r="D34" s="300" t="s">
        <v>1690</v>
      </c>
      <c r="E34" s="300">
        <v>402</v>
      </c>
      <c r="F34" s="322">
        <v>460953.23</v>
      </c>
      <c r="G34" s="323">
        <v>1.615</v>
      </c>
      <c r="H34" s="324">
        <f t="shared" si="0"/>
        <v>1.6150000000000001E-2</v>
      </c>
      <c r="I34" s="325">
        <v>44837</v>
      </c>
      <c r="J34" s="300">
        <v>3</v>
      </c>
      <c r="K34" s="325">
        <v>54011</v>
      </c>
      <c r="L34" s="300">
        <v>301</v>
      </c>
      <c r="M34" s="300">
        <v>298</v>
      </c>
      <c r="N34" s="326">
        <v>44897</v>
      </c>
      <c r="O34" s="323">
        <v>3.3</v>
      </c>
      <c r="P34" s="322">
        <v>24566.502392849998</v>
      </c>
      <c r="Q34" s="300" t="s">
        <v>1350</v>
      </c>
      <c r="R34" s="300" t="s">
        <v>1749</v>
      </c>
      <c r="S34" s="300" t="s">
        <v>1750</v>
      </c>
      <c r="T34" s="300">
        <v>623220</v>
      </c>
      <c r="U34" s="323">
        <v>2.75</v>
      </c>
      <c r="V34" s="327">
        <f t="shared" si="1"/>
        <v>2.75E-2</v>
      </c>
      <c r="W34" s="323">
        <v>-0.5</v>
      </c>
      <c r="X34" s="300" t="s">
        <v>26</v>
      </c>
      <c r="Y34" s="300" t="s">
        <v>1248</v>
      </c>
      <c r="Z34" s="300" t="s">
        <v>1251</v>
      </c>
      <c r="AA34" s="300" t="s">
        <v>1251</v>
      </c>
      <c r="AB34" s="300" t="s">
        <v>1556</v>
      </c>
      <c r="AC34" s="300"/>
      <c r="AD34" s="328" t="s">
        <v>1557</v>
      </c>
      <c r="AE34" s="328">
        <v>400163</v>
      </c>
      <c r="AF34" s="328" t="s">
        <v>1251</v>
      </c>
      <c r="AG34" s="29">
        <v>62</v>
      </c>
      <c r="AH34" s="329" t="s">
        <v>54</v>
      </c>
      <c r="AI34" s="330">
        <v>1</v>
      </c>
      <c r="AJ34" s="309">
        <v>1</v>
      </c>
      <c r="AK34" s="302"/>
      <c r="AL34" s="303"/>
      <c r="AM34" s="305"/>
      <c r="AN34" s="301"/>
      <c r="AO34" s="305"/>
      <c r="AP34" s="301"/>
      <c r="AQ34" s="301"/>
      <c r="AR34" s="332"/>
    </row>
    <row r="35" spans="1:44">
      <c r="A35" s="299">
        <v>319654.11</v>
      </c>
      <c r="B35" s="300">
        <v>4319229102</v>
      </c>
      <c r="C35" s="300" t="s">
        <v>1689</v>
      </c>
      <c r="D35" s="300" t="s">
        <v>1690</v>
      </c>
      <c r="E35" s="300">
        <v>402</v>
      </c>
      <c r="F35" s="322">
        <v>2160000</v>
      </c>
      <c r="G35" s="323">
        <v>0.30499999999999999</v>
      </c>
      <c r="H35" s="324">
        <f t="shared" si="0"/>
        <v>3.0499999999999998E-3</v>
      </c>
      <c r="I35" s="325">
        <v>44837</v>
      </c>
      <c r="J35" s="300">
        <v>3</v>
      </c>
      <c r="K35" s="325">
        <v>54011</v>
      </c>
      <c r="L35" s="300">
        <v>301</v>
      </c>
      <c r="M35" s="300">
        <v>298</v>
      </c>
      <c r="N35" s="326">
        <v>44854</v>
      </c>
      <c r="O35" s="323">
        <v>3.3</v>
      </c>
      <c r="P35" s="322">
        <v>21740.399999999998</v>
      </c>
      <c r="Q35" s="300" t="s">
        <v>1351</v>
      </c>
      <c r="R35" s="300" t="s">
        <v>1751</v>
      </c>
      <c r="S35" s="300" t="s">
        <v>1752</v>
      </c>
      <c r="T35" s="300">
        <v>424490</v>
      </c>
      <c r="U35" s="323">
        <v>1.5</v>
      </c>
      <c r="V35" s="327">
        <f t="shared" si="1"/>
        <v>1.4999999999999999E-2</v>
      </c>
      <c r="W35" s="323">
        <v>-0.5</v>
      </c>
      <c r="X35" s="300" t="s">
        <v>26</v>
      </c>
      <c r="Y35" s="300" t="s">
        <v>1248</v>
      </c>
      <c r="Z35" s="300" t="s">
        <v>1251</v>
      </c>
      <c r="AA35" s="300" t="s">
        <v>1251</v>
      </c>
      <c r="AB35" s="300" t="s">
        <v>1556</v>
      </c>
      <c r="AC35" s="300"/>
      <c r="AD35" s="328" t="s">
        <v>1581</v>
      </c>
      <c r="AE35" s="328">
        <v>400161</v>
      </c>
      <c r="AF35" s="328" t="s">
        <v>1251</v>
      </c>
      <c r="AG35" s="29">
        <v>42</v>
      </c>
      <c r="AH35" s="329" t="s">
        <v>42</v>
      </c>
      <c r="AI35" s="330">
        <v>1</v>
      </c>
      <c r="AJ35" s="309">
        <v>1</v>
      </c>
      <c r="AK35" s="302"/>
      <c r="AL35" s="303"/>
      <c r="AM35" s="305"/>
      <c r="AN35" s="301"/>
      <c r="AO35" s="305"/>
      <c r="AP35" s="301"/>
      <c r="AQ35" s="301"/>
      <c r="AR35" s="332"/>
    </row>
    <row r="36" spans="1:44">
      <c r="A36" s="299">
        <v>319933.11</v>
      </c>
      <c r="B36" s="300">
        <v>4367999104</v>
      </c>
      <c r="C36" s="300" t="s">
        <v>1689</v>
      </c>
      <c r="D36" s="300" t="s">
        <v>1690</v>
      </c>
      <c r="E36" s="300">
        <v>402</v>
      </c>
      <c r="F36" s="322">
        <v>379145.07</v>
      </c>
      <c r="G36" s="323">
        <v>1.73</v>
      </c>
      <c r="H36" s="324">
        <f t="shared" si="0"/>
        <v>1.7299999999999999E-2</v>
      </c>
      <c r="I36" s="325">
        <v>44848</v>
      </c>
      <c r="J36" s="300">
        <v>3</v>
      </c>
      <c r="K36" s="325">
        <v>54011</v>
      </c>
      <c r="L36" s="300">
        <v>301</v>
      </c>
      <c r="M36" s="300">
        <v>298</v>
      </c>
      <c r="N36" s="326">
        <v>44896</v>
      </c>
      <c r="O36" s="323">
        <v>3.3</v>
      </c>
      <c r="P36" s="322">
        <v>21645.392046299999</v>
      </c>
      <c r="Q36" s="300" t="s">
        <v>1352</v>
      </c>
      <c r="R36" s="300" t="s">
        <v>1753</v>
      </c>
      <c r="S36" s="300" t="s">
        <v>1754</v>
      </c>
      <c r="T36" s="300">
        <v>624410</v>
      </c>
      <c r="U36" s="323">
        <v>2.75</v>
      </c>
      <c r="V36" s="327">
        <f t="shared" si="1"/>
        <v>2.75E-2</v>
      </c>
      <c r="W36" s="323">
        <v>-0.67500000000000004</v>
      </c>
      <c r="X36" s="300" t="s">
        <v>26</v>
      </c>
      <c r="Y36" s="300" t="s">
        <v>1248</v>
      </c>
      <c r="Z36" s="300" t="s">
        <v>1251</v>
      </c>
      <c r="AA36" s="300" t="s">
        <v>1251</v>
      </c>
      <c r="AB36" s="300" t="s">
        <v>1556</v>
      </c>
      <c r="AC36" s="300"/>
      <c r="AD36" s="328" t="s">
        <v>1562</v>
      </c>
      <c r="AE36" s="328">
        <v>402195</v>
      </c>
      <c r="AF36" s="328" t="s">
        <v>1251</v>
      </c>
      <c r="AG36" s="29">
        <v>62</v>
      </c>
      <c r="AH36" s="329" t="s">
        <v>87</v>
      </c>
      <c r="AI36" s="330">
        <v>1</v>
      </c>
      <c r="AJ36" s="309">
        <v>1</v>
      </c>
      <c r="AK36" s="302"/>
      <c r="AL36" s="303"/>
      <c r="AM36" s="305"/>
      <c r="AN36" s="301"/>
      <c r="AO36" s="305"/>
      <c r="AP36" s="301"/>
      <c r="AQ36" s="301"/>
      <c r="AR36" s="332"/>
    </row>
    <row r="37" spans="1:44">
      <c r="A37" s="299">
        <v>319751.11</v>
      </c>
      <c r="B37" s="300">
        <v>4297569108</v>
      </c>
      <c r="C37" s="300" t="s">
        <v>1689</v>
      </c>
      <c r="D37" s="300" t="s">
        <v>1690</v>
      </c>
      <c r="E37" s="300">
        <v>402</v>
      </c>
      <c r="F37" s="322">
        <v>622876</v>
      </c>
      <c r="G37" s="323">
        <v>1.04</v>
      </c>
      <c r="H37" s="324">
        <f t="shared" si="0"/>
        <v>1.04E-2</v>
      </c>
      <c r="I37" s="325">
        <v>44838</v>
      </c>
      <c r="J37" s="300">
        <v>3</v>
      </c>
      <c r="K37" s="325">
        <v>54011</v>
      </c>
      <c r="L37" s="300">
        <v>301</v>
      </c>
      <c r="M37" s="300">
        <v>298</v>
      </c>
      <c r="N37" s="326">
        <v>44896</v>
      </c>
      <c r="O37" s="323">
        <v>3.3</v>
      </c>
      <c r="P37" s="322">
        <v>21377.104319999999</v>
      </c>
      <c r="Q37" s="300" t="s">
        <v>1353</v>
      </c>
      <c r="R37" s="300" t="s">
        <v>1755</v>
      </c>
      <c r="S37" s="300" t="s">
        <v>1756</v>
      </c>
      <c r="T37" s="300">
        <v>484121</v>
      </c>
      <c r="U37" s="323">
        <v>2</v>
      </c>
      <c r="V37" s="327">
        <f t="shared" si="1"/>
        <v>0.02</v>
      </c>
      <c r="W37" s="323">
        <v>-0.67500000000000004</v>
      </c>
      <c r="X37" s="300" t="s">
        <v>26</v>
      </c>
      <c r="Y37" s="300" t="s">
        <v>1248</v>
      </c>
      <c r="Z37" s="300" t="s">
        <v>1251</v>
      </c>
      <c r="AA37" s="300" t="s">
        <v>1251</v>
      </c>
      <c r="AB37" s="300" t="s">
        <v>1556</v>
      </c>
      <c r="AC37" s="300"/>
      <c r="AD37" s="328" t="s">
        <v>1557</v>
      </c>
      <c r="AE37" s="328">
        <v>402179</v>
      </c>
      <c r="AF37" s="328" t="s">
        <v>1251</v>
      </c>
      <c r="AG37" s="29">
        <v>48</v>
      </c>
      <c r="AH37" s="329" t="s">
        <v>40</v>
      </c>
      <c r="AI37" s="330">
        <v>1</v>
      </c>
      <c r="AJ37" s="309">
        <v>1</v>
      </c>
      <c r="AK37" s="302"/>
      <c r="AL37" s="303"/>
      <c r="AM37" s="305"/>
      <c r="AN37" s="301"/>
      <c r="AO37" s="305"/>
      <c r="AP37" s="301"/>
      <c r="AQ37" s="301"/>
      <c r="AR37" s="332"/>
    </row>
    <row r="38" spans="1:44">
      <c r="A38" s="299">
        <v>319731.11</v>
      </c>
      <c r="B38" s="300">
        <v>4350809108</v>
      </c>
      <c r="C38" s="300" t="s">
        <v>1689</v>
      </c>
      <c r="D38" s="300" t="s">
        <v>1690</v>
      </c>
      <c r="E38" s="300">
        <v>402</v>
      </c>
      <c r="F38" s="322">
        <v>751664.12</v>
      </c>
      <c r="G38" s="323">
        <v>0.80500000000000005</v>
      </c>
      <c r="H38" s="324">
        <f t="shared" si="0"/>
        <v>8.0499999999999999E-3</v>
      </c>
      <c r="I38" s="325">
        <v>44848</v>
      </c>
      <c r="J38" s="300">
        <v>3</v>
      </c>
      <c r="K38" s="325">
        <v>54011</v>
      </c>
      <c r="L38" s="300">
        <v>301</v>
      </c>
      <c r="M38" s="300">
        <v>298</v>
      </c>
      <c r="N38" s="326">
        <v>44896</v>
      </c>
      <c r="O38" s="323">
        <v>3.3</v>
      </c>
      <c r="P38" s="322">
        <v>19967.957347799998</v>
      </c>
      <c r="Q38" s="300" t="s">
        <v>1354</v>
      </c>
      <c r="R38" s="300" t="s">
        <v>1757</v>
      </c>
      <c r="S38" s="300" t="s">
        <v>1758</v>
      </c>
      <c r="T38" s="300">
        <v>484110</v>
      </c>
      <c r="U38" s="323">
        <v>2</v>
      </c>
      <c r="V38" s="327">
        <f t="shared" si="1"/>
        <v>0.02</v>
      </c>
      <c r="W38" s="323">
        <v>-0.5</v>
      </c>
      <c r="X38" s="300" t="s">
        <v>26</v>
      </c>
      <c r="Y38" s="300" t="s">
        <v>1248</v>
      </c>
      <c r="Z38" s="300" t="s">
        <v>1251</v>
      </c>
      <c r="AA38" s="300" t="s">
        <v>1251</v>
      </c>
      <c r="AB38" s="300" t="s">
        <v>1556</v>
      </c>
      <c r="AC38" s="300"/>
      <c r="AD38" s="328" t="s">
        <v>1582</v>
      </c>
      <c r="AE38" s="328">
        <v>400171</v>
      </c>
      <c r="AF38" s="328" t="s">
        <v>1251</v>
      </c>
      <c r="AG38" s="29">
        <v>48</v>
      </c>
      <c r="AH38" s="329" t="s">
        <v>35</v>
      </c>
      <c r="AI38" s="330">
        <v>1</v>
      </c>
      <c r="AJ38" s="309">
        <v>1</v>
      </c>
      <c r="AK38" s="302"/>
      <c r="AL38" s="303"/>
      <c r="AM38" s="305"/>
      <c r="AN38" s="301"/>
      <c r="AO38" s="305"/>
      <c r="AP38" s="301"/>
      <c r="AQ38" s="301"/>
      <c r="AR38" s="332"/>
    </row>
    <row r="39" spans="1:44">
      <c r="A39" s="299">
        <v>319727.11</v>
      </c>
      <c r="B39" s="300">
        <v>4293019110</v>
      </c>
      <c r="C39" s="300" t="s">
        <v>1689</v>
      </c>
      <c r="D39" s="300" t="s">
        <v>1690</v>
      </c>
      <c r="E39" s="300">
        <v>402</v>
      </c>
      <c r="F39" s="322">
        <v>1083225</v>
      </c>
      <c r="G39" s="323">
        <v>0.55500000000000005</v>
      </c>
      <c r="H39" s="324">
        <f t="shared" si="0"/>
        <v>5.5500000000000002E-3</v>
      </c>
      <c r="I39" s="325">
        <v>44835</v>
      </c>
      <c r="J39" s="300">
        <v>3</v>
      </c>
      <c r="K39" s="325">
        <v>54011</v>
      </c>
      <c r="L39" s="300">
        <v>301</v>
      </c>
      <c r="M39" s="300">
        <v>298</v>
      </c>
      <c r="N39" s="326">
        <v>44875</v>
      </c>
      <c r="O39" s="323">
        <v>3.3</v>
      </c>
      <c r="P39" s="322">
        <v>19839.265875000001</v>
      </c>
      <c r="Q39" s="300" t="s">
        <v>1355</v>
      </c>
      <c r="R39" s="300" t="s">
        <v>1759</v>
      </c>
      <c r="S39" s="300" t="s">
        <v>1760</v>
      </c>
      <c r="T39" s="300">
        <v>532310</v>
      </c>
      <c r="U39" s="323">
        <v>1.75</v>
      </c>
      <c r="V39" s="327">
        <f t="shared" si="1"/>
        <v>1.7500000000000002E-2</v>
      </c>
      <c r="W39" s="323">
        <v>-0.5</v>
      </c>
      <c r="X39" s="300" t="s">
        <v>26</v>
      </c>
      <c r="Y39" s="300" t="s">
        <v>1248</v>
      </c>
      <c r="Z39" s="300" t="s">
        <v>1251</v>
      </c>
      <c r="AA39" s="300" t="s">
        <v>1251</v>
      </c>
      <c r="AB39" s="300" t="s">
        <v>1556</v>
      </c>
      <c r="AC39" s="300"/>
      <c r="AD39" s="328" t="s">
        <v>1559</v>
      </c>
      <c r="AE39" s="328">
        <v>400159</v>
      </c>
      <c r="AF39" s="328" t="s">
        <v>1251</v>
      </c>
      <c r="AG39" s="29">
        <v>53</v>
      </c>
      <c r="AH39" s="329" t="s">
        <v>52</v>
      </c>
      <c r="AI39" s="330">
        <v>1</v>
      </c>
      <c r="AJ39" s="309">
        <v>1</v>
      </c>
      <c r="AK39" s="302"/>
      <c r="AL39" s="303"/>
      <c r="AM39" s="305"/>
      <c r="AN39" s="301"/>
      <c r="AO39" s="305"/>
      <c r="AP39" s="301"/>
      <c r="AQ39" s="301"/>
      <c r="AR39" s="332"/>
    </row>
    <row r="40" spans="1:44">
      <c r="A40" s="299">
        <v>319674.11</v>
      </c>
      <c r="B40" s="300">
        <v>3936019110</v>
      </c>
      <c r="C40" s="300" t="s">
        <v>1689</v>
      </c>
      <c r="D40" s="300" t="s">
        <v>1690</v>
      </c>
      <c r="E40" s="300">
        <v>402</v>
      </c>
      <c r="F40" s="322">
        <v>261750</v>
      </c>
      <c r="G40" s="323">
        <v>2.2799999999999998</v>
      </c>
      <c r="H40" s="324">
        <f t="shared" si="0"/>
        <v>2.2799999999999997E-2</v>
      </c>
      <c r="I40" s="325">
        <v>44852</v>
      </c>
      <c r="J40" s="300">
        <v>3</v>
      </c>
      <c r="K40" s="325">
        <v>54011</v>
      </c>
      <c r="L40" s="300">
        <v>301</v>
      </c>
      <c r="M40" s="300">
        <v>298</v>
      </c>
      <c r="N40" s="326">
        <v>44895</v>
      </c>
      <c r="O40" s="323">
        <v>3.3</v>
      </c>
      <c r="P40" s="322">
        <v>19694.069999999996</v>
      </c>
      <c r="Q40" s="300" t="s">
        <v>1356</v>
      </c>
      <c r="R40" s="300" t="s">
        <v>1761</v>
      </c>
      <c r="S40" s="300" t="s">
        <v>1762</v>
      </c>
      <c r="T40" s="300">
        <v>722410</v>
      </c>
      <c r="U40" s="323">
        <v>2.75</v>
      </c>
      <c r="V40" s="327">
        <f t="shared" si="1"/>
        <v>2.75E-2</v>
      </c>
      <c r="W40" s="323">
        <v>-0.67500000000000004</v>
      </c>
      <c r="X40" s="300" t="s">
        <v>26</v>
      </c>
      <c r="Y40" s="300" t="s">
        <v>1248</v>
      </c>
      <c r="Z40" s="300" t="s">
        <v>1251</v>
      </c>
      <c r="AA40" s="300" t="s">
        <v>1251</v>
      </c>
      <c r="AB40" s="300" t="s">
        <v>1</v>
      </c>
      <c r="AC40" s="300"/>
      <c r="AD40" s="328" t="s">
        <v>1583</v>
      </c>
      <c r="AE40" s="328">
        <v>402166</v>
      </c>
      <c r="AF40" s="328" t="s">
        <v>1251</v>
      </c>
      <c r="AG40" s="29">
        <v>72</v>
      </c>
      <c r="AH40" s="329" t="s">
        <v>49</v>
      </c>
      <c r="AI40" s="330">
        <v>1</v>
      </c>
      <c r="AJ40" s="309">
        <v>1</v>
      </c>
      <c r="AK40" s="302"/>
      <c r="AL40" s="303"/>
      <c r="AM40" s="305"/>
      <c r="AN40" s="301"/>
      <c r="AO40" s="305"/>
      <c r="AP40" s="301"/>
      <c r="AQ40" s="301"/>
      <c r="AR40" s="332"/>
    </row>
    <row r="41" spans="1:44">
      <c r="A41" s="299">
        <v>319783.11</v>
      </c>
      <c r="B41" s="300">
        <v>4350399105</v>
      </c>
      <c r="C41" s="300" t="s">
        <v>1689</v>
      </c>
      <c r="D41" s="300" t="s">
        <v>1690</v>
      </c>
      <c r="E41" s="300">
        <v>402</v>
      </c>
      <c r="F41" s="322">
        <v>511460.81</v>
      </c>
      <c r="G41" s="323">
        <v>0.98</v>
      </c>
      <c r="H41" s="324">
        <f t="shared" si="0"/>
        <v>9.7999999999999997E-3</v>
      </c>
      <c r="I41" s="325">
        <v>44854</v>
      </c>
      <c r="J41" s="300">
        <v>3</v>
      </c>
      <c r="K41" s="325">
        <v>54011</v>
      </c>
      <c r="L41" s="300">
        <v>301</v>
      </c>
      <c r="M41" s="300">
        <v>298</v>
      </c>
      <c r="N41" s="326">
        <v>44922</v>
      </c>
      <c r="O41" s="323">
        <v>3.3</v>
      </c>
      <c r="P41" s="322">
        <v>16540.642595400001</v>
      </c>
      <c r="Q41" s="300" t="s">
        <v>1357</v>
      </c>
      <c r="R41" s="300" t="s">
        <v>1763</v>
      </c>
      <c r="S41" s="300" t="s">
        <v>1764</v>
      </c>
      <c r="T41" s="300">
        <v>441310</v>
      </c>
      <c r="U41" s="323">
        <v>2</v>
      </c>
      <c r="V41" s="327">
        <f t="shared" si="1"/>
        <v>0.02</v>
      </c>
      <c r="W41" s="323">
        <v>-0.67500000000000004</v>
      </c>
      <c r="X41" s="300" t="s">
        <v>26</v>
      </c>
      <c r="Y41" s="300" t="s">
        <v>1248</v>
      </c>
      <c r="Z41" s="300" t="s">
        <v>1251</v>
      </c>
      <c r="AA41" s="300" t="s">
        <v>1251</v>
      </c>
      <c r="AB41" s="300" t="s">
        <v>1556</v>
      </c>
      <c r="AC41" s="300"/>
      <c r="AD41" s="328" t="s">
        <v>1575</v>
      </c>
      <c r="AE41" s="328">
        <v>402191</v>
      </c>
      <c r="AF41" s="328" t="s">
        <v>1251</v>
      </c>
      <c r="AG41" s="29">
        <v>44</v>
      </c>
      <c r="AH41" s="329" t="s">
        <v>93</v>
      </c>
      <c r="AI41" s="330">
        <v>1</v>
      </c>
      <c r="AJ41" s="309">
        <v>1</v>
      </c>
      <c r="AK41" s="302"/>
      <c r="AL41" s="303"/>
      <c r="AM41" s="305"/>
      <c r="AN41" s="301"/>
      <c r="AO41" s="305"/>
      <c r="AP41" s="301"/>
      <c r="AQ41" s="301"/>
      <c r="AR41" s="332"/>
    </row>
    <row r="42" spans="1:44">
      <c r="A42" s="299">
        <v>319687.11</v>
      </c>
      <c r="B42" s="300">
        <v>4333549100</v>
      </c>
      <c r="C42" s="300" t="s">
        <v>1689</v>
      </c>
      <c r="D42" s="300" t="s">
        <v>1690</v>
      </c>
      <c r="E42" s="300">
        <v>402</v>
      </c>
      <c r="F42" s="322">
        <v>300000</v>
      </c>
      <c r="G42" s="323">
        <v>1.615</v>
      </c>
      <c r="H42" s="324">
        <f t="shared" si="0"/>
        <v>1.6150000000000001E-2</v>
      </c>
      <c r="I42" s="325">
        <v>44840</v>
      </c>
      <c r="J42" s="300">
        <v>3</v>
      </c>
      <c r="K42" s="325">
        <v>54011</v>
      </c>
      <c r="L42" s="300">
        <v>301</v>
      </c>
      <c r="M42" s="300">
        <v>298</v>
      </c>
      <c r="N42" s="326">
        <v>44896</v>
      </c>
      <c r="O42" s="323">
        <v>3.3</v>
      </c>
      <c r="P42" s="322">
        <v>15988.500000000002</v>
      </c>
      <c r="Q42" s="300" t="s">
        <v>1358</v>
      </c>
      <c r="R42" s="300" t="s">
        <v>1765</v>
      </c>
      <c r="S42" s="300" t="s">
        <v>1766</v>
      </c>
      <c r="T42" s="300">
        <v>812111</v>
      </c>
      <c r="U42" s="323">
        <v>2.75</v>
      </c>
      <c r="V42" s="327">
        <f t="shared" si="1"/>
        <v>2.75E-2</v>
      </c>
      <c r="W42" s="323">
        <v>-0.5</v>
      </c>
      <c r="X42" s="300" t="s">
        <v>26</v>
      </c>
      <c r="Y42" s="300" t="s">
        <v>1248</v>
      </c>
      <c r="Z42" s="300" t="s">
        <v>1251</v>
      </c>
      <c r="AA42" s="300" t="s">
        <v>1251</v>
      </c>
      <c r="AB42" s="300" t="s">
        <v>1</v>
      </c>
      <c r="AC42" s="300"/>
      <c r="AD42" s="328" t="s">
        <v>1584</v>
      </c>
      <c r="AE42" s="328">
        <v>400165</v>
      </c>
      <c r="AF42" s="328" t="s">
        <v>1251</v>
      </c>
      <c r="AG42" s="29">
        <v>81</v>
      </c>
      <c r="AH42" s="329" t="s">
        <v>31</v>
      </c>
      <c r="AI42" s="330">
        <v>1</v>
      </c>
      <c r="AJ42" s="309">
        <v>1</v>
      </c>
      <c r="AK42" s="302"/>
      <c r="AL42" s="303"/>
      <c r="AM42" s="305"/>
      <c r="AN42" s="301"/>
      <c r="AO42" s="305"/>
      <c r="AP42" s="301"/>
      <c r="AQ42" s="301"/>
      <c r="AR42" s="332"/>
    </row>
    <row r="43" spans="1:44">
      <c r="A43" s="299">
        <v>319730.11</v>
      </c>
      <c r="B43" s="300">
        <v>4348469103</v>
      </c>
      <c r="C43" s="300" t="s">
        <v>1689</v>
      </c>
      <c r="D43" s="300" t="s">
        <v>1690</v>
      </c>
      <c r="E43" s="300">
        <v>402</v>
      </c>
      <c r="F43" s="322">
        <v>870000</v>
      </c>
      <c r="G43" s="323">
        <v>0.55500000000000005</v>
      </c>
      <c r="H43" s="324">
        <f t="shared" si="0"/>
        <v>5.5500000000000002E-3</v>
      </c>
      <c r="I43" s="325">
        <v>44858</v>
      </c>
      <c r="J43" s="300">
        <v>3</v>
      </c>
      <c r="K43" s="325">
        <v>54011</v>
      </c>
      <c r="L43" s="300">
        <v>301</v>
      </c>
      <c r="M43" s="300">
        <v>298</v>
      </c>
      <c r="N43" s="326">
        <v>44900</v>
      </c>
      <c r="O43" s="323">
        <v>3.3</v>
      </c>
      <c r="P43" s="322">
        <v>15934.050000000001</v>
      </c>
      <c r="Q43" s="300" t="s">
        <v>1359</v>
      </c>
      <c r="R43" s="300" t="s">
        <v>1767</v>
      </c>
      <c r="S43" s="300" t="s">
        <v>1768</v>
      </c>
      <c r="T43" s="300">
        <v>721110</v>
      </c>
      <c r="U43" s="323">
        <v>1.75</v>
      </c>
      <c r="V43" s="327">
        <f t="shared" si="1"/>
        <v>1.7500000000000002E-2</v>
      </c>
      <c r="W43" s="323">
        <v>-0.5</v>
      </c>
      <c r="X43" s="300" t="s">
        <v>26</v>
      </c>
      <c r="Y43" s="300" t="s">
        <v>1248</v>
      </c>
      <c r="Z43" s="300" t="s">
        <v>1251</v>
      </c>
      <c r="AA43" s="300" t="s">
        <v>1251</v>
      </c>
      <c r="AB43" s="300" t="s">
        <v>1556</v>
      </c>
      <c r="AC43" s="300"/>
      <c r="AD43" s="328" t="s">
        <v>1585</v>
      </c>
      <c r="AE43" s="328">
        <v>400170</v>
      </c>
      <c r="AF43" s="328" t="s">
        <v>1251</v>
      </c>
      <c r="AG43" s="29">
        <v>72</v>
      </c>
      <c r="AH43" s="329" t="s">
        <v>49</v>
      </c>
      <c r="AI43" s="330">
        <v>1</v>
      </c>
      <c r="AJ43" s="309">
        <v>1</v>
      </c>
      <c r="AK43" s="302"/>
      <c r="AL43" s="303"/>
      <c r="AM43" s="305"/>
      <c r="AN43" s="301"/>
      <c r="AO43" s="305"/>
      <c r="AP43" s="301"/>
      <c r="AQ43" s="301"/>
      <c r="AR43" s="332"/>
    </row>
    <row r="44" spans="1:44">
      <c r="A44" s="299">
        <v>319670.11</v>
      </c>
      <c r="B44" s="300">
        <v>4331849103</v>
      </c>
      <c r="C44" s="300" t="s">
        <v>1689</v>
      </c>
      <c r="D44" s="300" t="s">
        <v>1690</v>
      </c>
      <c r="E44" s="300">
        <v>402</v>
      </c>
      <c r="F44" s="322">
        <v>352094.29</v>
      </c>
      <c r="G44" s="323">
        <v>1.365</v>
      </c>
      <c r="H44" s="324">
        <f t="shared" si="0"/>
        <v>1.3650000000000001E-2</v>
      </c>
      <c r="I44" s="325">
        <v>44840</v>
      </c>
      <c r="J44" s="300">
        <v>3</v>
      </c>
      <c r="K44" s="325">
        <v>54011</v>
      </c>
      <c r="L44" s="300">
        <v>301</v>
      </c>
      <c r="M44" s="300">
        <v>298</v>
      </c>
      <c r="N44" s="326">
        <v>44899</v>
      </c>
      <c r="O44" s="323">
        <v>3.3</v>
      </c>
      <c r="P44" s="322">
        <v>15860.087293049999</v>
      </c>
      <c r="Q44" s="300" t="s">
        <v>1360</v>
      </c>
      <c r="R44" s="300" t="s">
        <v>1769</v>
      </c>
      <c r="S44" s="300" t="s">
        <v>1770</v>
      </c>
      <c r="T44" s="300">
        <v>812210</v>
      </c>
      <c r="U44" s="323">
        <v>2.5</v>
      </c>
      <c r="V44" s="327">
        <f t="shared" si="1"/>
        <v>2.5000000000000001E-2</v>
      </c>
      <c r="W44" s="323">
        <v>-0.5</v>
      </c>
      <c r="X44" s="300" t="s">
        <v>26</v>
      </c>
      <c r="Y44" s="300" t="s">
        <v>1248</v>
      </c>
      <c r="Z44" s="300" t="s">
        <v>1251</v>
      </c>
      <c r="AA44" s="300" t="s">
        <v>1251</v>
      </c>
      <c r="AB44" s="300" t="s">
        <v>1556</v>
      </c>
      <c r="AC44" s="300"/>
      <c r="AD44" s="328" t="s">
        <v>1570</v>
      </c>
      <c r="AE44" s="328">
        <v>400164</v>
      </c>
      <c r="AF44" s="328" t="s">
        <v>1251</v>
      </c>
      <c r="AG44" s="29">
        <v>81</v>
      </c>
      <c r="AH44" s="329" t="s">
        <v>31</v>
      </c>
      <c r="AI44" s="330">
        <v>1</v>
      </c>
      <c r="AJ44" s="309">
        <v>1</v>
      </c>
      <c r="AK44" s="302"/>
      <c r="AL44" s="303"/>
      <c r="AM44" s="305"/>
      <c r="AN44" s="301"/>
      <c r="AO44" s="305"/>
      <c r="AP44" s="301"/>
      <c r="AQ44" s="301"/>
      <c r="AR44" s="332"/>
    </row>
    <row r="45" spans="1:44">
      <c r="A45" s="299">
        <v>319764.11</v>
      </c>
      <c r="B45" s="300">
        <v>4364539100</v>
      </c>
      <c r="C45" s="300" t="s">
        <v>1689</v>
      </c>
      <c r="D45" s="300" t="s">
        <v>1690</v>
      </c>
      <c r="E45" s="300">
        <v>402</v>
      </c>
      <c r="F45" s="322">
        <v>1431312.72</v>
      </c>
      <c r="G45" s="323">
        <v>0.30499999999999999</v>
      </c>
      <c r="H45" s="324">
        <f t="shared" si="0"/>
        <v>3.0499999999999998E-3</v>
      </c>
      <c r="I45" s="325">
        <v>44855</v>
      </c>
      <c r="J45" s="300">
        <v>3</v>
      </c>
      <c r="K45" s="325">
        <v>54011</v>
      </c>
      <c r="L45" s="300">
        <v>301</v>
      </c>
      <c r="M45" s="300">
        <v>298</v>
      </c>
      <c r="N45" s="326">
        <v>44896</v>
      </c>
      <c r="O45" s="323">
        <v>3.3</v>
      </c>
      <c r="P45" s="322">
        <v>14406.162526799999</v>
      </c>
      <c r="Q45" s="300" t="s">
        <v>1361</v>
      </c>
      <c r="R45" s="300" t="s">
        <v>1771</v>
      </c>
      <c r="S45" s="300" t="s">
        <v>1772</v>
      </c>
      <c r="T45" s="300">
        <v>457110</v>
      </c>
      <c r="U45" s="323">
        <v>1.5</v>
      </c>
      <c r="V45" s="327">
        <f t="shared" si="1"/>
        <v>1.4999999999999999E-2</v>
      </c>
      <c r="W45" s="323">
        <v>-0.5</v>
      </c>
      <c r="X45" s="300" t="s">
        <v>26</v>
      </c>
      <c r="Y45" s="300" t="s">
        <v>1248</v>
      </c>
      <c r="Z45" s="300" t="s">
        <v>1251</v>
      </c>
      <c r="AA45" s="300" t="s">
        <v>1251</v>
      </c>
      <c r="AB45" s="300" t="s">
        <v>1556</v>
      </c>
      <c r="AC45" s="300"/>
      <c r="AD45" s="328" t="s">
        <v>1562</v>
      </c>
      <c r="AE45" s="328">
        <v>400172</v>
      </c>
      <c r="AF45" s="328" t="s">
        <v>1251</v>
      </c>
      <c r="AG45" s="29">
        <v>45</v>
      </c>
      <c r="AH45" s="329" t="s">
        <v>89</v>
      </c>
      <c r="AI45" s="330">
        <v>1</v>
      </c>
      <c r="AJ45" s="309">
        <v>1</v>
      </c>
      <c r="AK45" s="302"/>
      <c r="AL45" s="303"/>
      <c r="AM45" s="305"/>
      <c r="AN45" s="301"/>
      <c r="AO45" s="305"/>
      <c r="AP45" s="301"/>
      <c r="AQ45" s="301"/>
      <c r="AR45" s="332"/>
    </row>
    <row r="46" spans="1:44">
      <c r="A46" s="299">
        <v>319833.11</v>
      </c>
      <c r="B46" s="300">
        <v>4424379103</v>
      </c>
      <c r="C46" s="300" t="s">
        <v>1689</v>
      </c>
      <c r="D46" s="300" t="s">
        <v>1690</v>
      </c>
      <c r="E46" s="300">
        <v>402</v>
      </c>
      <c r="F46" s="322">
        <v>1818750</v>
      </c>
      <c r="G46" s="323">
        <v>0.23</v>
      </c>
      <c r="H46" s="324">
        <f t="shared" si="0"/>
        <v>2.3E-3</v>
      </c>
      <c r="I46" s="325">
        <v>44862</v>
      </c>
      <c r="J46" s="300">
        <v>3</v>
      </c>
      <c r="K46" s="325">
        <v>54011</v>
      </c>
      <c r="L46" s="300">
        <v>301</v>
      </c>
      <c r="M46" s="300">
        <v>298</v>
      </c>
      <c r="N46" s="326">
        <v>44899</v>
      </c>
      <c r="O46" s="323">
        <v>3.3</v>
      </c>
      <c r="P46" s="322">
        <v>13804.3125</v>
      </c>
      <c r="Q46" s="300" t="s">
        <v>1362</v>
      </c>
      <c r="R46" s="300" t="s">
        <v>1773</v>
      </c>
      <c r="S46" s="300" t="s">
        <v>1774</v>
      </c>
      <c r="T46" s="300">
        <v>624410</v>
      </c>
      <c r="U46" s="323">
        <v>1.25</v>
      </c>
      <c r="V46" s="327">
        <f t="shared" si="1"/>
        <v>1.2500000000000001E-2</v>
      </c>
      <c r="W46" s="323">
        <v>-0.67500000000000004</v>
      </c>
      <c r="X46" s="300" t="s">
        <v>26</v>
      </c>
      <c r="Y46" s="300" t="s">
        <v>1248</v>
      </c>
      <c r="Z46" s="300" t="s">
        <v>1251</v>
      </c>
      <c r="AA46" s="300" t="s">
        <v>1251</v>
      </c>
      <c r="AB46" s="300" t="s">
        <v>1556</v>
      </c>
      <c r="AC46" s="300"/>
      <c r="AD46" s="328" t="s">
        <v>1570</v>
      </c>
      <c r="AE46" s="328">
        <v>402201</v>
      </c>
      <c r="AF46" s="328" t="s">
        <v>1251</v>
      </c>
      <c r="AG46" s="29">
        <v>62</v>
      </c>
      <c r="AH46" s="329" t="s">
        <v>93</v>
      </c>
      <c r="AI46" s="330">
        <v>1</v>
      </c>
      <c r="AJ46" s="309">
        <v>1</v>
      </c>
      <c r="AK46" s="302"/>
      <c r="AL46" s="303"/>
      <c r="AM46" s="305"/>
      <c r="AN46" s="301"/>
      <c r="AO46" s="305"/>
      <c r="AP46" s="301"/>
      <c r="AQ46" s="301"/>
      <c r="AR46" s="332"/>
    </row>
    <row r="47" spans="1:44">
      <c r="A47" s="299">
        <v>319724.11</v>
      </c>
      <c r="B47" s="300">
        <v>4367769105</v>
      </c>
      <c r="C47" s="300" t="s">
        <v>1689</v>
      </c>
      <c r="D47" s="300" t="s">
        <v>1690</v>
      </c>
      <c r="E47" s="300">
        <v>402</v>
      </c>
      <c r="F47" s="322">
        <v>392251.32</v>
      </c>
      <c r="G47" s="323">
        <v>1.0549999999999999</v>
      </c>
      <c r="H47" s="324">
        <f t="shared" si="0"/>
        <v>1.0549999999999999E-2</v>
      </c>
      <c r="I47" s="325">
        <v>44853</v>
      </c>
      <c r="J47" s="300">
        <v>3</v>
      </c>
      <c r="K47" s="325">
        <v>54011</v>
      </c>
      <c r="L47" s="300">
        <v>301</v>
      </c>
      <c r="M47" s="300">
        <v>298</v>
      </c>
      <c r="N47" s="326">
        <v>44914</v>
      </c>
      <c r="O47" s="323">
        <v>3.3</v>
      </c>
      <c r="P47" s="322">
        <v>13656.229705799997</v>
      </c>
      <c r="Q47" s="300" t="s">
        <v>1363</v>
      </c>
      <c r="R47" s="300" t="s">
        <v>1775</v>
      </c>
      <c r="S47" s="300" t="s">
        <v>1776</v>
      </c>
      <c r="T47" s="300">
        <v>332999</v>
      </c>
      <c r="U47" s="323">
        <v>2.25</v>
      </c>
      <c r="V47" s="327">
        <f t="shared" si="1"/>
        <v>2.2499999999999999E-2</v>
      </c>
      <c r="W47" s="323">
        <v>-0.5</v>
      </c>
      <c r="X47" s="300" t="s">
        <v>26</v>
      </c>
      <c r="Y47" s="300" t="s">
        <v>1248</v>
      </c>
      <c r="Z47" s="300" t="s">
        <v>1251</v>
      </c>
      <c r="AA47" s="300" t="s">
        <v>1251</v>
      </c>
      <c r="AB47" s="300" t="s">
        <v>1556</v>
      </c>
      <c r="AC47" s="300"/>
      <c r="AD47" s="328" t="s">
        <v>1580</v>
      </c>
      <c r="AE47" s="328">
        <v>400173</v>
      </c>
      <c r="AF47" s="328" t="s">
        <v>1251</v>
      </c>
      <c r="AG47" s="29">
        <v>33</v>
      </c>
      <c r="AH47" s="329" t="s">
        <v>105</v>
      </c>
      <c r="AI47" s="330">
        <v>1</v>
      </c>
      <c r="AJ47" s="309">
        <v>1</v>
      </c>
      <c r="AK47" s="302"/>
      <c r="AL47" s="303"/>
      <c r="AM47" s="305"/>
      <c r="AN47" s="301"/>
      <c r="AO47" s="305"/>
      <c r="AP47" s="301"/>
      <c r="AQ47" s="301"/>
      <c r="AR47" s="332"/>
    </row>
    <row r="48" spans="1:44">
      <c r="A48" s="299">
        <v>319733.11</v>
      </c>
      <c r="B48" s="300">
        <v>4378159105</v>
      </c>
      <c r="C48" s="300" t="s">
        <v>1689</v>
      </c>
      <c r="D48" s="300" t="s">
        <v>1690</v>
      </c>
      <c r="E48" s="300">
        <v>402</v>
      </c>
      <c r="F48" s="322">
        <v>787070.48</v>
      </c>
      <c r="G48" s="323">
        <v>0.48</v>
      </c>
      <c r="H48" s="324">
        <f t="shared" si="0"/>
        <v>4.7999999999999996E-3</v>
      </c>
      <c r="I48" s="325">
        <v>44854</v>
      </c>
      <c r="J48" s="300">
        <v>3</v>
      </c>
      <c r="K48" s="325">
        <v>54011</v>
      </c>
      <c r="L48" s="300">
        <v>301</v>
      </c>
      <c r="M48" s="300">
        <v>298</v>
      </c>
      <c r="N48" s="326">
        <v>44907</v>
      </c>
      <c r="O48" s="323">
        <v>3.3</v>
      </c>
      <c r="P48" s="322">
        <v>12467.196403199998</v>
      </c>
      <c r="Q48" s="300" t="s">
        <v>1364</v>
      </c>
      <c r="R48" s="300" t="s">
        <v>1777</v>
      </c>
      <c r="S48" s="300" t="s">
        <v>1778</v>
      </c>
      <c r="T48" s="300">
        <v>721191</v>
      </c>
      <c r="U48" s="323">
        <v>1.5</v>
      </c>
      <c r="V48" s="327">
        <f t="shared" si="1"/>
        <v>1.4999999999999999E-2</v>
      </c>
      <c r="W48" s="323">
        <v>-0.67500000000000004</v>
      </c>
      <c r="X48" s="300" t="s">
        <v>26</v>
      </c>
      <c r="Y48" s="300" t="s">
        <v>1248</v>
      </c>
      <c r="Z48" s="300" t="s">
        <v>1251</v>
      </c>
      <c r="AA48" s="300" t="s">
        <v>1251</v>
      </c>
      <c r="AB48" s="300" t="s">
        <v>1556</v>
      </c>
      <c r="AC48" s="300"/>
      <c r="AD48" s="328" t="s">
        <v>1586</v>
      </c>
      <c r="AE48" s="328">
        <v>402196</v>
      </c>
      <c r="AF48" s="328" t="s">
        <v>1251</v>
      </c>
      <c r="AG48" s="29">
        <v>72</v>
      </c>
      <c r="AH48" s="329" t="s">
        <v>52</v>
      </c>
      <c r="AI48" s="330">
        <v>1</v>
      </c>
      <c r="AJ48" s="309">
        <v>1</v>
      </c>
      <c r="AK48" s="302"/>
      <c r="AL48" s="303"/>
      <c r="AM48" s="305"/>
      <c r="AN48" s="301"/>
      <c r="AO48" s="305"/>
      <c r="AP48" s="301"/>
      <c r="AQ48" s="301"/>
      <c r="AR48" s="332"/>
    </row>
    <row r="49" spans="1:44">
      <c r="A49" s="299">
        <v>319947.11</v>
      </c>
      <c r="B49" s="300">
        <v>4352709106</v>
      </c>
      <c r="C49" s="300" t="s">
        <v>1689</v>
      </c>
      <c r="D49" s="300" t="s">
        <v>1690</v>
      </c>
      <c r="E49" s="300">
        <v>402</v>
      </c>
      <c r="F49" s="322">
        <v>506250</v>
      </c>
      <c r="G49" s="323">
        <v>0.73</v>
      </c>
      <c r="H49" s="324">
        <f t="shared" si="0"/>
        <v>7.3000000000000001E-3</v>
      </c>
      <c r="I49" s="325">
        <v>44861</v>
      </c>
      <c r="J49" s="300">
        <v>3</v>
      </c>
      <c r="K49" s="325">
        <v>54011</v>
      </c>
      <c r="L49" s="300">
        <v>301</v>
      </c>
      <c r="M49" s="300">
        <v>298</v>
      </c>
      <c r="N49" s="326">
        <v>44894</v>
      </c>
      <c r="O49" s="323">
        <v>3.3</v>
      </c>
      <c r="P49" s="322">
        <v>12195.5625</v>
      </c>
      <c r="Q49" s="300" t="s">
        <v>1365</v>
      </c>
      <c r="R49" s="300" t="s">
        <v>1779</v>
      </c>
      <c r="S49" s="300" t="s">
        <v>1780</v>
      </c>
      <c r="T49" s="300">
        <v>721110</v>
      </c>
      <c r="U49" s="323">
        <v>1.75</v>
      </c>
      <c r="V49" s="327">
        <f t="shared" si="1"/>
        <v>1.7500000000000002E-2</v>
      </c>
      <c r="W49" s="323">
        <v>-0.67500000000000004</v>
      </c>
      <c r="X49" s="300" t="s">
        <v>26</v>
      </c>
      <c r="Y49" s="300" t="s">
        <v>1248</v>
      </c>
      <c r="Z49" s="300" t="s">
        <v>1251</v>
      </c>
      <c r="AA49" s="300" t="s">
        <v>1251</v>
      </c>
      <c r="AB49" s="300" t="s">
        <v>1556</v>
      </c>
      <c r="AC49" s="300"/>
      <c r="AD49" s="328" t="s">
        <v>1587</v>
      </c>
      <c r="AE49" s="328">
        <v>402192</v>
      </c>
      <c r="AF49" s="328" t="s">
        <v>1251</v>
      </c>
      <c r="AG49" s="29">
        <v>72</v>
      </c>
      <c r="AH49" s="329" t="s">
        <v>74</v>
      </c>
      <c r="AI49" s="330">
        <v>1</v>
      </c>
      <c r="AJ49" s="309">
        <v>1</v>
      </c>
      <c r="AK49" s="302"/>
      <c r="AL49" s="303"/>
      <c r="AM49" s="305"/>
      <c r="AN49" s="301"/>
      <c r="AO49" s="305"/>
      <c r="AP49" s="301"/>
      <c r="AQ49" s="301"/>
      <c r="AR49" s="332"/>
    </row>
    <row r="50" spans="1:44">
      <c r="A50" s="299">
        <v>319716.11</v>
      </c>
      <c r="B50" s="300">
        <v>4345439110</v>
      </c>
      <c r="C50" s="300" t="s">
        <v>1689</v>
      </c>
      <c r="D50" s="300" t="s">
        <v>1690</v>
      </c>
      <c r="E50" s="300">
        <v>402</v>
      </c>
      <c r="F50" s="322">
        <v>433036.19</v>
      </c>
      <c r="G50" s="323">
        <v>0.80500000000000005</v>
      </c>
      <c r="H50" s="324">
        <f t="shared" si="0"/>
        <v>8.0499999999999999E-3</v>
      </c>
      <c r="I50" s="325">
        <v>44852</v>
      </c>
      <c r="J50" s="300">
        <v>3</v>
      </c>
      <c r="K50" s="325">
        <v>54011</v>
      </c>
      <c r="L50" s="300">
        <v>301</v>
      </c>
      <c r="M50" s="300">
        <v>298</v>
      </c>
      <c r="N50" s="326">
        <v>44907</v>
      </c>
      <c r="O50" s="323">
        <v>3.3</v>
      </c>
      <c r="P50" s="322">
        <v>11503.606387349999</v>
      </c>
      <c r="Q50" s="300" t="s">
        <v>1366</v>
      </c>
      <c r="R50" s="300" t="s">
        <v>1781</v>
      </c>
      <c r="S50" s="300" t="s">
        <v>1782</v>
      </c>
      <c r="T50" s="300">
        <v>811111</v>
      </c>
      <c r="U50" s="323">
        <v>2</v>
      </c>
      <c r="V50" s="327">
        <f t="shared" si="1"/>
        <v>0.02</v>
      </c>
      <c r="W50" s="323">
        <v>-0.5</v>
      </c>
      <c r="X50" s="300" t="s">
        <v>26</v>
      </c>
      <c r="Y50" s="300" t="s">
        <v>1248</v>
      </c>
      <c r="Z50" s="300" t="s">
        <v>1251</v>
      </c>
      <c r="AA50" s="300" t="s">
        <v>1251</v>
      </c>
      <c r="AB50" s="300" t="s">
        <v>1</v>
      </c>
      <c r="AC50" s="300"/>
      <c r="AD50" s="328" t="s">
        <v>1588</v>
      </c>
      <c r="AE50" s="328">
        <v>400168</v>
      </c>
      <c r="AF50" s="328" t="s">
        <v>1251</v>
      </c>
      <c r="AG50" s="29">
        <v>81</v>
      </c>
      <c r="AH50" s="329" t="s">
        <v>87</v>
      </c>
      <c r="AI50" s="330">
        <v>1</v>
      </c>
      <c r="AJ50" s="309">
        <v>1</v>
      </c>
      <c r="AK50" s="302"/>
      <c r="AL50" s="303"/>
      <c r="AM50" s="305"/>
      <c r="AN50" s="301"/>
      <c r="AO50" s="305"/>
      <c r="AP50" s="301"/>
      <c r="AQ50" s="301"/>
      <c r="AR50" s="332"/>
    </row>
    <row r="51" spans="1:44">
      <c r="A51" s="299">
        <v>319715.11</v>
      </c>
      <c r="B51" s="300">
        <v>4283949103</v>
      </c>
      <c r="C51" s="300" t="s">
        <v>1689</v>
      </c>
      <c r="D51" s="300" t="s">
        <v>1690</v>
      </c>
      <c r="E51" s="300">
        <v>402</v>
      </c>
      <c r="F51" s="322">
        <v>1047000</v>
      </c>
      <c r="G51" s="323">
        <v>0.30499999999999999</v>
      </c>
      <c r="H51" s="324">
        <f t="shared" si="0"/>
        <v>3.0499999999999998E-3</v>
      </c>
      <c r="I51" s="325">
        <v>44852</v>
      </c>
      <c r="J51" s="300">
        <v>3</v>
      </c>
      <c r="K51" s="325">
        <v>54011</v>
      </c>
      <c r="L51" s="300">
        <v>301</v>
      </c>
      <c r="M51" s="300">
        <v>298</v>
      </c>
      <c r="N51" s="326">
        <v>44868</v>
      </c>
      <c r="O51" s="323">
        <v>3.3</v>
      </c>
      <c r="P51" s="322">
        <v>10538.054999999998</v>
      </c>
      <c r="Q51" s="300" t="s">
        <v>1367</v>
      </c>
      <c r="R51" s="300" t="s">
        <v>1251</v>
      </c>
      <c r="S51" s="300" t="s">
        <v>1783</v>
      </c>
      <c r="T51" s="300">
        <v>624410</v>
      </c>
      <c r="U51" s="323">
        <v>1.5</v>
      </c>
      <c r="V51" s="327">
        <f t="shared" si="1"/>
        <v>1.4999999999999999E-2</v>
      </c>
      <c r="W51" s="323">
        <v>-0.5</v>
      </c>
      <c r="X51" s="300" t="s">
        <v>26</v>
      </c>
      <c r="Y51" s="300" t="s">
        <v>1248</v>
      </c>
      <c r="Z51" s="300" t="s">
        <v>1251</v>
      </c>
      <c r="AA51" s="300" t="s">
        <v>1251</v>
      </c>
      <c r="AB51" s="300" t="s">
        <v>1556</v>
      </c>
      <c r="AC51" s="300"/>
      <c r="AD51" s="328" t="s">
        <v>1580</v>
      </c>
      <c r="AE51" s="328">
        <v>400158</v>
      </c>
      <c r="AF51" s="328" t="s">
        <v>1251</v>
      </c>
      <c r="AG51" s="29">
        <v>62</v>
      </c>
      <c r="AH51" s="329" t="s">
        <v>105</v>
      </c>
      <c r="AI51" s="330">
        <v>1</v>
      </c>
      <c r="AJ51" s="309">
        <v>1</v>
      </c>
      <c r="AK51" s="302"/>
      <c r="AL51" s="303"/>
      <c r="AM51" s="305"/>
      <c r="AN51" s="301"/>
      <c r="AO51" s="305"/>
      <c r="AP51" s="301"/>
      <c r="AQ51" s="301"/>
      <c r="AR51" s="332"/>
    </row>
    <row r="52" spans="1:44">
      <c r="A52" s="299">
        <v>319773.11</v>
      </c>
      <c r="B52" s="300">
        <v>9587698204</v>
      </c>
      <c r="C52" s="300" t="s">
        <v>1689</v>
      </c>
      <c r="D52" s="300" t="s">
        <v>1690</v>
      </c>
      <c r="E52" s="300">
        <v>402</v>
      </c>
      <c r="F52" s="322">
        <v>318216.46999999997</v>
      </c>
      <c r="G52" s="323">
        <v>0.98</v>
      </c>
      <c r="H52" s="324">
        <f t="shared" si="0"/>
        <v>9.7999999999999997E-3</v>
      </c>
      <c r="I52" s="325">
        <v>44861</v>
      </c>
      <c r="J52" s="300">
        <v>3</v>
      </c>
      <c r="K52" s="325">
        <v>54011</v>
      </c>
      <c r="L52" s="300">
        <v>301</v>
      </c>
      <c r="M52" s="300">
        <v>298</v>
      </c>
      <c r="N52" s="326">
        <v>44892</v>
      </c>
      <c r="O52" s="323">
        <v>3.3</v>
      </c>
      <c r="P52" s="322">
        <v>10291.120639799998</v>
      </c>
      <c r="Q52" s="300" t="s">
        <v>1368</v>
      </c>
      <c r="R52" s="300" t="s">
        <v>1784</v>
      </c>
      <c r="S52" s="300" t="s">
        <v>1785</v>
      </c>
      <c r="T52" s="300">
        <v>327991</v>
      </c>
      <c r="U52" s="323">
        <v>2</v>
      </c>
      <c r="V52" s="327">
        <f t="shared" si="1"/>
        <v>0.02</v>
      </c>
      <c r="W52" s="323">
        <v>-0.67500000000000004</v>
      </c>
      <c r="X52" s="300" t="s">
        <v>26</v>
      </c>
      <c r="Y52" s="300" t="s">
        <v>1248</v>
      </c>
      <c r="Z52" s="300" t="s">
        <v>1251</v>
      </c>
      <c r="AA52" s="300" t="s">
        <v>1251</v>
      </c>
      <c r="AB52" s="300" t="s">
        <v>1556</v>
      </c>
      <c r="AC52" s="300"/>
      <c r="AD52" s="328" t="s">
        <v>1580</v>
      </c>
      <c r="AE52" s="328">
        <v>402202</v>
      </c>
      <c r="AF52" s="328" t="s">
        <v>1251</v>
      </c>
      <c r="AG52" s="29">
        <v>32</v>
      </c>
      <c r="AH52" s="329" t="s">
        <v>172</v>
      </c>
      <c r="AI52" s="330">
        <v>1</v>
      </c>
      <c r="AJ52" s="309">
        <v>1</v>
      </c>
      <c r="AK52" s="302"/>
      <c r="AL52" s="303"/>
      <c r="AM52" s="305"/>
      <c r="AN52" s="301"/>
      <c r="AO52" s="305"/>
      <c r="AP52" s="301"/>
      <c r="AQ52" s="301"/>
      <c r="AR52" s="332"/>
    </row>
    <row r="53" spans="1:44">
      <c r="A53" s="299">
        <v>319761.11</v>
      </c>
      <c r="B53" s="300">
        <v>4330619102</v>
      </c>
      <c r="C53" s="300" t="s">
        <v>1689</v>
      </c>
      <c r="D53" s="300" t="s">
        <v>1690</v>
      </c>
      <c r="E53" s="300">
        <v>402</v>
      </c>
      <c r="F53" s="322">
        <v>168685.67</v>
      </c>
      <c r="G53" s="323">
        <v>1.28</v>
      </c>
      <c r="H53" s="324">
        <f t="shared" si="0"/>
        <v>1.2800000000000001E-2</v>
      </c>
      <c r="I53" s="325">
        <v>44861</v>
      </c>
      <c r="J53" s="300">
        <v>3</v>
      </c>
      <c r="K53" s="325">
        <v>54011</v>
      </c>
      <c r="L53" s="300">
        <v>301</v>
      </c>
      <c r="M53" s="300">
        <v>298</v>
      </c>
      <c r="N53" s="326">
        <v>44896</v>
      </c>
      <c r="O53" s="323">
        <v>3.3</v>
      </c>
      <c r="P53" s="322">
        <v>7125.2827008000004</v>
      </c>
      <c r="Q53" s="300" t="s">
        <v>1369</v>
      </c>
      <c r="R53" s="300" t="s">
        <v>1786</v>
      </c>
      <c r="S53" s="300" t="s">
        <v>1787</v>
      </c>
      <c r="T53" s="300">
        <v>721191</v>
      </c>
      <c r="U53" s="323">
        <v>1.75</v>
      </c>
      <c r="V53" s="327">
        <f t="shared" si="1"/>
        <v>1.7500000000000002E-2</v>
      </c>
      <c r="W53" s="323">
        <v>-0.67500000000000004</v>
      </c>
      <c r="X53" s="300" t="s">
        <v>26</v>
      </c>
      <c r="Y53" s="300" t="s">
        <v>1248</v>
      </c>
      <c r="Z53" s="300" t="s">
        <v>1251</v>
      </c>
      <c r="AA53" s="300" t="s">
        <v>1251</v>
      </c>
      <c r="AB53" s="300" t="s">
        <v>1</v>
      </c>
      <c r="AC53" s="300"/>
      <c r="AD53" s="328" t="s">
        <v>1589</v>
      </c>
      <c r="AE53" s="328">
        <v>402186</v>
      </c>
      <c r="AF53" s="328" t="s">
        <v>1251</v>
      </c>
      <c r="AG53" s="29">
        <v>72</v>
      </c>
      <c r="AH53" s="329" t="s">
        <v>158</v>
      </c>
      <c r="AI53" s="330">
        <v>1</v>
      </c>
      <c r="AJ53" s="309">
        <v>1</v>
      </c>
      <c r="AK53" s="302"/>
      <c r="AL53" s="303"/>
      <c r="AM53" s="305"/>
      <c r="AN53" s="301"/>
      <c r="AO53" s="305"/>
      <c r="AP53" s="301"/>
      <c r="AQ53" s="301"/>
      <c r="AR53" s="332"/>
    </row>
    <row r="54" spans="1:44">
      <c r="A54" s="299">
        <v>319657.11</v>
      </c>
      <c r="B54" s="300">
        <v>4347579110</v>
      </c>
      <c r="C54" s="300" t="s">
        <v>1689</v>
      </c>
      <c r="D54" s="300" t="s">
        <v>1690</v>
      </c>
      <c r="E54" s="300">
        <v>402</v>
      </c>
      <c r="F54" s="322">
        <v>448736.66</v>
      </c>
      <c r="G54" s="323">
        <v>0.30499999999999999</v>
      </c>
      <c r="H54" s="324">
        <f t="shared" si="0"/>
        <v>3.0499999999999998E-3</v>
      </c>
      <c r="I54" s="325">
        <v>44845</v>
      </c>
      <c r="J54" s="300">
        <v>3</v>
      </c>
      <c r="K54" s="325">
        <v>54011</v>
      </c>
      <c r="L54" s="300">
        <v>301</v>
      </c>
      <c r="M54" s="300">
        <v>298</v>
      </c>
      <c r="N54" s="326">
        <v>44904</v>
      </c>
      <c r="O54" s="323">
        <v>3.3</v>
      </c>
      <c r="P54" s="322">
        <v>4516.5344828999996</v>
      </c>
      <c r="Q54" s="300" t="s">
        <v>1370</v>
      </c>
      <c r="R54" s="300" t="s">
        <v>1788</v>
      </c>
      <c r="S54" s="300" t="s">
        <v>1789</v>
      </c>
      <c r="T54" s="300">
        <v>811192</v>
      </c>
      <c r="U54" s="323">
        <v>1.5</v>
      </c>
      <c r="V54" s="327">
        <f t="shared" si="1"/>
        <v>1.4999999999999999E-2</v>
      </c>
      <c r="W54" s="323">
        <v>-0.5</v>
      </c>
      <c r="X54" s="300" t="s">
        <v>26</v>
      </c>
      <c r="Y54" s="300" t="s">
        <v>1248</v>
      </c>
      <c r="Z54" s="300" t="s">
        <v>1251</v>
      </c>
      <c r="AA54" s="300" t="s">
        <v>1251</v>
      </c>
      <c r="AB54" s="300" t="s">
        <v>1556</v>
      </c>
      <c r="AC54" s="300"/>
      <c r="AD54" s="328" t="s">
        <v>1590</v>
      </c>
      <c r="AE54" s="328">
        <v>400169</v>
      </c>
      <c r="AF54" s="328" t="s">
        <v>1251</v>
      </c>
      <c r="AG54" s="29">
        <v>81</v>
      </c>
      <c r="AH54" s="329" t="s">
        <v>49</v>
      </c>
      <c r="AI54" s="330">
        <v>1</v>
      </c>
      <c r="AJ54" s="309">
        <v>1</v>
      </c>
      <c r="AK54" s="302"/>
      <c r="AL54" s="303"/>
      <c r="AM54" s="305"/>
      <c r="AN54" s="301"/>
      <c r="AO54" s="305"/>
      <c r="AP54" s="301"/>
      <c r="AQ54" s="301"/>
      <c r="AR54" s="332"/>
    </row>
    <row r="55" spans="1:44">
      <c r="A55" s="299">
        <v>319698.11</v>
      </c>
      <c r="B55" s="300">
        <v>4092749110</v>
      </c>
      <c r="C55" s="300" t="s">
        <v>1689</v>
      </c>
      <c r="D55" s="300" t="s">
        <v>1690</v>
      </c>
      <c r="E55" s="300">
        <v>402</v>
      </c>
      <c r="F55" s="322">
        <v>2134203.2000000002</v>
      </c>
      <c r="G55" s="323">
        <v>1.3049999999999999</v>
      </c>
      <c r="H55" s="324">
        <f t="shared" si="0"/>
        <v>1.3049999999999999E-2</v>
      </c>
      <c r="I55" s="325">
        <v>44811</v>
      </c>
      <c r="J55" s="300">
        <v>4</v>
      </c>
      <c r="K55" s="325">
        <v>53980</v>
      </c>
      <c r="L55" s="300">
        <v>301</v>
      </c>
      <c r="M55" s="300">
        <v>297</v>
      </c>
      <c r="N55" s="326">
        <v>44909</v>
      </c>
      <c r="O55" s="323">
        <v>3.3</v>
      </c>
      <c r="P55" s="322">
        <v>91909.460808000003</v>
      </c>
      <c r="Q55" s="300" t="s">
        <v>1371</v>
      </c>
      <c r="R55" s="300" t="s">
        <v>1790</v>
      </c>
      <c r="S55" s="300" t="s">
        <v>1791</v>
      </c>
      <c r="T55" s="300">
        <v>447110</v>
      </c>
      <c r="U55" s="323">
        <v>2.5</v>
      </c>
      <c r="V55" s="327">
        <f t="shared" si="1"/>
        <v>2.5000000000000001E-2</v>
      </c>
      <c r="W55" s="323">
        <v>-0.5</v>
      </c>
      <c r="X55" s="300" t="s">
        <v>26</v>
      </c>
      <c r="Y55" s="300" t="s">
        <v>1248</v>
      </c>
      <c r="Z55" s="300" t="s">
        <v>1251</v>
      </c>
      <c r="AA55" s="300" t="s">
        <v>1251</v>
      </c>
      <c r="AB55" s="300" t="s">
        <v>1556</v>
      </c>
      <c r="AC55" s="300"/>
      <c r="AD55" s="328" t="s">
        <v>1591</v>
      </c>
      <c r="AE55" s="328">
        <v>400137</v>
      </c>
      <c r="AF55" s="328" t="s">
        <v>1251</v>
      </c>
      <c r="AG55" s="29">
        <v>44</v>
      </c>
      <c r="AH55" s="329" t="s">
        <v>76</v>
      </c>
      <c r="AI55" s="330">
        <v>1</v>
      </c>
      <c r="AJ55" s="309">
        <v>1</v>
      </c>
      <c r="AK55" s="302"/>
      <c r="AL55" s="303"/>
      <c r="AM55" s="305"/>
      <c r="AN55" s="301"/>
      <c r="AO55" s="305"/>
      <c r="AP55" s="301"/>
      <c r="AQ55" s="301"/>
      <c r="AR55" s="332"/>
    </row>
    <row r="56" spans="1:44">
      <c r="A56" s="299">
        <v>319728.11</v>
      </c>
      <c r="B56" s="300">
        <v>4279069107</v>
      </c>
      <c r="C56" s="300" t="s">
        <v>1689</v>
      </c>
      <c r="D56" s="300" t="s">
        <v>1690</v>
      </c>
      <c r="E56" s="300">
        <v>402</v>
      </c>
      <c r="F56" s="322">
        <v>1679379.99</v>
      </c>
      <c r="G56" s="323">
        <v>0.55500000000000005</v>
      </c>
      <c r="H56" s="324">
        <f t="shared" si="0"/>
        <v>5.5500000000000002E-3</v>
      </c>
      <c r="I56" s="325">
        <v>44811</v>
      </c>
      <c r="J56" s="300">
        <v>4</v>
      </c>
      <c r="K56" s="325">
        <v>53980</v>
      </c>
      <c r="L56" s="300">
        <v>301</v>
      </c>
      <c r="M56" s="300">
        <v>297</v>
      </c>
      <c r="N56" s="326">
        <v>44899</v>
      </c>
      <c r="O56" s="323">
        <v>3.3</v>
      </c>
      <c r="P56" s="322">
        <v>30757.844516849997</v>
      </c>
      <c r="Q56" s="300" t="s">
        <v>1372</v>
      </c>
      <c r="R56" s="300" t="s">
        <v>1792</v>
      </c>
      <c r="S56" s="300" t="s">
        <v>1793</v>
      </c>
      <c r="T56" s="300">
        <v>811310</v>
      </c>
      <c r="U56" s="323">
        <v>1.75</v>
      </c>
      <c r="V56" s="327">
        <f t="shared" si="1"/>
        <v>1.7500000000000002E-2</v>
      </c>
      <c r="W56" s="323">
        <v>-0.5</v>
      </c>
      <c r="X56" s="300" t="s">
        <v>26</v>
      </c>
      <c r="Y56" s="300" t="s">
        <v>1248</v>
      </c>
      <c r="Z56" s="300" t="s">
        <v>1251</v>
      </c>
      <c r="AA56" s="300" t="s">
        <v>1251</v>
      </c>
      <c r="AB56" s="300" t="s">
        <v>1556</v>
      </c>
      <c r="AC56" s="300"/>
      <c r="AD56" s="328" t="s">
        <v>1559</v>
      </c>
      <c r="AE56" s="328">
        <v>400157</v>
      </c>
      <c r="AF56" s="328" t="s">
        <v>1251</v>
      </c>
      <c r="AG56" s="29">
        <v>81</v>
      </c>
      <c r="AH56" s="329" t="s">
        <v>52</v>
      </c>
      <c r="AI56" s="330">
        <v>1</v>
      </c>
      <c r="AJ56" s="309">
        <v>1</v>
      </c>
      <c r="AK56" s="302"/>
      <c r="AL56" s="303"/>
      <c r="AM56" s="305"/>
      <c r="AN56" s="301"/>
      <c r="AO56" s="305"/>
      <c r="AP56" s="301"/>
      <c r="AQ56" s="301"/>
      <c r="AR56" s="332"/>
    </row>
    <row r="57" spans="1:44">
      <c r="A57" s="299">
        <v>319694.11</v>
      </c>
      <c r="B57" s="300">
        <v>4127919103</v>
      </c>
      <c r="C57" s="300" t="s">
        <v>1689</v>
      </c>
      <c r="D57" s="300" t="s">
        <v>1690</v>
      </c>
      <c r="E57" s="300">
        <v>402</v>
      </c>
      <c r="F57" s="322">
        <v>436135.03</v>
      </c>
      <c r="G57" s="323">
        <v>1.615</v>
      </c>
      <c r="H57" s="324">
        <f t="shared" si="0"/>
        <v>1.6150000000000001E-2</v>
      </c>
      <c r="I57" s="325">
        <v>44812</v>
      </c>
      <c r="J57" s="300">
        <v>4</v>
      </c>
      <c r="K57" s="325">
        <v>53980</v>
      </c>
      <c r="L57" s="300">
        <v>301</v>
      </c>
      <c r="M57" s="300">
        <v>297</v>
      </c>
      <c r="N57" s="326">
        <v>44887</v>
      </c>
      <c r="O57" s="323">
        <v>3.3</v>
      </c>
      <c r="P57" s="322">
        <v>23243.816423849999</v>
      </c>
      <c r="Q57" s="300" t="s">
        <v>1373</v>
      </c>
      <c r="R57" s="300" t="s">
        <v>1794</v>
      </c>
      <c r="S57" s="300" t="s">
        <v>1795</v>
      </c>
      <c r="T57" s="300">
        <v>339950</v>
      </c>
      <c r="U57" s="323">
        <v>2.75</v>
      </c>
      <c r="V57" s="327">
        <f t="shared" si="1"/>
        <v>2.75E-2</v>
      </c>
      <c r="W57" s="323">
        <v>-0.5</v>
      </c>
      <c r="X57" s="300" t="s">
        <v>26</v>
      </c>
      <c r="Y57" s="300" t="s">
        <v>1248</v>
      </c>
      <c r="Z57" s="300" t="s">
        <v>1251</v>
      </c>
      <c r="AA57" s="300" t="s">
        <v>1251</v>
      </c>
      <c r="AB57" s="300" t="s">
        <v>1556</v>
      </c>
      <c r="AC57" s="300"/>
      <c r="AD57" s="328" t="s">
        <v>1561</v>
      </c>
      <c r="AE57" s="328">
        <v>400141</v>
      </c>
      <c r="AF57" s="328" t="s">
        <v>1251</v>
      </c>
      <c r="AG57" s="29">
        <v>33</v>
      </c>
      <c r="AH57" s="329" t="s">
        <v>74</v>
      </c>
      <c r="AI57" s="330">
        <v>1</v>
      </c>
      <c r="AJ57" s="309">
        <v>1</v>
      </c>
      <c r="AK57" s="302"/>
      <c r="AL57" s="303"/>
      <c r="AM57" s="305"/>
      <c r="AN57" s="301"/>
      <c r="AO57" s="305"/>
      <c r="AP57" s="301"/>
      <c r="AQ57" s="301"/>
      <c r="AR57" s="332"/>
    </row>
    <row r="58" spans="1:44">
      <c r="A58" s="299">
        <v>319467.11</v>
      </c>
      <c r="B58" s="300">
        <v>4263439106</v>
      </c>
      <c r="C58" s="300" t="s">
        <v>1689</v>
      </c>
      <c r="D58" s="300" t="s">
        <v>1690</v>
      </c>
      <c r="E58" s="300">
        <v>402</v>
      </c>
      <c r="F58" s="322">
        <v>437138.78</v>
      </c>
      <c r="G58" s="323">
        <v>1.5549999999999999</v>
      </c>
      <c r="H58" s="324">
        <f t="shared" si="0"/>
        <v>1.555E-2</v>
      </c>
      <c r="I58" s="325">
        <v>44813</v>
      </c>
      <c r="J58" s="300">
        <v>4</v>
      </c>
      <c r="K58" s="325">
        <v>53980</v>
      </c>
      <c r="L58" s="300">
        <v>301</v>
      </c>
      <c r="M58" s="300">
        <v>297</v>
      </c>
      <c r="N58" s="326">
        <v>44896</v>
      </c>
      <c r="O58" s="323">
        <v>3.3</v>
      </c>
      <c r="P58" s="322">
        <v>22431.7764957</v>
      </c>
      <c r="Q58" s="300" t="s">
        <v>1374</v>
      </c>
      <c r="R58" s="300" t="s">
        <v>1796</v>
      </c>
      <c r="S58" s="300" t="s">
        <v>1797</v>
      </c>
      <c r="T58" s="300">
        <v>812210</v>
      </c>
      <c r="U58" s="323">
        <v>2.75</v>
      </c>
      <c r="V58" s="327">
        <f t="shared" si="1"/>
        <v>2.75E-2</v>
      </c>
      <c r="W58" s="323">
        <v>-0.5</v>
      </c>
      <c r="X58" s="300" t="s">
        <v>26</v>
      </c>
      <c r="Y58" s="300" t="s">
        <v>1248</v>
      </c>
      <c r="Z58" s="300" t="s">
        <v>1251</v>
      </c>
      <c r="AA58" s="300" t="s">
        <v>1251</v>
      </c>
      <c r="AB58" s="300" t="s">
        <v>1</v>
      </c>
      <c r="AC58" s="300"/>
      <c r="AD58" s="328" t="s">
        <v>1592</v>
      </c>
      <c r="AE58" s="328">
        <v>400156</v>
      </c>
      <c r="AF58" s="328" t="s">
        <v>1251</v>
      </c>
      <c r="AG58" s="29">
        <v>81</v>
      </c>
      <c r="AH58" s="329" t="s">
        <v>158</v>
      </c>
      <c r="AI58" s="330">
        <v>1</v>
      </c>
      <c r="AJ58" s="309">
        <v>1</v>
      </c>
      <c r="AK58" s="302"/>
      <c r="AL58" s="303"/>
      <c r="AM58" s="305"/>
      <c r="AN58" s="301"/>
      <c r="AO58" s="305"/>
      <c r="AP58" s="301"/>
      <c r="AQ58" s="301"/>
      <c r="AR58" s="332"/>
    </row>
    <row r="59" spans="1:44">
      <c r="A59" s="299">
        <v>319951.11</v>
      </c>
      <c r="B59" s="300">
        <v>4315049110</v>
      </c>
      <c r="C59" s="300" t="s">
        <v>1689</v>
      </c>
      <c r="D59" s="300" t="s">
        <v>1690</v>
      </c>
      <c r="E59" s="300">
        <v>402</v>
      </c>
      <c r="F59" s="322">
        <v>369000</v>
      </c>
      <c r="G59" s="323">
        <v>1.79</v>
      </c>
      <c r="H59" s="324">
        <f t="shared" si="0"/>
        <v>1.7899999999999999E-2</v>
      </c>
      <c r="I59" s="325">
        <v>44830</v>
      </c>
      <c r="J59" s="300">
        <v>4</v>
      </c>
      <c r="K59" s="325">
        <v>53980</v>
      </c>
      <c r="L59" s="300">
        <v>301</v>
      </c>
      <c r="M59" s="300">
        <v>297</v>
      </c>
      <c r="N59" s="326">
        <v>44904</v>
      </c>
      <c r="O59" s="323">
        <v>3.3</v>
      </c>
      <c r="P59" s="322">
        <v>21796.829999999998</v>
      </c>
      <c r="Q59" s="300" t="s">
        <v>1375</v>
      </c>
      <c r="R59" s="300" t="s">
        <v>1798</v>
      </c>
      <c r="S59" s="300" t="s">
        <v>1799</v>
      </c>
      <c r="T59" s="300">
        <v>722511</v>
      </c>
      <c r="U59" s="323">
        <v>2.75</v>
      </c>
      <c r="V59" s="327">
        <f t="shared" si="1"/>
        <v>2.75E-2</v>
      </c>
      <c r="W59" s="323">
        <v>-0.67500000000000004</v>
      </c>
      <c r="X59" s="300" t="s">
        <v>26</v>
      </c>
      <c r="Y59" s="300" t="s">
        <v>1248</v>
      </c>
      <c r="Z59" s="300" t="s">
        <v>1251</v>
      </c>
      <c r="AA59" s="300" t="s">
        <v>1251</v>
      </c>
      <c r="AB59" s="300" t="s">
        <v>1556</v>
      </c>
      <c r="AC59" s="300"/>
      <c r="AD59" s="328" t="s">
        <v>1593</v>
      </c>
      <c r="AE59" s="328">
        <v>402183</v>
      </c>
      <c r="AF59" s="328" t="s">
        <v>1251</v>
      </c>
      <c r="AG59" s="29">
        <v>72</v>
      </c>
      <c r="AH59" s="329" t="s">
        <v>109</v>
      </c>
      <c r="AI59" s="330">
        <v>1</v>
      </c>
      <c r="AJ59" s="309">
        <v>1</v>
      </c>
      <c r="AK59" s="302"/>
      <c r="AL59" s="303"/>
      <c r="AM59" s="305"/>
      <c r="AN59" s="301"/>
      <c r="AO59" s="305"/>
      <c r="AP59" s="301"/>
      <c r="AQ59" s="301"/>
      <c r="AR59" s="332"/>
    </row>
    <row r="60" spans="1:44">
      <c r="A60" s="299">
        <v>319744.11</v>
      </c>
      <c r="B60" s="300">
        <v>4214469108</v>
      </c>
      <c r="C60" s="300" t="s">
        <v>1689</v>
      </c>
      <c r="D60" s="300" t="s">
        <v>1690</v>
      </c>
      <c r="E60" s="300">
        <v>402</v>
      </c>
      <c r="F60" s="322">
        <v>1168452.28</v>
      </c>
      <c r="G60" s="323">
        <v>0.55500000000000005</v>
      </c>
      <c r="H60" s="324">
        <f t="shared" si="0"/>
        <v>5.5500000000000002E-3</v>
      </c>
      <c r="I60" s="325">
        <v>44831</v>
      </c>
      <c r="J60" s="300">
        <v>4</v>
      </c>
      <c r="K60" s="325">
        <v>53980</v>
      </c>
      <c r="L60" s="300">
        <v>301</v>
      </c>
      <c r="M60" s="300">
        <v>297</v>
      </c>
      <c r="N60" s="326">
        <v>44896</v>
      </c>
      <c r="O60" s="323">
        <v>3.3</v>
      </c>
      <c r="P60" s="322">
        <v>21400.2035082</v>
      </c>
      <c r="Q60" s="300" t="s">
        <v>1376</v>
      </c>
      <c r="R60" s="300" t="s">
        <v>1800</v>
      </c>
      <c r="S60" s="300" t="s">
        <v>1801</v>
      </c>
      <c r="T60" s="300">
        <v>721110</v>
      </c>
      <c r="U60" s="323">
        <v>1.75</v>
      </c>
      <c r="V60" s="327">
        <f t="shared" si="1"/>
        <v>1.7500000000000002E-2</v>
      </c>
      <c r="W60" s="323">
        <v>-0.5</v>
      </c>
      <c r="X60" s="300" t="s">
        <v>26</v>
      </c>
      <c r="Y60" s="300" t="s">
        <v>1248</v>
      </c>
      <c r="Z60" s="300" t="s">
        <v>1251</v>
      </c>
      <c r="AA60" s="300" t="s">
        <v>1251</v>
      </c>
      <c r="AB60" s="300" t="s">
        <v>1556</v>
      </c>
      <c r="AC60" s="300"/>
      <c r="AD60" s="328" t="s">
        <v>1594</v>
      </c>
      <c r="AE60" s="328">
        <v>400152</v>
      </c>
      <c r="AF60" s="328" t="s">
        <v>1251</v>
      </c>
      <c r="AG60" s="29">
        <v>72</v>
      </c>
      <c r="AH60" s="329" t="s">
        <v>31</v>
      </c>
      <c r="AI60" s="330">
        <v>1</v>
      </c>
      <c r="AJ60" s="309">
        <v>1</v>
      </c>
      <c r="AK60" s="302"/>
      <c r="AL60" s="303"/>
      <c r="AM60" s="305"/>
      <c r="AN60" s="301"/>
      <c r="AO60" s="305"/>
      <c r="AP60" s="301"/>
      <c r="AQ60" s="301"/>
      <c r="AR60" s="332"/>
    </row>
    <row r="61" spans="1:44">
      <c r="A61" s="299">
        <v>319533.11</v>
      </c>
      <c r="B61" s="300">
        <v>4229179107</v>
      </c>
      <c r="C61" s="300" t="s">
        <v>1689</v>
      </c>
      <c r="D61" s="300" t="s">
        <v>1690</v>
      </c>
      <c r="E61" s="300">
        <v>402</v>
      </c>
      <c r="F61" s="322">
        <v>261983.56</v>
      </c>
      <c r="G61" s="323">
        <v>2.2799999999999998</v>
      </c>
      <c r="H61" s="324">
        <f t="shared" si="0"/>
        <v>2.2799999999999997E-2</v>
      </c>
      <c r="I61" s="325">
        <v>44820</v>
      </c>
      <c r="J61" s="300">
        <v>4</v>
      </c>
      <c r="K61" s="325">
        <v>53980</v>
      </c>
      <c r="L61" s="300">
        <v>301</v>
      </c>
      <c r="M61" s="300">
        <v>297</v>
      </c>
      <c r="N61" s="326">
        <v>44896</v>
      </c>
      <c r="O61" s="323">
        <v>3.3</v>
      </c>
      <c r="P61" s="322">
        <v>19711.643054399996</v>
      </c>
      <c r="Q61" s="300" t="s">
        <v>1377</v>
      </c>
      <c r="R61" s="300" t="s">
        <v>1802</v>
      </c>
      <c r="S61" s="300" t="s">
        <v>1803</v>
      </c>
      <c r="T61" s="300">
        <v>453998</v>
      </c>
      <c r="U61" s="323">
        <v>2.75</v>
      </c>
      <c r="V61" s="327">
        <f t="shared" si="1"/>
        <v>2.75E-2</v>
      </c>
      <c r="W61" s="323">
        <v>-0.67500000000000004</v>
      </c>
      <c r="X61" s="300" t="s">
        <v>26</v>
      </c>
      <c r="Y61" s="300" t="s">
        <v>1248</v>
      </c>
      <c r="Z61" s="300" t="s">
        <v>1251</v>
      </c>
      <c r="AA61" s="300" t="s">
        <v>1251</v>
      </c>
      <c r="AB61" s="300" t="s">
        <v>1</v>
      </c>
      <c r="AC61" s="300"/>
      <c r="AD61" s="328" t="s">
        <v>1592</v>
      </c>
      <c r="AE61" s="328">
        <v>402172</v>
      </c>
      <c r="AF61" s="328" t="s">
        <v>1251</v>
      </c>
      <c r="AG61" s="29">
        <v>45</v>
      </c>
      <c r="AH61" s="329" t="s">
        <v>340</v>
      </c>
      <c r="AI61" s="330">
        <v>1</v>
      </c>
      <c r="AJ61" s="309">
        <v>1</v>
      </c>
      <c r="AK61" s="302"/>
      <c r="AL61" s="303"/>
      <c r="AM61" s="305"/>
      <c r="AN61" s="301"/>
      <c r="AO61" s="305"/>
      <c r="AP61" s="301"/>
      <c r="AQ61" s="301"/>
      <c r="AR61" s="332"/>
    </row>
    <row r="62" spans="1:44">
      <c r="A62" s="299">
        <v>319676.11</v>
      </c>
      <c r="B62" s="300">
        <v>4258049102</v>
      </c>
      <c r="C62" s="300" t="s">
        <v>1689</v>
      </c>
      <c r="D62" s="300" t="s">
        <v>1690</v>
      </c>
      <c r="E62" s="300">
        <v>402</v>
      </c>
      <c r="F62" s="322">
        <v>508481.59</v>
      </c>
      <c r="G62" s="323">
        <v>1.115</v>
      </c>
      <c r="H62" s="324">
        <f t="shared" si="0"/>
        <v>1.115E-2</v>
      </c>
      <c r="I62" s="325">
        <v>44830</v>
      </c>
      <c r="J62" s="300">
        <v>4</v>
      </c>
      <c r="K62" s="325">
        <v>53980</v>
      </c>
      <c r="L62" s="300">
        <v>301</v>
      </c>
      <c r="M62" s="300">
        <v>297</v>
      </c>
      <c r="N62" s="326">
        <v>44918</v>
      </c>
      <c r="O62" s="323">
        <v>3.3</v>
      </c>
      <c r="P62" s="322">
        <v>18709.580104050001</v>
      </c>
      <c r="Q62" s="300" t="s">
        <v>1378</v>
      </c>
      <c r="R62" s="300" t="s">
        <v>1804</v>
      </c>
      <c r="S62" s="300" t="s">
        <v>1805</v>
      </c>
      <c r="T62" s="300">
        <v>531120</v>
      </c>
      <c r="U62" s="323">
        <v>2.25</v>
      </c>
      <c r="V62" s="327">
        <f t="shared" si="1"/>
        <v>2.2499999999999999E-2</v>
      </c>
      <c r="W62" s="323">
        <v>-0.5</v>
      </c>
      <c r="X62" s="300" t="s">
        <v>26</v>
      </c>
      <c r="Y62" s="300" t="s">
        <v>1248</v>
      </c>
      <c r="Z62" s="300" t="s">
        <v>1251</v>
      </c>
      <c r="AA62" s="300" t="s">
        <v>1251</v>
      </c>
      <c r="AB62" s="300" t="s">
        <v>1556</v>
      </c>
      <c r="AC62" s="300"/>
      <c r="AD62" s="328" t="s">
        <v>1557</v>
      </c>
      <c r="AE62" s="328">
        <v>400155</v>
      </c>
      <c r="AF62" s="328" t="s">
        <v>1251</v>
      </c>
      <c r="AG62" s="29">
        <v>53</v>
      </c>
      <c r="AH62" s="329" t="s">
        <v>29</v>
      </c>
      <c r="AI62" s="330">
        <v>1</v>
      </c>
      <c r="AJ62" s="309">
        <v>1</v>
      </c>
      <c r="AK62" s="302"/>
      <c r="AL62" s="303"/>
      <c r="AM62" s="305"/>
      <c r="AN62" s="301"/>
      <c r="AO62" s="305"/>
      <c r="AP62" s="301"/>
      <c r="AQ62" s="301"/>
      <c r="AR62" s="332"/>
    </row>
    <row r="63" spans="1:44">
      <c r="A63" s="299">
        <v>319677.11</v>
      </c>
      <c r="B63" s="300">
        <v>4301289100</v>
      </c>
      <c r="C63" s="300" t="s">
        <v>1689</v>
      </c>
      <c r="D63" s="300" t="s">
        <v>1690</v>
      </c>
      <c r="E63" s="300">
        <v>402</v>
      </c>
      <c r="F63" s="322">
        <v>483458.93</v>
      </c>
      <c r="G63" s="323">
        <v>1.115</v>
      </c>
      <c r="H63" s="324">
        <f t="shared" si="0"/>
        <v>1.115E-2</v>
      </c>
      <c r="I63" s="325">
        <v>44833</v>
      </c>
      <c r="J63" s="300">
        <v>4</v>
      </c>
      <c r="K63" s="325">
        <v>53980</v>
      </c>
      <c r="L63" s="300">
        <v>301</v>
      </c>
      <c r="M63" s="300">
        <v>297</v>
      </c>
      <c r="N63" s="326">
        <v>44924</v>
      </c>
      <c r="O63" s="323">
        <v>3.3</v>
      </c>
      <c r="P63" s="322">
        <v>17788.871329349997</v>
      </c>
      <c r="Q63" s="300" t="s">
        <v>1379</v>
      </c>
      <c r="R63" s="300" t="s">
        <v>1806</v>
      </c>
      <c r="S63" s="300" t="s">
        <v>1807</v>
      </c>
      <c r="T63" s="300">
        <v>441340</v>
      </c>
      <c r="U63" s="323">
        <v>2.25</v>
      </c>
      <c r="V63" s="327">
        <f t="shared" si="1"/>
        <v>2.2499999999999999E-2</v>
      </c>
      <c r="W63" s="323">
        <v>-0.5</v>
      </c>
      <c r="X63" s="300" t="s">
        <v>26</v>
      </c>
      <c r="Y63" s="300" t="s">
        <v>1248</v>
      </c>
      <c r="Z63" s="300" t="s">
        <v>1251</v>
      </c>
      <c r="AA63" s="300" t="s">
        <v>1251</v>
      </c>
      <c r="AB63" s="300" t="s">
        <v>1556</v>
      </c>
      <c r="AC63" s="300"/>
      <c r="AD63" s="328" t="s">
        <v>1557</v>
      </c>
      <c r="AE63" s="328">
        <v>400160</v>
      </c>
      <c r="AF63" s="328" t="s">
        <v>1251</v>
      </c>
      <c r="AG63" s="29">
        <v>44</v>
      </c>
      <c r="AH63" s="329" t="s">
        <v>52</v>
      </c>
      <c r="AI63" s="330">
        <v>1</v>
      </c>
      <c r="AJ63" s="309">
        <v>1</v>
      </c>
      <c r="AK63" s="302"/>
      <c r="AL63" s="303"/>
      <c r="AM63" s="305"/>
      <c r="AN63" s="301"/>
      <c r="AO63" s="305"/>
      <c r="AP63" s="301"/>
      <c r="AQ63" s="301"/>
      <c r="AR63" s="332"/>
    </row>
    <row r="64" spans="1:44">
      <c r="A64" s="299">
        <v>319593.11</v>
      </c>
      <c r="B64" s="300">
        <v>4322499103</v>
      </c>
      <c r="C64" s="300" t="s">
        <v>1689</v>
      </c>
      <c r="D64" s="300" t="s">
        <v>1690</v>
      </c>
      <c r="E64" s="300">
        <v>402</v>
      </c>
      <c r="F64" s="322">
        <v>225000</v>
      </c>
      <c r="G64" s="323">
        <v>2.2799999999999998</v>
      </c>
      <c r="H64" s="324">
        <f t="shared" si="0"/>
        <v>2.2799999999999997E-2</v>
      </c>
      <c r="I64" s="325">
        <v>44827</v>
      </c>
      <c r="J64" s="300">
        <v>4</v>
      </c>
      <c r="K64" s="325">
        <v>53980</v>
      </c>
      <c r="L64" s="300">
        <v>301</v>
      </c>
      <c r="M64" s="300">
        <v>297</v>
      </c>
      <c r="N64" s="326">
        <v>44903</v>
      </c>
      <c r="O64" s="323">
        <v>3.3</v>
      </c>
      <c r="P64" s="322">
        <v>16928.999999999996</v>
      </c>
      <c r="Q64" s="300" t="s">
        <v>1380</v>
      </c>
      <c r="R64" s="300" t="s">
        <v>1808</v>
      </c>
      <c r="S64" s="300" t="s">
        <v>1809</v>
      </c>
      <c r="T64" s="300">
        <v>624410</v>
      </c>
      <c r="U64" s="323">
        <v>2.75</v>
      </c>
      <c r="V64" s="327">
        <f t="shared" si="1"/>
        <v>2.75E-2</v>
      </c>
      <c r="W64" s="323">
        <v>-0.67500000000000004</v>
      </c>
      <c r="X64" s="300" t="s">
        <v>26</v>
      </c>
      <c r="Y64" s="300" t="s">
        <v>1248</v>
      </c>
      <c r="Z64" s="300" t="s">
        <v>1251</v>
      </c>
      <c r="AA64" s="300" t="s">
        <v>1251</v>
      </c>
      <c r="AB64" s="300" t="s">
        <v>1556</v>
      </c>
      <c r="AC64" s="300"/>
      <c r="AD64" s="328" t="s">
        <v>1565</v>
      </c>
      <c r="AE64" s="328">
        <v>402185</v>
      </c>
      <c r="AF64" s="328" t="s">
        <v>1251</v>
      </c>
      <c r="AG64" s="29">
        <v>62</v>
      </c>
      <c r="AH64" s="329" t="s">
        <v>158</v>
      </c>
      <c r="AI64" s="330">
        <v>1</v>
      </c>
      <c r="AJ64" s="309">
        <v>1</v>
      </c>
      <c r="AK64" s="302"/>
      <c r="AL64" s="303"/>
      <c r="AM64" s="305"/>
      <c r="AN64" s="301"/>
      <c r="AO64" s="305"/>
      <c r="AP64" s="301"/>
      <c r="AQ64" s="301"/>
      <c r="AR64" s="332"/>
    </row>
    <row r="65" spans="1:44">
      <c r="A65" s="299">
        <v>319592.11</v>
      </c>
      <c r="B65" s="300">
        <v>4256769102</v>
      </c>
      <c r="C65" s="300" t="s">
        <v>1689</v>
      </c>
      <c r="D65" s="300" t="s">
        <v>1690</v>
      </c>
      <c r="E65" s="300">
        <v>402</v>
      </c>
      <c r="F65" s="322">
        <v>193119.07</v>
      </c>
      <c r="G65" s="323">
        <v>2.2799999999999998</v>
      </c>
      <c r="H65" s="324">
        <f t="shared" si="0"/>
        <v>2.2799999999999997E-2</v>
      </c>
      <c r="I65" s="325">
        <v>44831</v>
      </c>
      <c r="J65" s="300">
        <v>4</v>
      </c>
      <c r="K65" s="325">
        <v>53980</v>
      </c>
      <c r="L65" s="300">
        <v>301</v>
      </c>
      <c r="M65" s="300">
        <v>297</v>
      </c>
      <c r="N65" s="326">
        <v>44895</v>
      </c>
      <c r="O65" s="323">
        <v>3.3</v>
      </c>
      <c r="P65" s="322">
        <v>14530.278826799999</v>
      </c>
      <c r="Q65" s="300" t="s">
        <v>1381</v>
      </c>
      <c r="R65" s="300" t="s">
        <v>1810</v>
      </c>
      <c r="S65" s="300" t="s">
        <v>1811</v>
      </c>
      <c r="T65" s="300">
        <v>811111</v>
      </c>
      <c r="U65" s="323">
        <v>2.75</v>
      </c>
      <c r="V65" s="327">
        <f t="shared" si="1"/>
        <v>2.75E-2</v>
      </c>
      <c r="W65" s="323">
        <v>-0.67500000000000004</v>
      </c>
      <c r="X65" s="300" t="s">
        <v>26</v>
      </c>
      <c r="Y65" s="300" t="s">
        <v>1248</v>
      </c>
      <c r="Z65" s="300" t="s">
        <v>1251</v>
      </c>
      <c r="AA65" s="300" t="s">
        <v>1251</v>
      </c>
      <c r="AB65" s="300" t="s">
        <v>1</v>
      </c>
      <c r="AC65" s="300"/>
      <c r="AD65" s="328" t="s">
        <v>1592</v>
      </c>
      <c r="AE65" s="328">
        <v>402176</v>
      </c>
      <c r="AF65" s="328" t="s">
        <v>1251</v>
      </c>
      <c r="AG65" s="29">
        <v>81</v>
      </c>
      <c r="AH65" s="329" t="s">
        <v>49</v>
      </c>
      <c r="AI65" s="330">
        <v>1</v>
      </c>
      <c r="AJ65" s="309">
        <v>1</v>
      </c>
      <c r="AK65" s="302"/>
      <c r="AL65" s="303"/>
      <c r="AM65" s="305"/>
      <c r="AN65" s="301"/>
      <c r="AO65" s="305"/>
      <c r="AP65" s="301"/>
      <c r="AQ65" s="301"/>
      <c r="AR65" s="332"/>
    </row>
    <row r="66" spans="1:44">
      <c r="A66" s="299">
        <v>319596.11</v>
      </c>
      <c r="B66" s="300">
        <v>4315859106</v>
      </c>
      <c r="C66" s="300" t="s">
        <v>1689</v>
      </c>
      <c r="D66" s="300" t="s">
        <v>1690</v>
      </c>
      <c r="E66" s="300">
        <v>402</v>
      </c>
      <c r="F66" s="322">
        <v>191102.45</v>
      </c>
      <c r="G66" s="323">
        <v>2.2799999999999998</v>
      </c>
      <c r="H66" s="324">
        <f t="shared" si="0"/>
        <v>2.2799999999999997E-2</v>
      </c>
      <c r="I66" s="325">
        <v>44825</v>
      </c>
      <c r="J66" s="300">
        <v>4</v>
      </c>
      <c r="K66" s="325">
        <v>53980</v>
      </c>
      <c r="L66" s="300">
        <v>301</v>
      </c>
      <c r="M66" s="300">
        <v>297</v>
      </c>
      <c r="N66" s="326">
        <v>44900</v>
      </c>
      <c r="O66" s="323">
        <v>3.3</v>
      </c>
      <c r="P66" s="322">
        <v>14378.548337999997</v>
      </c>
      <c r="Q66" s="300" t="s">
        <v>1382</v>
      </c>
      <c r="R66" s="300" t="s">
        <v>1812</v>
      </c>
      <c r="S66" s="300" t="s">
        <v>1813</v>
      </c>
      <c r="T66" s="300">
        <v>531210</v>
      </c>
      <c r="U66" s="323">
        <v>2.75</v>
      </c>
      <c r="V66" s="327">
        <f t="shared" si="1"/>
        <v>2.75E-2</v>
      </c>
      <c r="W66" s="323">
        <v>-0.67500000000000004</v>
      </c>
      <c r="X66" s="300" t="s">
        <v>26</v>
      </c>
      <c r="Y66" s="300" t="s">
        <v>1248</v>
      </c>
      <c r="Z66" s="300" t="s">
        <v>1251</v>
      </c>
      <c r="AA66" s="300" t="s">
        <v>1251</v>
      </c>
      <c r="AB66" s="300" t="s">
        <v>1556</v>
      </c>
      <c r="AC66" s="300"/>
      <c r="AD66" s="328" t="s">
        <v>1565</v>
      </c>
      <c r="AE66" s="328">
        <v>402184</v>
      </c>
      <c r="AF66" s="328" t="s">
        <v>1251</v>
      </c>
      <c r="AG66" s="29">
        <v>53</v>
      </c>
      <c r="AH66" s="329" t="s">
        <v>76</v>
      </c>
      <c r="AI66" s="330">
        <v>1</v>
      </c>
      <c r="AJ66" s="309">
        <v>1</v>
      </c>
      <c r="AK66" s="302"/>
      <c r="AL66" s="303"/>
      <c r="AM66" s="305"/>
      <c r="AN66" s="301"/>
      <c r="AO66" s="305"/>
      <c r="AP66" s="301"/>
      <c r="AQ66" s="301"/>
      <c r="AR66" s="332"/>
    </row>
    <row r="67" spans="1:44">
      <c r="A67" s="299">
        <v>319594.11</v>
      </c>
      <c r="B67" s="300">
        <v>4309759104</v>
      </c>
      <c r="C67" s="300" t="s">
        <v>1689</v>
      </c>
      <c r="D67" s="300" t="s">
        <v>1690</v>
      </c>
      <c r="E67" s="300">
        <v>402</v>
      </c>
      <c r="F67" s="322">
        <v>173640.94</v>
      </c>
      <c r="G67" s="323">
        <v>2.2799999999999998</v>
      </c>
      <c r="H67" s="324">
        <f t="shared" si="0"/>
        <v>2.2799999999999997E-2</v>
      </c>
      <c r="I67" s="325">
        <v>44824</v>
      </c>
      <c r="J67" s="300">
        <v>4</v>
      </c>
      <c r="K67" s="325">
        <v>53980</v>
      </c>
      <c r="L67" s="300">
        <v>301</v>
      </c>
      <c r="M67" s="300">
        <v>297</v>
      </c>
      <c r="N67" s="326">
        <v>44900</v>
      </c>
      <c r="O67" s="323">
        <v>3.3</v>
      </c>
      <c r="P67" s="322">
        <v>13064.744325599997</v>
      </c>
      <c r="Q67" s="300" t="s">
        <v>1383</v>
      </c>
      <c r="R67" s="300" t="s">
        <v>1814</v>
      </c>
      <c r="S67" s="300" t="s">
        <v>1815</v>
      </c>
      <c r="T67" s="300">
        <v>531130</v>
      </c>
      <c r="U67" s="323">
        <v>2.75</v>
      </c>
      <c r="V67" s="327">
        <f t="shared" si="1"/>
        <v>2.75E-2</v>
      </c>
      <c r="W67" s="323">
        <v>-0.67500000000000004</v>
      </c>
      <c r="X67" s="300" t="s">
        <v>26</v>
      </c>
      <c r="Y67" s="300" t="s">
        <v>1248</v>
      </c>
      <c r="Z67" s="300" t="s">
        <v>1251</v>
      </c>
      <c r="AA67" s="300" t="s">
        <v>1251</v>
      </c>
      <c r="AB67" s="300" t="s">
        <v>1556</v>
      </c>
      <c r="AC67" s="300"/>
      <c r="AD67" s="328" t="s">
        <v>1565</v>
      </c>
      <c r="AE67" s="328">
        <v>402182</v>
      </c>
      <c r="AF67" s="328" t="s">
        <v>1251</v>
      </c>
      <c r="AG67" s="29">
        <v>53</v>
      </c>
      <c r="AH67" s="329" t="s">
        <v>76</v>
      </c>
      <c r="AI67" s="330">
        <v>1</v>
      </c>
      <c r="AJ67" s="309">
        <v>1</v>
      </c>
      <c r="AK67" s="302"/>
      <c r="AL67" s="303"/>
      <c r="AM67" s="305"/>
      <c r="AN67" s="301"/>
      <c r="AO67" s="305"/>
      <c r="AP67" s="301"/>
      <c r="AQ67" s="301"/>
      <c r="AR67" s="332"/>
    </row>
    <row r="68" spans="1:44">
      <c r="A68" s="299">
        <v>319837.11</v>
      </c>
      <c r="B68" s="300">
        <v>4291489107</v>
      </c>
      <c r="C68" s="300" t="s">
        <v>1689</v>
      </c>
      <c r="D68" s="300" t="s">
        <v>1690</v>
      </c>
      <c r="E68" s="300">
        <v>402</v>
      </c>
      <c r="F68" s="322">
        <v>523628.7</v>
      </c>
      <c r="G68" s="323">
        <v>0.54</v>
      </c>
      <c r="H68" s="324">
        <f t="shared" si="0"/>
        <v>5.4000000000000003E-3</v>
      </c>
      <c r="I68" s="325">
        <v>44817</v>
      </c>
      <c r="J68" s="300">
        <v>4</v>
      </c>
      <c r="K68" s="325">
        <v>53980</v>
      </c>
      <c r="L68" s="300">
        <v>301</v>
      </c>
      <c r="M68" s="300">
        <v>297</v>
      </c>
      <c r="N68" s="326">
        <v>44902</v>
      </c>
      <c r="O68" s="323">
        <v>3.3</v>
      </c>
      <c r="P68" s="322">
        <v>9331.0634339999997</v>
      </c>
      <c r="Q68" s="300" t="s">
        <v>1384</v>
      </c>
      <c r="R68" s="300" t="s">
        <v>1816</v>
      </c>
      <c r="S68" s="300" t="s">
        <v>1817</v>
      </c>
      <c r="T68" s="300">
        <v>445320</v>
      </c>
      <c r="U68" s="323">
        <v>1.5</v>
      </c>
      <c r="V68" s="327">
        <f t="shared" si="1"/>
        <v>1.4999999999999999E-2</v>
      </c>
      <c r="W68" s="323">
        <v>-0.67500000000000004</v>
      </c>
      <c r="X68" s="300" t="s">
        <v>26</v>
      </c>
      <c r="Y68" s="300" t="s">
        <v>1248</v>
      </c>
      <c r="Z68" s="300" t="s">
        <v>1251</v>
      </c>
      <c r="AA68" s="300" t="s">
        <v>1251</v>
      </c>
      <c r="AB68" s="300" t="s">
        <v>1556</v>
      </c>
      <c r="AC68" s="300"/>
      <c r="AD68" s="328" t="s">
        <v>1568</v>
      </c>
      <c r="AE68" s="328">
        <v>402177</v>
      </c>
      <c r="AF68" s="328" t="s">
        <v>1251</v>
      </c>
      <c r="AG68" s="29">
        <v>44</v>
      </c>
      <c r="AH68" s="329" t="s">
        <v>52</v>
      </c>
      <c r="AI68" s="330">
        <v>1</v>
      </c>
      <c r="AJ68" s="309">
        <v>1</v>
      </c>
      <c r="AK68" s="302"/>
      <c r="AL68" s="303"/>
      <c r="AM68" s="305"/>
      <c r="AN68" s="301"/>
      <c r="AO68" s="305"/>
      <c r="AP68" s="301"/>
      <c r="AQ68" s="301"/>
      <c r="AR68" s="332"/>
    </row>
    <row r="69" spans="1:44">
      <c r="A69" s="299">
        <v>319609.11</v>
      </c>
      <c r="B69" s="300">
        <v>4118989100</v>
      </c>
      <c r="C69" s="300" t="s">
        <v>1689</v>
      </c>
      <c r="D69" s="300" t="s">
        <v>1690</v>
      </c>
      <c r="E69" s="300">
        <v>402</v>
      </c>
      <c r="F69" s="322">
        <v>481235.19</v>
      </c>
      <c r="G69" s="323">
        <v>0.36499999999999999</v>
      </c>
      <c r="H69" s="324">
        <f t="shared" si="0"/>
        <v>3.65E-3</v>
      </c>
      <c r="I69" s="325">
        <v>44834</v>
      </c>
      <c r="J69" s="300">
        <v>4</v>
      </c>
      <c r="K69" s="325">
        <v>53980</v>
      </c>
      <c r="L69" s="300">
        <v>301</v>
      </c>
      <c r="M69" s="300">
        <v>297</v>
      </c>
      <c r="N69" s="326">
        <v>44902</v>
      </c>
      <c r="O69" s="323">
        <v>3.3</v>
      </c>
      <c r="P69" s="322">
        <v>5796.4778635499997</v>
      </c>
      <c r="Q69" s="300" t="s">
        <v>1385</v>
      </c>
      <c r="R69" s="300" t="s">
        <v>1818</v>
      </c>
      <c r="S69" s="300" t="s">
        <v>1819</v>
      </c>
      <c r="T69" s="300">
        <v>722410</v>
      </c>
      <c r="U69" s="323">
        <v>1.5</v>
      </c>
      <c r="V69" s="327">
        <f t="shared" si="1"/>
        <v>1.4999999999999999E-2</v>
      </c>
      <c r="W69" s="323">
        <v>-0.5</v>
      </c>
      <c r="X69" s="300" t="s">
        <v>26</v>
      </c>
      <c r="Y69" s="300" t="s">
        <v>1248</v>
      </c>
      <c r="Z69" s="300" t="s">
        <v>1251</v>
      </c>
      <c r="AA69" s="300" t="s">
        <v>1251</v>
      </c>
      <c r="AB69" s="300" t="s">
        <v>1556</v>
      </c>
      <c r="AC69" s="300"/>
      <c r="AD69" s="328" t="s">
        <v>1595</v>
      </c>
      <c r="AE69" s="328">
        <v>400140</v>
      </c>
      <c r="AF69" s="328" t="s">
        <v>1251</v>
      </c>
      <c r="AG69" s="29">
        <v>72</v>
      </c>
      <c r="AH69" s="329" t="s">
        <v>42</v>
      </c>
      <c r="AI69" s="330">
        <v>1</v>
      </c>
      <c r="AJ69" s="309">
        <v>1</v>
      </c>
      <c r="AK69" s="302"/>
      <c r="AL69" s="303"/>
      <c r="AM69" s="305"/>
      <c r="AN69" s="301"/>
      <c r="AO69" s="305"/>
      <c r="AP69" s="301"/>
      <c r="AQ69" s="301"/>
      <c r="AR69" s="332"/>
    </row>
    <row r="70" spans="1:44">
      <c r="A70" s="299">
        <v>319608.11</v>
      </c>
      <c r="B70" s="300">
        <v>4220169108</v>
      </c>
      <c r="C70" s="300" t="s">
        <v>1689</v>
      </c>
      <c r="D70" s="300" t="s">
        <v>1690</v>
      </c>
      <c r="E70" s="300">
        <v>402</v>
      </c>
      <c r="F70" s="322">
        <v>161666.66</v>
      </c>
      <c r="G70" s="323">
        <v>1.03</v>
      </c>
      <c r="H70" s="324">
        <f t="shared" ref="H70:H133" si="2">G70/100</f>
        <v>1.03E-2</v>
      </c>
      <c r="I70" s="325">
        <v>44832</v>
      </c>
      <c r="J70" s="300">
        <v>4</v>
      </c>
      <c r="K70" s="325">
        <v>53980</v>
      </c>
      <c r="L70" s="300">
        <v>301</v>
      </c>
      <c r="M70" s="300">
        <v>297</v>
      </c>
      <c r="N70" s="326">
        <v>44891</v>
      </c>
      <c r="O70" s="323">
        <v>3.3</v>
      </c>
      <c r="P70" s="322">
        <v>5495.0497734</v>
      </c>
      <c r="Q70" s="300" t="s">
        <v>1386</v>
      </c>
      <c r="R70" s="300" t="s">
        <v>1820</v>
      </c>
      <c r="S70" s="300" t="s">
        <v>1821</v>
      </c>
      <c r="T70" s="300">
        <v>327110</v>
      </c>
      <c r="U70" s="323">
        <v>1.5</v>
      </c>
      <c r="V70" s="327">
        <f t="shared" ref="V70:V133" si="3">U70/100</f>
        <v>1.4999999999999999E-2</v>
      </c>
      <c r="W70" s="323">
        <v>-0.67500000000000004</v>
      </c>
      <c r="X70" s="300" t="s">
        <v>26</v>
      </c>
      <c r="Y70" s="300" t="s">
        <v>1248</v>
      </c>
      <c r="Z70" s="300" t="s">
        <v>1251</v>
      </c>
      <c r="AA70" s="300" t="s">
        <v>1251</v>
      </c>
      <c r="AB70" s="300" t="s">
        <v>1556</v>
      </c>
      <c r="AC70" s="300"/>
      <c r="AD70" s="328" t="s">
        <v>1595</v>
      </c>
      <c r="AE70" s="328">
        <v>402171</v>
      </c>
      <c r="AF70" s="328" t="s">
        <v>1251</v>
      </c>
      <c r="AG70" s="29">
        <v>32</v>
      </c>
      <c r="AH70" s="329" t="s">
        <v>42</v>
      </c>
      <c r="AI70" s="330">
        <v>1</v>
      </c>
      <c r="AJ70" s="309">
        <v>1</v>
      </c>
      <c r="AK70" s="302"/>
      <c r="AL70" s="303"/>
      <c r="AM70" s="305"/>
      <c r="AN70" s="301"/>
      <c r="AO70" s="305"/>
      <c r="AP70" s="301"/>
      <c r="AQ70" s="301"/>
      <c r="AR70" s="332"/>
    </row>
    <row r="71" spans="1:44">
      <c r="A71" s="299">
        <v>319948.11</v>
      </c>
      <c r="B71" s="300">
        <v>4219209110</v>
      </c>
      <c r="C71" s="300" t="s">
        <v>1689</v>
      </c>
      <c r="D71" s="300" t="s">
        <v>1690</v>
      </c>
      <c r="E71" s="300">
        <v>402</v>
      </c>
      <c r="F71" s="322">
        <v>1008000</v>
      </c>
      <c r="G71" s="323">
        <v>1.73</v>
      </c>
      <c r="H71" s="324">
        <f t="shared" si="2"/>
        <v>1.7299999999999999E-2</v>
      </c>
      <c r="I71" s="325">
        <v>44784</v>
      </c>
      <c r="J71" s="300">
        <v>5</v>
      </c>
      <c r="K71" s="325">
        <v>53950</v>
      </c>
      <c r="L71" s="300">
        <v>301</v>
      </c>
      <c r="M71" s="300">
        <v>296</v>
      </c>
      <c r="N71" s="326">
        <v>44903</v>
      </c>
      <c r="O71" s="323">
        <v>3.3</v>
      </c>
      <c r="P71" s="322">
        <v>57546.720000000001</v>
      </c>
      <c r="Q71" s="300" t="s">
        <v>1387</v>
      </c>
      <c r="R71" s="300" t="s">
        <v>1822</v>
      </c>
      <c r="S71" s="300" t="s">
        <v>1823</v>
      </c>
      <c r="T71" s="300">
        <v>722511</v>
      </c>
      <c r="U71" s="323">
        <v>2.75</v>
      </c>
      <c r="V71" s="327">
        <f t="shared" si="3"/>
        <v>2.75E-2</v>
      </c>
      <c r="W71" s="323">
        <v>-0.67500000000000004</v>
      </c>
      <c r="X71" s="300" t="s">
        <v>26</v>
      </c>
      <c r="Y71" s="300" t="s">
        <v>1248</v>
      </c>
      <c r="Z71" s="300" t="s">
        <v>1251</v>
      </c>
      <c r="AA71" s="300" t="s">
        <v>1251</v>
      </c>
      <c r="AB71" s="300" t="s">
        <v>1556</v>
      </c>
      <c r="AC71" s="300"/>
      <c r="AD71" s="328" t="s">
        <v>1593</v>
      </c>
      <c r="AE71" s="328">
        <v>402170</v>
      </c>
      <c r="AF71" s="328" t="s">
        <v>1251</v>
      </c>
      <c r="AG71" s="29">
        <v>72</v>
      </c>
      <c r="AH71" s="329" t="s">
        <v>49</v>
      </c>
      <c r="AI71" s="330">
        <v>1</v>
      </c>
      <c r="AJ71" s="309">
        <v>1</v>
      </c>
      <c r="AK71" s="302"/>
      <c r="AL71" s="303"/>
      <c r="AM71" s="305"/>
      <c r="AN71" s="301"/>
      <c r="AO71" s="305"/>
      <c r="AP71" s="301"/>
      <c r="AQ71" s="301"/>
      <c r="AR71" s="332"/>
    </row>
    <row r="72" spans="1:44">
      <c r="A72" s="299">
        <v>319331.11</v>
      </c>
      <c r="B72" s="300">
        <v>4157329104</v>
      </c>
      <c r="C72" s="300" t="s">
        <v>1689</v>
      </c>
      <c r="D72" s="300" t="s">
        <v>1690</v>
      </c>
      <c r="E72" s="300">
        <v>402</v>
      </c>
      <c r="F72" s="322">
        <v>491403.34</v>
      </c>
      <c r="G72" s="323">
        <v>1.615</v>
      </c>
      <c r="H72" s="324">
        <f t="shared" si="2"/>
        <v>1.6150000000000001E-2</v>
      </c>
      <c r="I72" s="325">
        <v>44789</v>
      </c>
      <c r="J72" s="300">
        <v>5</v>
      </c>
      <c r="K72" s="325">
        <v>53950</v>
      </c>
      <c r="L72" s="300">
        <v>301</v>
      </c>
      <c r="M72" s="300">
        <v>296</v>
      </c>
      <c r="N72" s="326">
        <v>44894</v>
      </c>
      <c r="O72" s="323">
        <v>3.3</v>
      </c>
      <c r="P72" s="322">
        <v>26189.341005300001</v>
      </c>
      <c r="Q72" s="300" t="s">
        <v>1388</v>
      </c>
      <c r="R72" s="300" t="s">
        <v>1824</v>
      </c>
      <c r="S72" s="300" t="s">
        <v>1825</v>
      </c>
      <c r="T72" s="300">
        <v>811111</v>
      </c>
      <c r="U72" s="323">
        <v>2.75</v>
      </c>
      <c r="V72" s="327">
        <f t="shared" si="3"/>
        <v>2.75E-2</v>
      </c>
      <c r="W72" s="323">
        <v>-0.5</v>
      </c>
      <c r="X72" s="300" t="s">
        <v>26</v>
      </c>
      <c r="Y72" s="300" t="s">
        <v>1248</v>
      </c>
      <c r="Z72" s="300" t="s">
        <v>1251</v>
      </c>
      <c r="AA72" s="300" t="s">
        <v>1251</v>
      </c>
      <c r="AB72" s="300" t="s">
        <v>1556</v>
      </c>
      <c r="AC72" s="300"/>
      <c r="AD72" s="328" t="s">
        <v>1596</v>
      </c>
      <c r="AE72" s="328">
        <v>400146</v>
      </c>
      <c r="AF72" s="328" t="s">
        <v>1251</v>
      </c>
      <c r="AG72" s="29">
        <v>81</v>
      </c>
      <c r="AH72" s="329" t="s">
        <v>29</v>
      </c>
      <c r="AI72" s="330">
        <v>1</v>
      </c>
      <c r="AJ72" s="309">
        <v>1</v>
      </c>
      <c r="AK72" s="302"/>
      <c r="AL72" s="303"/>
      <c r="AM72" s="305"/>
      <c r="AN72" s="301"/>
      <c r="AO72" s="305"/>
      <c r="AP72" s="301"/>
      <c r="AQ72" s="301"/>
      <c r="AR72" s="332"/>
    </row>
    <row r="73" spans="1:44">
      <c r="A73" s="299">
        <v>319340.11</v>
      </c>
      <c r="B73" s="300">
        <v>4173569106</v>
      </c>
      <c r="C73" s="300" t="s">
        <v>1689</v>
      </c>
      <c r="D73" s="300" t="s">
        <v>1690</v>
      </c>
      <c r="E73" s="300">
        <v>402</v>
      </c>
      <c r="F73" s="322">
        <v>392092.87</v>
      </c>
      <c r="G73" s="323">
        <v>1.615</v>
      </c>
      <c r="H73" s="324">
        <f t="shared" si="2"/>
        <v>1.6150000000000001E-2</v>
      </c>
      <c r="I73" s="325">
        <v>44798</v>
      </c>
      <c r="J73" s="300">
        <v>5</v>
      </c>
      <c r="K73" s="325">
        <v>53950</v>
      </c>
      <c r="L73" s="300">
        <v>301</v>
      </c>
      <c r="M73" s="300">
        <v>296</v>
      </c>
      <c r="N73" s="326">
        <v>44888</v>
      </c>
      <c r="O73" s="323">
        <v>3.3</v>
      </c>
      <c r="P73" s="322">
        <v>20896.589506650002</v>
      </c>
      <c r="Q73" s="300" t="s">
        <v>1389</v>
      </c>
      <c r="R73" s="300" t="s">
        <v>1826</v>
      </c>
      <c r="S73" s="300" t="s">
        <v>1827</v>
      </c>
      <c r="T73" s="300">
        <v>441320</v>
      </c>
      <c r="U73" s="323">
        <v>2.75</v>
      </c>
      <c r="V73" s="327">
        <f t="shared" si="3"/>
        <v>2.75E-2</v>
      </c>
      <c r="W73" s="323">
        <v>-0.5</v>
      </c>
      <c r="X73" s="300" t="s">
        <v>26</v>
      </c>
      <c r="Y73" s="300" t="s">
        <v>1248</v>
      </c>
      <c r="Z73" s="300" t="s">
        <v>1251</v>
      </c>
      <c r="AA73" s="300" t="s">
        <v>1251</v>
      </c>
      <c r="AB73" s="300" t="s">
        <v>1556</v>
      </c>
      <c r="AC73" s="300"/>
      <c r="AD73" s="328" t="s">
        <v>1597</v>
      </c>
      <c r="AE73" s="328">
        <v>400148</v>
      </c>
      <c r="AF73" s="328" t="s">
        <v>1251</v>
      </c>
      <c r="AG73" s="29">
        <v>44</v>
      </c>
      <c r="AH73" s="329" t="s">
        <v>82</v>
      </c>
      <c r="AI73" s="330">
        <v>1</v>
      </c>
      <c r="AJ73" s="309">
        <v>1</v>
      </c>
      <c r="AK73" s="302"/>
      <c r="AL73" s="303"/>
      <c r="AM73" s="305"/>
      <c r="AN73" s="301"/>
      <c r="AO73" s="305"/>
      <c r="AP73" s="301"/>
      <c r="AQ73" s="301"/>
      <c r="AR73" s="332"/>
    </row>
    <row r="74" spans="1:44">
      <c r="A74" s="299">
        <v>319756.11</v>
      </c>
      <c r="B74" s="300">
        <v>4252809104</v>
      </c>
      <c r="C74" s="300" t="s">
        <v>1689</v>
      </c>
      <c r="D74" s="300" t="s">
        <v>1690</v>
      </c>
      <c r="E74" s="300">
        <v>402</v>
      </c>
      <c r="F74" s="322">
        <v>423221</v>
      </c>
      <c r="G74" s="323">
        <v>1.04</v>
      </c>
      <c r="H74" s="324">
        <f t="shared" si="2"/>
        <v>1.04E-2</v>
      </c>
      <c r="I74" s="325">
        <v>44796</v>
      </c>
      <c r="J74" s="300">
        <v>5</v>
      </c>
      <c r="K74" s="325">
        <v>53950</v>
      </c>
      <c r="L74" s="300">
        <v>301</v>
      </c>
      <c r="M74" s="300">
        <v>296</v>
      </c>
      <c r="N74" s="326">
        <v>44911</v>
      </c>
      <c r="O74" s="323">
        <v>3.3</v>
      </c>
      <c r="P74" s="322">
        <v>14524.944719999998</v>
      </c>
      <c r="Q74" s="300" t="s">
        <v>1390</v>
      </c>
      <c r="R74" s="300" t="s">
        <v>1828</v>
      </c>
      <c r="S74" s="300" t="s">
        <v>1829</v>
      </c>
      <c r="T74" s="300">
        <v>445230</v>
      </c>
      <c r="U74" s="323">
        <v>2</v>
      </c>
      <c r="V74" s="327">
        <f t="shared" si="3"/>
        <v>0.02</v>
      </c>
      <c r="W74" s="323">
        <v>-0.67500000000000004</v>
      </c>
      <c r="X74" s="300" t="s">
        <v>26</v>
      </c>
      <c r="Y74" s="300" t="s">
        <v>1248</v>
      </c>
      <c r="Z74" s="300" t="s">
        <v>1251</v>
      </c>
      <c r="AA74" s="300" t="s">
        <v>1251</v>
      </c>
      <c r="AB74" s="300" t="s">
        <v>1556</v>
      </c>
      <c r="AC74" s="300"/>
      <c r="AD74" s="328" t="s">
        <v>1598</v>
      </c>
      <c r="AE74" s="328">
        <v>402175</v>
      </c>
      <c r="AF74" s="328" t="s">
        <v>1251</v>
      </c>
      <c r="AG74" s="29">
        <v>44</v>
      </c>
      <c r="AH74" s="329" t="s">
        <v>52</v>
      </c>
      <c r="AI74" s="330">
        <v>1</v>
      </c>
      <c r="AJ74" s="309">
        <v>1</v>
      </c>
      <c r="AK74" s="302"/>
      <c r="AL74" s="303"/>
      <c r="AM74" s="305"/>
      <c r="AN74" s="301"/>
      <c r="AO74" s="305"/>
      <c r="AP74" s="301"/>
      <c r="AQ74" s="301"/>
      <c r="AR74" s="332"/>
    </row>
    <row r="75" spans="1:44">
      <c r="A75" s="299">
        <v>319838.11</v>
      </c>
      <c r="B75" s="300">
        <v>4245759104</v>
      </c>
      <c r="C75" s="300" t="s">
        <v>1689</v>
      </c>
      <c r="D75" s="300" t="s">
        <v>1690</v>
      </c>
      <c r="E75" s="300">
        <v>402</v>
      </c>
      <c r="F75" s="322">
        <v>1344401.42</v>
      </c>
      <c r="G75" s="323">
        <v>0.23</v>
      </c>
      <c r="H75" s="324">
        <f t="shared" si="2"/>
        <v>2.3E-3</v>
      </c>
      <c r="I75" s="325">
        <v>44791</v>
      </c>
      <c r="J75" s="300">
        <v>5</v>
      </c>
      <c r="K75" s="325">
        <v>53950</v>
      </c>
      <c r="L75" s="300">
        <v>301</v>
      </c>
      <c r="M75" s="300">
        <v>296</v>
      </c>
      <c r="N75" s="326">
        <v>44902</v>
      </c>
      <c r="O75" s="323">
        <v>3.3</v>
      </c>
      <c r="P75" s="322">
        <v>10204.006777799999</v>
      </c>
      <c r="Q75" s="300" t="s">
        <v>1391</v>
      </c>
      <c r="R75" s="300" t="s">
        <v>1830</v>
      </c>
      <c r="S75" s="300" t="s">
        <v>1831</v>
      </c>
      <c r="T75" s="300">
        <v>721110</v>
      </c>
      <c r="U75" s="323">
        <v>1.25</v>
      </c>
      <c r="V75" s="327">
        <f t="shared" si="3"/>
        <v>1.2500000000000001E-2</v>
      </c>
      <c r="W75" s="323">
        <v>-0.67500000000000004</v>
      </c>
      <c r="X75" s="300" t="s">
        <v>26</v>
      </c>
      <c r="Y75" s="300" t="s">
        <v>1248</v>
      </c>
      <c r="Z75" s="300" t="s">
        <v>1251</v>
      </c>
      <c r="AA75" s="300" t="s">
        <v>1251</v>
      </c>
      <c r="AB75" s="300" t="s">
        <v>1556</v>
      </c>
      <c r="AC75" s="300"/>
      <c r="AD75" s="328" t="s">
        <v>1568</v>
      </c>
      <c r="AE75" s="328">
        <v>402174</v>
      </c>
      <c r="AF75" s="328" t="s">
        <v>1251</v>
      </c>
      <c r="AG75" s="29">
        <v>72</v>
      </c>
      <c r="AH75" s="329" t="s">
        <v>54</v>
      </c>
      <c r="AI75" s="330">
        <v>1</v>
      </c>
      <c r="AJ75" s="309">
        <v>1</v>
      </c>
      <c r="AK75" s="302"/>
      <c r="AL75" s="303"/>
      <c r="AM75" s="305"/>
      <c r="AN75" s="301"/>
      <c r="AO75" s="305"/>
      <c r="AP75" s="301"/>
      <c r="AQ75" s="301"/>
      <c r="AR75" s="332"/>
    </row>
    <row r="76" spans="1:44">
      <c r="A76" s="299">
        <v>319428.11</v>
      </c>
      <c r="B76" s="300">
        <v>4104089100</v>
      </c>
      <c r="C76" s="300" t="s">
        <v>1689</v>
      </c>
      <c r="D76" s="300" t="s">
        <v>1690</v>
      </c>
      <c r="E76" s="300">
        <v>402</v>
      </c>
      <c r="F76" s="322">
        <v>535158.16</v>
      </c>
      <c r="G76" s="323">
        <v>0.55500000000000005</v>
      </c>
      <c r="H76" s="324">
        <f t="shared" si="2"/>
        <v>5.5500000000000002E-3</v>
      </c>
      <c r="I76" s="325">
        <v>44796</v>
      </c>
      <c r="J76" s="300">
        <v>5</v>
      </c>
      <c r="K76" s="325">
        <v>53950</v>
      </c>
      <c r="L76" s="300">
        <v>301</v>
      </c>
      <c r="M76" s="300">
        <v>296</v>
      </c>
      <c r="N76" s="326">
        <v>44896</v>
      </c>
      <c r="O76" s="323">
        <v>3.3</v>
      </c>
      <c r="P76" s="322">
        <v>9801.4217004000002</v>
      </c>
      <c r="Q76" s="300" t="s">
        <v>1392</v>
      </c>
      <c r="R76" s="300" t="s">
        <v>1832</v>
      </c>
      <c r="S76" s="300" t="s">
        <v>1833</v>
      </c>
      <c r="T76" s="300">
        <v>457110</v>
      </c>
      <c r="U76" s="323">
        <v>1.75</v>
      </c>
      <c r="V76" s="327">
        <f t="shared" si="3"/>
        <v>1.7500000000000002E-2</v>
      </c>
      <c r="W76" s="323">
        <v>-0.5</v>
      </c>
      <c r="X76" s="300" t="s">
        <v>26</v>
      </c>
      <c r="Y76" s="300" t="s">
        <v>1248</v>
      </c>
      <c r="Z76" s="300" t="s">
        <v>1251</v>
      </c>
      <c r="AA76" s="300" t="s">
        <v>1251</v>
      </c>
      <c r="AB76" s="300" t="s">
        <v>1556</v>
      </c>
      <c r="AC76" s="300"/>
      <c r="AD76" s="328" t="s">
        <v>1562</v>
      </c>
      <c r="AE76" s="328">
        <v>400139</v>
      </c>
      <c r="AF76" s="328" t="s">
        <v>1251</v>
      </c>
      <c r="AG76" s="29">
        <v>45</v>
      </c>
      <c r="AH76" s="329" t="s">
        <v>42</v>
      </c>
      <c r="AI76" s="330">
        <v>1</v>
      </c>
      <c r="AJ76" s="309">
        <v>1</v>
      </c>
      <c r="AK76" s="302"/>
      <c r="AL76" s="303"/>
      <c r="AM76" s="305"/>
      <c r="AN76" s="301"/>
      <c r="AO76" s="305"/>
      <c r="AP76" s="301"/>
      <c r="AQ76" s="301"/>
      <c r="AR76" s="332"/>
    </row>
    <row r="77" spans="1:44">
      <c r="A77" s="299">
        <v>319839.11</v>
      </c>
      <c r="B77" s="300">
        <v>4230339104</v>
      </c>
      <c r="C77" s="300" t="s">
        <v>1689</v>
      </c>
      <c r="D77" s="300" t="s">
        <v>1690</v>
      </c>
      <c r="E77" s="300">
        <v>402</v>
      </c>
      <c r="F77" s="322">
        <v>814517.86</v>
      </c>
      <c r="G77" s="323">
        <v>0.23</v>
      </c>
      <c r="H77" s="324">
        <f t="shared" si="2"/>
        <v>2.3E-3</v>
      </c>
      <c r="I77" s="325">
        <v>44785</v>
      </c>
      <c r="J77" s="300">
        <v>5</v>
      </c>
      <c r="K77" s="325">
        <v>53950</v>
      </c>
      <c r="L77" s="300">
        <v>301</v>
      </c>
      <c r="M77" s="300">
        <v>296</v>
      </c>
      <c r="N77" s="326">
        <v>44902</v>
      </c>
      <c r="O77" s="323">
        <v>3.3</v>
      </c>
      <c r="P77" s="322">
        <v>6182.1905573999993</v>
      </c>
      <c r="Q77" s="300" t="s">
        <v>1393</v>
      </c>
      <c r="R77" s="300" t="s">
        <v>1834</v>
      </c>
      <c r="S77" s="300" t="s">
        <v>1835</v>
      </c>
      <c r="T77" s="300">
        <v>721110</v>
      </c>
      <c r="U77" s="323">
        <v>1.25</v>
      </c>
      <c r="V77" s="327">
        <f t="shared" si="3"/>
        <v>1.2500000000000001E-2</v>
      </c>
      <c r="W77" s="323">
        <v>-0.67500000000000004</v>
      </c>
      <c r="X77" s="300" t="s">
        <v>26</v>
      </c>
      <c r="Y77" s="300" t="s">
        <v>1248</v>
      </c>
      <c r="Z77" s="300" t="s">
        <v>1251</v>
      </c>
      <c r="AA77" s="300" t="s">
        <v>1251</v>
      </c>
      <c r="AB77" s="300" t="s">
        <v>1556</v>
      </c>
      <c r="AC77" s="300"/>
      <c r="AD77" s="328" t="s">
        <v>1568</v>
      </c>
      <c r="AE77" s="328">
        <v>402173</v>
      </c>
      <c r="AF77" s="328" t="s">
        <v>1251</v>
      </c>
      <c r="AG77" s="29">
        <v>72</v>
      </c>
      <c r="AH77" s="329" t="s">
        <v>93</v>
      </c>
      <c r="AI77" s="330">
        <v>1</v>
      </c>
      <c r="AJ77" s="309">
        <v>1</v>
      </c>
      <c r="AK77" s="302"/>
      <c r="AL77" s="303"/>
      <c r="AM77" s="305"/>
      <c r="AN77" s="301"/>
      <c r="AO77" s="305"/>
      <c r="AP77" s="301"/>
      <c r="AQ77" s="301"/>
      <c r="AR77" s="332"/>
    </row>
    <row r="78" spans="1:44">
      <c r="A78" s="299">
        <v>319696.11</v>
      </c>
      <c r="B78" s="300">
        <v>4203529107</v>
      </c>
      <c r="C78" s="300" t="s">
        <v>1689</v>
      </c>
      <c r="D78" s="300" t="s">
        <v>1690</v>
      </c>
      <c r="E78" s="300">
        <v>402</v>
      </c>
      <c r="F78" s="322">
        <v>2188107.2200000002</v>
      </c>
      <c r="G78" s="323">
        <v>0.80500000000000005</v>
      </c>
      <c r="H78" s="324">
        <f t="shared" si="2"/>
        <v>8.0499999999999999E-3</v>
      </c>
      <c r="I78" s="325">
        <v>44770</v>
      </c>
      <c r="J78" s="300">
        <v>6</v>
      </c>
      <c r="K78" s="325">
        <v>53919</v>
      </c>
      <c r="L78" s="300">
        <v>301</v>
      </c>
      <c r="M78" s="300">
        <v>295</v>
      </c>
      <c r="N78" s="326">
        <v>44922</v>
      </c>
      <c r="O78" s="323">
        <v>3.3</v>
      </c>
      <c r="P78" s="322">
        <v>58127.068299300001</v>
      </c>
      <c r="Q78" s="300" t="s">
        <v>1394</v>
      </c>
      <c r="R78" s="300" t="s">
        <v>1836</v>
      </c>
      <c r="S78" s="300" t="s">
        <v>1837</v>
      </c>
      <c r="T78" s="300">
        <v>721110</v>
      </c>
      <c r="U78" s="323">
        <v>2</v>
      </c>
      <c r="V78" s="327">
        <f t="shared" si="3"/>
        <v>0.02</v>
      </c>
      <c r="W78" s="323">
        <v>-0.5</v>
      </c>
      <c r="X78" s="300" t="s">
        <v>26</v>
      </c>
      <c r="Y78" s="300" t="s">
        <v>1248</v>
      </c>
      <c r="Z78" s="300" t="s">
        <v>1251</v>
      </c>
      <c r="AA78" s="300" t="s">
        <v>1251</v>
      </c>
      <c r="AB78" s="300" t="s">
        <v>1556</v>
      </c>
      <c r="AC78" s="300"/>
      <c r="AD78" s="328" t="s">
        <v>1579</v>
      </c>
      <c r="AE78" s="328">
        <v>400151</v>
      </c>
      <c r="AF78" s="328" t="s">
        <v>1251</v>
      </c>
      <c r="AG78" s="29">
        <v>72</v>
      </c>
      <c r="AH78" s="329" t="s">
        <v>29</v>
      </c>
      <c r="AI78" s="330">
        <v>1</v>
      </c>
      <c r="AJ78" s="309">
        <v>1</v>
      </c>
      <c r="AK78" s="302"/>
      <c r="AL78" s="303"/>
      <c r="AM78" s="305"/>
      <c r="AN78" s="301"/>
      <c r="AO78" s="305"/>
      <c r="AP78" s="301"/>
      <c r="AQ78" s="301"/>
      <c r="AR78" s="332"/>
    </row>
    <row r="79" spans="1:44">
      <c r="A79" s="299">
        <v>319697.11</v>
      </c>
      <c r="B79" s="300">
        <v>4202149109</v>
      </c>
      <c r="C79" s="300" t="s">
        <v>1689</v>
      </c>
      <c r="D79" s="300" t="s">
        <v>1690</v>
      </c>
      <c r="E79" s="300">
        <v>402</v>
      </c>
      <c r="F79" s="322">
        <v>1700369.61</v>
      </c>
      <c r="G79" s="323">
        <v>0.80500000000000005</v>
      </c>
      <c r="H79" s="324">
        <f t="shared" si="2"/>
        <v>8.0499999999999999E-3</v>
      </c>
      <c r="I79" s="325">
        <v>44770</v>
      </c>
      <c r="J79" s="300">
        <v>6</v>
      </c>
      <c r="K79" s="325">
        <v>53919</v>
      </c>
      <c r="L79" s="300">
        <v>301</v>
      </c>
      <c r="M79" s="300">
        <v>295</v>
      </c>
      <c r="N79" s="326">
        <v>44922</v>
      </c>
      <c r="O79" s="323">
        <v>3.3</v>
      </c>
      <c r="P79" s="322">
        <v>45170.318689650005</v>
      </c>
      <c r="Q79" s="300" t="s">
        <v>1395</v>
      </c>
      <c r="R79" s="300" t="s">
        <v>1838</v>
      </c>
      <c r="S79" s="300" t="s">
        <v>1839</v>
      </c>
      <c r="T79" s="300">
        <v>721110</v>
      </c>
      <c r="U79" s="323">
        <v>2</v>
      </c>
      <c r="V79" s="327">
        <f t="shared" si="3"/>
        <v>0.02</v>
      </c>
      <c r="W79" s="323">
        <v>-0.5</v>
      </c>
      <c r="X79" s="300" t="s">
        <v>26</v>
      </c>
      <c r="Y79" s="300" t="s">
        <v>1248</v>
      </c>
      <c r="Z79" s="300" t="s">
        <v>1251</v>
      </c>
      <c r="AA79" s="300" t="s">
        <v>1251</v>
      </c>
      <c r="AB79" s="300" t="s">
        <v>1556</v>
      </c>
      <c r="AC79" s="300"/>
      <c r="AD79" s="328" t="s">
        <v>1579</v>
      </c>
      <c r="AE79" s="328">
        <v>400150</v>
      </c>
      <c r="AF79" s="328" t="s">
        <v>1251</v>
      </c>
      <c r="AG79" s="29">
        <v>72</v>
      </c>
      <c r="AH79" s="329" t="s">
        <v>29</v>
      </c>
      <c r="AI79" s="330">
        <v>1</v>
      </c>
      <c r="AJ79" s="309">
        <v>1</v>
      </c>
      <c r="AK79" s="302"/>
      <c r="AL79" s="303"/>
      <c r="AM79" s="305"/>
      <c r="AN79" s="301"/>
      <c r="AO79" s="305"/>
      <c r="AP79" s="301"/>
      <c r="AQ79" s="301"/>
      <c r="AR79" s="332"/>
    </row>
    <row r="80" spans="1:44">
      <c r="A80" s="299">
        <v>319786.11</v>
      </c>
      <c r="B80" s="300">
        <v>4151059105</v>
      </c>
      <c r="C80" s="300" t="s">
        <v>1689</v>
      </c>
      <c r="D80" s="300" t="s">
        <v>1690</v>
      </c>
      <c r="E80" s="300">
        <v>402</v>
      </c>
      <c r="F80" s="322">
        <v>614559.78</v>
      </c>
      <c r="G80" s="323">
        <v>1.79</v>
      </c>
      <c r="H80" s="324">
        <f t="shared" si="2"/>
        <v>1.7899999999999999E-2</v>
      </c>
      <c r="I80" s="325">
        <v>44748</v>
      </c>
      <c r="J80" s="300">
        <v>6</v>
      </c>
      <c r="K80" s="325">
        <v>53919</v>
      </c>
      <c r="L80" s="300">
        <v>301</v>
      </c>
      <c r="M80" s="300">
        <v>295</v>
      </c>
      <c r="N80" s="326">
        <v>44896</v>
      </c>
      <c r="O80" s="323">
        <v>3.3</v>
      </c>
      <c r="P80" s="322">
        <v>36302.046204599996</v>
      </c>
      <c r="Q80" s="300" t="s">
        <v>1396</v>
      </c>
      <c r="R80" s="300" t="s">
        <v>1840</v>
      </c>
      <c r="S80" s="300" t="s">
        <v>1841</v>
      </c>
      <c r="T80" s="300">
        <v>812910</v>
      </c>
      <c r="U80" s="323">
        <v>2.75</v>
      </c>
      <c r="V80" s="327">
        <f t="shared" si="3"/>
        <v>2.75E-2</v>
      </c>
      <c r="W80" s="323">
        <v>-0.67500000000000004</v>
      </c>
      <c r="X80" s="300" t="s">
        <v>26</v>
      </c>
      <c r="Y80" s="300" t="s">
        <v>1248</v>
      </c>
      <c r="Z80" s="300" t="s">
        <v>1251</v>
      </c>
      <c r="AA80" s="300" t="s">
        <v>1251</v>
      </c>
      <c r="AB80" s="300" t="s">
        <v>1556</v>
      </c>
      <c r="AC80" s="300"/>
      <c r="AD80" s="328" t="s">
        <v>1599</v>
      </c>
      <c r="AE80" s="328">
        <v>402168</v>
      </c>
      <c r="AF80" s="328" t="s">
        <v>1251</v>
      </c>
      <c r="AG80" s="29">
        <v>81</v>
      </c>
      <c r="AH80" s="329" t="s">
        <v>40</v>
      </c>
      <c r="AI80" s="330">
        <v>1</v>
      </c>
      <c r="AJ80" s="309">
        <v>1</v>
      </c>
      <c r="AK80" s="302"/>
      <c r="AL80" s="303"/>
      <c r="AM80" s="305"/>
      <c r="AN80" s="301"/>
      <c r="AO80" s="305"/>
      <c r="AP80" s="301"/>
      <c r="AQ80" s="301"/>
      <c r="AR80" s="332"/>
    </row>
    <row r="81" spans="1:44">
      <c r="A81" s="299">
        <v>319451.11</v>
      </c>
      <c r="B81" s="300">
        <v>4181769107</v>
      </c>
      <c r="C81" s="300" t="s">
        <v>1689</v>
      </c>
      <c r="D81" s="300" t="s">
        <v>1690</v>
      </c>
      <c r="E81" s="300">
        <v>402</v>
      </c>
      <c r="F81" s="322">
        <v>481901.89</v>
      </c>
      <c r="G81" s="323">
        <v>1.615</v>
      </c>
      <c r="H81" s="324">
        <f t="shared" si="2"/>
        <v>1.6150000000000001E-2</v>
      </c>
      <c r="I81" s="325">
        <v>44768</v>
      </c>
      <c r="J81" s="300">
        <v>6</v>
      </c>
      <c r="K81" s="325">
        <v>53919</v>
      </c>
      <c r="L81" s="300">
        <v>301</v>
      </c>
      <c r="M81" s="300">
        <v>295</v>
      </c>
      <c r="N81" s="326">
        <v>44900</v>
      </c>
      <c r="O81" s="323">
        <v>3.3</v>
      </c>
      <c r="P81" s="322">
        <v>25682.96122755</v>
      </c>
      <c r="Q81" s="300" t="s">
        <v>1397</v>
      </c>
      <c r="R81" s="300" t="s">
        <v>1842</v>
      </c>
      <c r="S81" s="300" t="s">
        <v>1843</v>
      </c>
      <c r="T81" s="300">
        <v>623110</v>
      </c>
      <c r="U81" s="323">
        <v>2.75</v>
      </c>
      <c r="V81" s="327">
        <f t="shared" si="3"/>
        <v>2.75E-2</v>
      </c>
      <c r="W81" s="323">
        <v>-0.5</v>
      </c>
      <c r="X81" s="300" t="s">
        <v>26</v>
      </c>
      <c r="Y81" s="300" t="s">
        <v>1248</v>
      </c>
      <c r="Z81" s="300" t="s">
        <v>1251</v>
      </c>
      <c r="AA81" s="300" t="s">
        <v>1251</v>
      </c>
      <c r="AB81" s="300" t="s">
        <v>1556</v>
      </c>
      <c r="AC81" s="300"/>
      <c r="AD81" s="328" t="s">
        <v>1559</v>
      </c>
      <c r="AE81" s="328">
        <v>400149</v>
      </c>
      <c r="AF81" s="328" t="s">
        <v>1251</v>
      </c>
      <c r="AG81" s="29">
        <v>62</v>
      </c>
      <c r="AH81" s="329" t="s">
        <v>105</v>
      </c>
      <c r="AI81" s="330">
        <v>1</v>
      </c>
      <c r="AJ81" s="309">
        <v>1</v>
      </c>
      <c r="AK81" s="302"/>
      <c r="AL81" s="303"/>
      <c r="AM81" s="305"/>
      <c r="AN81" s="301"/>
      <c r="AO81" s="305"/>
      <c r="AP81" s="301"/>
      <c r="AQ81" s="301"/>
      <c r="AR81" s="332"/>
    </row>
    <row r="82" spans="1:44">
      <c r="A82" s="299">
        <v>319544.11</v>
      </c>
      <c r="B82" s="300">
        <v>4129079104</v>
      </c>
      <c r="C82" s="300" t="s">
        <v>1689</v>
      </c>
      <c r="D82" s="300" t="s">
        <v>1690</v>
      </c>
      <c r="E82" s="300">
        <v>402</v>
      </c>
      <c r="F82" s="322">
        <v>245825.72</v>
      </c>
      <c r="G82" s="323">
        <v>2.105</v>
      </c>
      <c r="H82" s="324">
        <f t="shared" si="2"/>
        <v>2.1049999999999999E-2</v>
      </c>
      <c r="I82" s="325">
        <v>44748</v>
      </c>
      <c r="J82" s="300">
        <v>6</v>
      </c>
      <c r="K82" s="325">
        <v>53919</v>
      </c>
      <c r="L82" s="300">
        <v>301</v>
      </c>
      <c r="M82" s="300">
        <v>295</v>
      </c>
      <c r="N82" s="326">
        <v>44900</v>
      </c>
      <c r="O82" s="323">
        <v>3.3</v>
      </c>
      <c r="P82" s="322">
        <v>17076.283639799996</v>
      </c>
      <c r="Q82" s="300" t="s">
        <v>1398</v>
      </c>
      <c r="R82" s="300" t="s">
        <v>1844</v>
      </c>
      <c r="S82" s="300" t="s">
        <v>1845</v>
      </c>
      <c r="T82" s="300">
        <v>713950</v>
      </c>
      <c r="U82" s="323">
        <v>2.75</v>
      </c>
      <c r="V82" s="327">
        <f t="shared" si="3"/>
        <v>2.75E-2</v>
      </c>
      <c r="W82" s="323">
        <v>-0.5</v>
      </c>
      <c r="X82" s="300" t="s">
        <v>26</v>
      </c>
      <c r="Y82" s="300" t="s">
        <v>1248</v>
      </c>
      <c r="Z82" s="300" t="s">
        <v>1251</v>
      </c>
      <c r="AA82" s="300" t="s">
        <v>1251</v>
      </c>
      <c r="AB82" s="300" t="s">
        <v>1556</v>
      </c>
      <c r="AC82" s="300"/>
      <c r="AD82" s="328" t="s">
        <v>1600</v>
      </c>
      <c r="AE82" s="328">
        <v>400145</v>
      </c>
      <c r="AF82" s="328" t="s">
        <v>1251</v>
      </c>
      <c r="AG82" s="29">
        <v>71</v>
      </c>
      <c r="AH82" s="329" t="s">
        <v>31</v>
      </c>
      <c r="AI82" s="330">
        <v>1</v>
      </c>
      <c r="AJ82" s="309">
        <v>1</v>
      </c>
      <c r="AK82" s="302"/>
      <c r="AL82" s="303"/>
      <c r="AM82" s="305"/>
      <c r="AN82" s="301"/>
      <c r="AO82" s="305"/>
      <c r="AP82" s="301"/>
      <c r="AQ82" s="301"/>
      <c r="AR82" s="332"/>
    </row>
    <row r="83" spans="1:44">
      <c r="A83" s="299">
        <v>319390.11</v>
      </c>
      <c r="B83" s="300">
        <v>4103629105</v>
      </c>
      <c r="C83" s="300" t="s">
        <v>1689</v>
      </c>
      <c r="D83" s="300" t="s">
        <v>1690</v>
      </c>
      <c r="E83" s="300">
        <v>402</v>
      </c>
      <c r="F83" s="322">
        <v>189838.86</v>
      </c>
      <c r="G83" s="323">
        <v>2.105</v>
      </c>
      <c r="H83" s="324">
        <f t="shared" si="2"/>
        <v>2.1049999999999999E-2</v>
      </c>
      <c r="I83" s="325">
        <v>44754</v>
      </c>
      <c r="J83" s="300">
        <v>6</v>
      </c>
      <c r="K83" s="325">
        <v>53919</v>
      </c>
      <c r="L83" s="300">
        <v>301</v>
      </c>
      <c r="M83" s="300">
        <v>295</v>
      </c>
      <c r="N83" s="326">
        <v>44895</v>
      </c>
      <c r="O83" s="323">
        <v>3.3</v>
      </c>
      <c r="P83" s="322">
        <v>13187.156409899997</v>
      </c>
      <c r="Q83" s="300" t="s">
        <v>1399</v>
      </c>
      <c r="R83" s="300" t="s">
        <v>1846</v>
      </c>
      <c r="S83" s="300" t="s">
        <v>1847</v>
      </c>
      <c r="T83" s="300">
        <v>611691</v>
      </c>
      <c r="U83" s="323">
        <v>2.75</v>
      </c>
      <c r="V83" s="327">
        <f t="shared" si="3"/>
        <v>2.75E-2</v>
      </c>
      <c r="W83" s="323">
        <v>-0.5</v>
      </c>
      <c r="X83" s="300" t="s">
        <v>26</v>
      </c>
      <c r="Y83" s="300" t="s">
        <v>1248</v>
      </c>
      <c r="Z83" s="300" t="s">
        <v>1251</v>
      </c>
      <c r="AA83" s="300" t="s">
        <v>1251</v>
      </c>
      <c r="AB83" s="300" t="s">
        <v>1556</v>
      </c>
      <c r="AC83" s="300"/>
      <c r="AD83" s="328" t="s">
        <v>1601</v>
      </c>
      <c r="AE83" s="328">
        <v>400138</v>
      </c>
      <c r="AF83" s="328" t="s">
        <v>1251</v>
      </c>
      <c r="AG83" s="29">
        <v>61</v>
      </c>
      <c r="AH83" s="329" t="s">
        <v>42</v>
      </c>
      <c r="AI83" s="330">
        <v>1</v>
      </c>
      <c r="AJ83" s="309">
        <v>1</v>
      </c>
      <c r="AK83" s="302"/>
      <c r="AL83" s="303"/>
      <c r="AM83" s="305"/>
      <c r="AN83" s="301"/>
      <c r="AO83" s="305"/>
      <c r="AP83" s="301"/>
      <c r="AQ83" s="301"/>
      <c r="AR83" s="332"/>
    </row>
    <row r="84" spans="1:44">
      <c r="A84" s="299">
        <v>319759.11</v>
      </c>
      <c r="B84" s="300">
        <v>4092549109</v>
      </c>
      <c r="C84" s="300" t="s">
        <v>1689</v>
      </c>
      <c r="D84" s="300" t="s">
        <v>1690</v>
      </c>
      <c r="E84" s="300">
        <v>402</v>
      </c>
      <c r="F84" s="322">
        <v>381844.8</v>
      </c>
      <c r="G84" s="323">
        <v>1.04</v>
      </c>
      <c r="H84" s="324">
        <f t="shared" si="2"/>
        <v>1.04E-2</v>
      </c>
      <c r="I84" s="325">
        <v>44733</v>
      </c>
      <c r="J84" s="300">
        <v>7</v>
      </c>
      <c r="K84" s="325">
        <v>53888</v>
      </c>
      <c r="L84" s="300">
        <v>301</v>
      </c>
      <c r="M84" s="300">
        <v>294</v>
      </c>
      <c r="N84" s="326">
        <v>44899</v>
      </c>
      <c r="O84" s="323">
        <v>3.3</v>
      </c>
      <c r="P84" s="322">
        <v>13104.913535999998</v>
      </c>
      <c r="Q84" s="300" t="s">
        <v>1400</v>
      </c>
      <c r="R84" s="300" t="s">
        <v>1848</v>
      </c>
      <c r="S84" s="300" t="s">
        <v>1849</v>
      </c>
      <c r="T84" s="300">
        <v>445320</v>
      </c>
      <c r="U84" s="323">
        <v>2</v>
      </c>
      <c r="V84" s="327">
        <f t="shared" si="3"/>
        <v>0.02</v>
      </c>
      <c r="W84" s="323">
        <v>-0.67500000000000004</v>
      </c>
      <c r="X84" s="300" t="s">
        <v>26</v>
      </c>
      <c r="Y84" s="300" t="s">
        <v>1248</v>
      </c>
      <c r="Z84" s="300" t="s">
        <v>1251</v>
      </c>
      <c r="AA84" s="300" t="s">
        <v>1251</v>
      </c>
      <c r="AB84" s="300" t="s">
        <v>1556</v>
      </c>
      <c r="AC84" s="300"/>
      <c r="AD84" s="328" t="s">
        <v>1600</v>
      </c>
      <c r="AE84" s="328">
        <v>402167</v>
      </c>
      <c r="AF84" s="328" t="s">
        <v>1251</v>
      </c>
      <c r="AG84" s="29">
        <v>44</v>
      </c>
      <c r="AH84" s="329" t="s">
        <v>25</v>
      </c>
      <c r="AI84" s="330">
        <v>1</v>
      </c>
      <c r="AJ84" s="309">
        <v>1</v>
      </c>
      <c r="AK84" s="302"/>
      <c r="AL84" s="303"/>
      <c r="AM84" s="305"/>
      <c r="AN84" s="301"/>
      <c r="AO84" s="305"/>
      <c r="AP84" s="301"/>
      <c r="AQ84" s="301"/>
      <c r="AR84" s="332"/>
    </row>
    <row r="85" spans="1:44">
      <c r="A85" s="299">
        <v>319580.11</v>
      </c>
      <c r="B85" s="300">
        <v>4128259108</v>
      </c>
      <c r="C85" s="300" t="s">
        <v>1689</v>
      </c>
      <c r="D85" s="300" t="s">
        <v>1690</v>
      </c>
      <c r="E85" s="300">
        <v>402</v>
      </c>
      <c r="F85" s="322">
        <v>301778.26</v>
      </c>
      <c r="G85" s="323">
        <v>0.80500000000000005</v>
      </c>
      <c r="H85" s="324">
        <f t="shared" si="2"/>
        <v>8.0499999999999999E-3</v>
      </c>
      <c r="I85" s="325">
        <v>44735</v>
      </c>
      <c r="J85" s="300">
        <v>7</v>
      </c>
      <c r="K85" s="325">
        <v>53888</v>
      </c>
      <c r="L85" s="300">
        <v>301</v>
      </c>
      <c r="M85" s="300">
        <v>294</v>
      </c>
      <c r="N85" s="326">
        <v>44895</v>
      </c>
      <c r="O85" s="323">
        <v>3.3</v>
      </c>
      <c r="P85" s="322">
        <v>8016.7394769000002</v>
      </c>
      <c r="Q85" s="300" t="s">
        <v>1401</v>
      </c>
      <c r="R85" s="300" t="s">
        <v>1850</v>
      </c>
      <c r="S85" s="300" t="s">
        <v>1851</v>
      </c>
      <c r="T85" s="300">
        <v>531190</v>
      </c>
      <c r="U85" s="323">
        <v>2</v>
      </c>
      <c r="V85" s="327">
        <f t="shared" si="3"/>
        <v>0.02</v>
      </c>
      <c r="W85" s="323">
        <v>-0.5</v>
      </c>
      <c r="X85" s="300" t="s">
        <v>26</v>
      </c>
      <c r="Y85" s="300" t="s">
        <v>1248</v>
      </c>
      <c r="Z85" s="300" t="s">
        <v>1251</v>
      </c>
      <c r="AA85" s="300" t="s">
        <v>1251</v>
      </c>
      <c r="AB85" s="300" t="s">
        <v>1556</v>
      </c>
      <c r="AC85" s="300"/>
      <c r="AD85" s="328" t="s">
        <v>1602</v>
      </c>
      <c r="AE85" s="328">
        <v>400142</v>
      </c>
      <c r="AF85" s="328" t="s">
        <v>1251</v>
      </c>
      <c r="AG85" s="29">
        <v>53</v>
      </c>
      <c r="AH85" s="329" t="s">
        <v>60</v>
      </c>
      <c r="AI85" s="330">
        <v>1</v>
      </c>
      <c r="AJ85" s="309">
        <v>1</v>
      </c>
      <c r="AK85" s="302"/>
      <c r="AL85" s="303"/>
      <c r="AM85" s="305"/>
      <c r="AN85" s="301"/>
      <c r="AO85" s="305"/>
      <c r="AP85" s="301"/>
      <c r="AQ85" s="301"/>
      <c r="AR85" s="332"/>
    </row>
    <row r="86" spans="1:44">
      <c r="A86" s="299">
        <v>319579.11</v>
      </c>
      <c r="B86" s="300">
        <v>4128359103</v>
      </c>
      <c r="C86" s="300" t="s">
        <v>1689</v>
      </c>
      <c r="D86" s="300" t="s">
        <v>1690</v>
      </c>
      <c r="E86" s="300">
        <v>402</v>
      </c>
      <c r="F86" s="322">
        <v>248128.79</v>
      </c>
      <c r="G86" s="323">
        <v>0.80500000000000005</v>
      </c>
      <c r="H86" s="324">
        <f t="shared" si="2"/>
        <v>8.0499999999999999E-3</v>
      </c>
      <c r="I86" s="325">
        <v>44735</v>
      </c>
      <c r="J86" s="300">
        <v>7</v>
      </c>
      <c r="K86" s="325">
        <v>53888</v>
      </c>
      <c r="L86" s="300">
        <v>301</v>
      </c>
      <c r="M86" s="300">
        <v>294</v>
      </c>
      <c r="N86" s="326">
        <v>44896</v>
      </c>
      <c r="O86" s="323">
        <v>3.3</v>
      </c>
      <c r="P86" s="322">
        <v>6591.54130635</v>
      </c>
      <c r="Q86" s="300" t="s">
        <v>1402</v>
      </c>
      <c r="R86" s="300" t="s">
        <v>1850</v>
      </c>
      <c r="S86" s="300" t="s">
        <v>1851</v>
      </c>
      <c r="T86" s="300">
        <v>531190</v>
      </c>
      <c r="U86" s="323">
        <v>2</v>
      </c>
      <c r="V86" s="327">
        <f t="shared" si="3"/>
        <v>0.02</v>
      </c>
      <c r="W86" s="323">
        <v>-0.5</v>
      </c>
      <c r="X86" s="300" t="s">
        <v>26</v>
      </c>
      <c r="Y86" s="300" t="s">
        <v>1248</v>
      </c>
      <c r="Z86" s="300" t="s">
        <v>1251</v>
      </c>
      <c r="AA86" s="300" t="s">
        <v>1251</v>
      </c>
      <c r="AB86" s="300" t="s">
        <v>1556</v>
      </c>
      <c r="AC86" s="300"/>
      <c r="AD86" s="328" t="s">
        <v>1602</v>
      </c>
      <c r="AE86" s="328">
        <v>400143</v>
      </c>
      <c r="AF86" s="328" t="s">
        <v>1251</v>
      </c>
      <c r="AG86" s="29">
        <v>53</v>
      </c>
      <c r="AH86" s="329" t="s">
        <v>60</v>
      </c>
      <c r="AI86" s="330">
        <v>1</v>
      </c>
      <c r="AJ86" s="309">
        <v>1</v>
      </c>
      <c r="AK86" s="302"/>
      <c r="AL86" s="303"/>
      <c r="AM86" s="305"/>
      <c r="AN86" s="301"/>
      <c r="AO86" s="305"/>
      <c r="AP86" s="301"/>
      <c r="AQ86" s="301"/>
      <c r="AR86" s="332"/>
    </row>
    <row r="87" spans="1:44">
      <c r="A87" s="299">
        <v>319979.11</v>
      </c>
      <c r="B87" s="300">
        <v>3261339102</v>
      </c>
      <c r="C87" s="300" t="s">
        <v>1689</v>
      </c>
      <c r="D87" s="300" t="s">
        <v>1690</v>
      </c>
      <c r="E87" s="300">
        <v>402</v>
      </c>
      <c r="F87" s="322">
        <v>483750</v>
      </c>
      <c r="G87" s="323">
        <v>1.04</v>
      </c>
      <c r="H87" s="324">
        <f t="shared" si="2"/>
        <v>1.04E-2</v>
      </c>
      <c r="I87" s="325">
        <v>44691</v>
      </c>
      <c r="J87" s="300">
        <v>8</v>
      </c>
      <c r="K87" s="325">
        <v>53858</v>
      </c>
      <c r="L87" s="300">
        <v>301</v>
      </c>
      <c r="M87" s="300">
        <v>293</v>
      </c>
      <c r="N87" s="326">
        <v>44905</v>
      </c>
      <c r="O87" s="323">
        <v>3.3</v>
      </c>
      <c r="P87" s="322">
        <v>16602.3</v>
      </c>
      <c r="Q87" s="300" t="s">
        <v>1403</v>
      </c>
      <c r="R87" s="300" t="s">
        <v>1852</v>
      </c>
      <c r="S87" s="300" t="s">
        <v>1853</v>
      </c>
      <c r="T87" s="300">
        <v>541513</v>
      </c>
      <c r="U87" s="323">
        <v>2</v>
      </c>
      <c r="V87" s="327">
        <f t="shared" si="3"/>
        <v>0.02</v>
      </c>
      <c r="W87" s="323">
        <v>-0.67500000000000004</v>
      </c>
      <c r="X87" s="300" t="s">
        <v>26</v>
      </c>
      <c r="Y87" s="300" t="s">
        <v>1248</v>
      </c>
      <c r="Z87" s="300" t="s">
        <v>1251</v>
      </c>
      <c r="AA87" s="300" t="s">
        <v>1251</v>
      </c>
      <c r="AB87" s="300" t="s">
        <v>1556</v>
      </c>
      <c r="AC87" s="300"/>
      <c r="AD87" s="328" t="s">
        <v>1603</v>
      </c>
      <c r="AE87" s="328">
        <v>402164</v>
      </c>
      <c r="AF87" s="328" t="s">
        <v>1251</v>
      </c>
      <c r="AG87" s="29">
        <v>54</v>
      </c>
      <c r="AH87" s="329" t="s">
        <v>29</v>
      </c>
      <c r="AI87" s="330">
        <v>1</v>
      </c>
      <c r="AJ87" s="309">
        <v>1</v>
      </c>
      <c r="AK87" s="302"/>
      <c r="AL87" s="303"/>
      <c r="AM87" s="305"/>
      <c r="AN87" s="301"/>
      <c r="AO87" s="305"/>
      <c r="AP87" s="301"/>
      <c r="AQ87" s="301"/>
      <c r="AR87" s="332"/>
    </row>
    <row r="88" spans="1:44">
      <c r="A88" s="299">
        <v>319962.11</v>
      </c>
      <c r="B88" s="300">
        <v>1106989110</v>
      </c>
      <c r="C88" s="300" t="s">
        <v>1689</v>
      </c>
      <c r="D88" s="300" t="s">
        <v>1690</v>
      </c>
      <c r="E88" s="300">
        <v>402</v>
      </c>
      <c r="F88" s="322">
        <v>1603800</v>
      </c>
      <c r="G88" s="323">
        <v>1.03</v>
      </c>
      <c r="H88" s="324">
        <f t="shared" si="2"/>
        <v>1.03E-2</v>
      </c>
      <c r="I88" s="325">
        <v>44677</v>
      </c>
      <c r="J88" s="300">
        <v>9</v>
      </c>
      <c r="K88" s="325">
        <v>53827</v>
      </c>
      <c r="L88" s="300">
        <v>301</v>
      </c>
      <c r="M88" s="300">
        <v>292</v>
      </c>
      <c r="N88" s="326">
        <v>44900</v>
      </c>
      <c r="O88" s="323">
        <v>3.3</v>
      </c>
      <c r="P88" s="322">
        <v>54513.162000000004</v>
      </c>
      <c r="Q88" s="300" t="s">
        <v>1404</v>
      </c>
      <c r="R88" s="300" t="s">
        <v>1854</v>
      </c>
      <c r="S88" s="300" t="s">
        <v>1855</v>
      </c>
      <c r="T88" s="300">
        <v>484210</v>
      </c>
      <c r="U88" s="323">
        <v>1.5</v>
      </c>
      <c r="V88" s="327">
        <f t="shared" si="3"/>
        <v>1.4999999999999999E-2</v>
      </c>
      <c r="W88" s="323">
        <v>-0.67500000000000004</v>
      </c>
      <c r="X88" s="300" t="s">
        <v>26</v>
      </c>
      <c r="Y88" s="300" t="s">
        <v>1248</v>
      </c>
      <c r="Z88" s="300" t="s">
        <v>1251</v>
      </c>
      <c r="AA88" s="300" t="s">
        <v>1251</v>
      </c>
      <c r="AB88" s="300" t="s">
        <v>1556</v>
      </c>
      <c r="AC88" s="300"/>
      <c r="AD88" s="328" t="s">
        <v>1595</v>
      </c>
      <c r="AE88" s="328">
        <v>402163</v>
      </c>
      <c r="AF88" s="328" t="s">
        <v>1856</v>
      </c>
      <c r="AG88" s="29">
        <v>48</v>
      </c>
      <c r="AH88" s="329" t="s">
        <v>42</v>
      </c>
      <c r="AI88" s="330">
        <v>1</v>
      </c>
      <c r="AJ88" s="309">
        <v>1</v>
      </c>
      <c r="AK88" s="302"/>
      <c r="AL88" s="303"/>
      <c r="AM88" s="305"/>
      <c r="AN88" s="301"/>
      <c r="AO88" s="305"/>
      <c r="AP88" s="301"/>
      <c r="AQ88" s="301"/>
      <c r="AR88" s="332"/>
    </row>
    <row r="89" spans="1:44">
      <c r="A89" s="299">
        <v>319581.11</v>
      </c>
      <c r="B89" s="300">
        <v>3531479110</v>
      </c>
      <c r="C89" s="300" t="s">
        <v>1689</v>
      </c>
      <c r="D89" s="300" t="s">
        <v>1690</v>
      </c>
      <c r="E89" s="300">
        <v>402</v>
      </c>
      <c r="F89" s="322">
        <v>378218.21</v>
      </c>
      <c r="G89" s="323">
        <v>0.86499999999999999</v>
      </c>
      <c r="H89" s="324">
        <f t="shared" si="2"/>
        <v>8.6499999999999997E-3</v>
      </c>
      <c r="I89" s="325">
        <v>44650</v>
      </c>
      <c r="J89" s="300">
        <v>10</v>
      </c>
      <c r="K89" s="325">
        <v>53797</v>
      </c>
      <c r="L89" s="300">
        <v>301</v>
      </c>
      <c r="M89" s="300">
        <v>291</v>
      </c>
      <c r="N89" s="326">
        <v>44895</v>
      </c>
      <c r="O89" s="323">
        <v>3.3</v>
      </c>
      <c r="P89" s="322">
        <v>10796.23880445</v>
      </c>
      <c r="Q89" s="300" t="s">
        <v>1405</v>
      </c>
      <c r="R89" s="300" t="s">
        <v>1857</v>
      </c>
      <c r="S89" s="300" t="s">
        <v>1858</v>
      </c>
      <c r="T89" s="300">
        <v>722513</v>
      </c>
      <c r="U89" s="323">
        <v>2</v>
      </c>
      <c r="V89" s="327">
        <f t="shared" si="3"/>
        <v>0.02</v>
      </c>
      <c r="W89" s="323">
        <v>-0.5</v>
      </c>
      <c r="X89" s="300" t="s">
        <v>26</v>
      </c>
      <c r="Y89" s="300" t="s">
        <v>1248</v>
      </c>
      <c r="Z89" s="300" t="s">
        <v>1251</v>
      </c>
      <c r="AA89" s="300" t="s">
        <v>1251</v>
      </c>
      <c r="AB89" s="300" t="s">
        <v>1556</v>
      </c>
      <c r="AC89" s="300"/>
      <c r="AD89" s="328" t="s">
        <v>1602</v>
      </c>
      <c r="AE89" s="328">
        <v>400135</v>
      </c>
      <c r="AF89" s="328" t="s">
        <v>1251</v>
      </c>
      <c r="AG89" s="29">
        <v>72</v>
      </c>
      <c r="AH89" s="329" t="s">
        <v>31</v>
      </c>
      <c r="AI89" s="330">
        <v>1</v>
      </c>
      <c r="AJ89" s="309">
        <v>1</v>
      </c>
      <c r="AK89" s="302"/>
      <c r="AL89" s="303"/>
      <c r="AM89" s="305"/>
      <c r="AN89" s="301"/>
      <c r="AO89" s="305"/>
      <c r="AP89" s="301"/>
      <c r="AQ89" s="301"/>
      <c r="AR89" s="332"/>
    </row>
    <row r="90" spans="1:44">
      <c r="A90" s="299">
        <v>319436.11</v>
      </c>
      <c r="B90" s="300">
        <v>3356549109</v>
      </c>
      <c r="C90" s="300" t="s">
        <v>1689</v>
      </c>
      <c r="D90" s="300" t="s">
        <v>1690</v>
      </c>
      <c r="E90" s="300">
        <v>402</v>
      </c>
      <c r="F90" s="322">
        <v>627555.30000000005</v>
      </c>
      <c r="G90" s="323">
        <v>0.86499999999999999</v>
      </c>
      <c r="H90" s="324">
        <f t="shared" si="2"/>
        <v>8.6499999999999997E-3</v>
      </c>
      <c r="I90" s="325">
        <v>44620</v>
      </c>
      <c r="J90" s="300">
        <v>11</v>
      </c>
      <c r="K90" s="325">
        <v>53766</v>
      </c>
      <c r="L90" s="300">
        <v>301</v>
      </c>
      <c r="M90" s="300">
        <v>290</v>
      </c>
      <c r="N90" s="326">
        <v>44924</v>
      </c>
      <c r="O90" s="323">
        <v>3.3</v>
      </c>
      <c r="P90" s="322">
        <v>17913.566038500001</v>
      </c>
      <c r="Q90" s="300" t="s">
        <v>1406</v>
      </c>
      <c r="R90" s="300" t="s">
        <v>1859</v>
      </c>
      <c r="S90" s="300" t="s">
        <v>1860</v>
      </c>
      <c r="T90" s="300">
        <v>811111</v>
      </c>
      <c r="U90" s="323">
        <v>2</v>
      </c>
      <c r="V90" s="327">
        <f t="shared" si="3"/>
        <v>0.02</v>
      </c>
      <c r="W90" s="323">
        <v>-0.5</v>
      </c>
      <c r="X90" s="300" t="s">
        <v>26</v>
      </c>
      <c r="Y90" s="300" t="s">
        <v>1248</v>
      </c>
      <c r="Z90" s="300" t="s">
        <v>1251</v>
      </c>
      <c r="AA90" s="300" t="s">
        <v>1251</v>
      </c>
      <c r="AB90" s="300" t="s">
        <v>1</v>
      </c>
      <c r="AC90" s="300"/>
      <c r="AD90" s="328" t="s">
        <v>1604</v>
      </c>
      <c r="AE90" s="328">
        <v>400133</v>
      </c>
      <c r="AF90" s="328" t="s">
        <v>1251</v>
      </c>
      <c r="AG90" s="29">
        <v>81</v>
      </c>
      <c r="AH90" s="329" t="s">
        <v>40</v>
      </c>
      <c r="AI90" s="330">
        <v>1</v>
      </c>
      <c r="AJ90" s="309">
        <v>1</v>
      </c>
      <c r="AK90" s="302"/>
      <c r="AL90" s="303"/>
      <c r="AM90" s="305"/>
      <c r="AN90" s="301"/>
      <c r="AO90" s="305"/>
      <c r="AP90" s="301"/>
      <c r="AQ90" s="301"/>
      <c r="AR90" s="332"/>
    </row>
    <row r="91" spans="1:44">
      <c r="A91" s="299">
        <v>316860.11</v>
      </c>
      <c r="B91" s="300">
        <v>1763989110</v>
      </c>
      <c r="C91" s="300" t="s">
        <v>1689</v>
      </c>
      <c r="D91" s="300" t="s">
        <v>1690</v>
      </c>
      <c r="E91" s="300">
        <v>402</v>
      </c>
      <c r="F91" s="322">
        <v>3353170.95</v>
      </c>
      <c r="G91" s="323">
        <v>2.7050000000000001</v>
      </c>
      <c r="H91" s="324">
        <f t="shared" si="2"/>
        <v>2.7050000000000001E-2</v>
      </c>
      <c r="I91" s="325">
        <v>44540</v>
      </c>
      <c r="J91" s="300">
        <v>13</v>
      </c>
      <c r="K91" s="325">
        <v>53707</v>
      </c>
      <c r="L91" s="300">
        <v>301</v>
      </c>
      <c r="M91" s="300">
        <v>288</v>
      </c>
      <c r="N91" s="326">
        <v>44907</v>
      </c>
      <c r="O91" s="323">
        <v>3.3</v>
      </c>
      <c r="P91" s="322">
        <v>299320.80485175003</v>
      </c>
      <c r="Q91" s="300" t="s">
        <v>1407</v>
      </c>
      <c r="R91" s="300" t="s">
        <v>1861</v>
      </c>
      <c r="S91" s="300" t="s">
        <v>1862</v>
      </c>
      <c r="T91" s="300">
        <v>721110</v>
      </c>
      <c r="U91" s="323">
        <v>1.5</v>
      </c>
      <c r="V91" s="327">
        <f t="shared" si="3"/>
        <v>1.4999999999999999E-2</v>
      </c>
      <c r="W91" s="323">
        <v>-2.35</v>
      </c>
      <c r="X91" s="300" t="s">
        <v>26</v>
      </c>
      <c r="Y91" s="300" t="s">
        <v>1248</v>
      </c>
      <c r="Z91" s="300" t="s">
        <v>1251</v>
      </c>
      <c r="AA91" s="300" t="s">
        <v>1251</v>
      </c>
      <c r="AB91" s="300" t="s">
        <v>1556</v>
      </c>
      <c r="AC91" s="300"/>
      <c r="AD91" s="328" t="s">
        <v>1605</v>
      </c>
      <c r="AE91" s="328">
        <v>402161</v>
      </c>
      <c r="AF91" s="328" t="s">
        <v>1251</v>
      </c>
      <c r="AG91" s="29">
        <v>72</v>
      </c>
      <c r="AH91" s="329" t="s">
        <v>42</v>
      </c>
      <c r="AI91" s="330">
        <v>1</v>
      </c>
      <c r="AJ91" s="309">
        <v>1</v>
      </c>
      <c r="AK91" s="302"/>
      <c r="AL91" s="303"/>
      <c r="AM91" s="305"/>
      <c r="AN91" s="301"/>
      <c r="AO91" s="305"/>
      <c r="AP91" s="301"/>
      <c r="AQ91" s="301"/>
      <c r="AR91" s="332"/>
    </row>
    <row r="92" spans="1:44">
      <c r="A92" s="299">
        <v>317576.11</v>
      </c>
      <c r="B92" s="300">
        <v>1793769104</v>
      </c>
      <c r="C92" s="300" t="s">
        <v>1689</v>
      </c>
      <c r="D92" s="300" t="s">
        <v>1690</v>
      </c>
      <c r="E92" s="300">
        <v>402</v>
      </c>
      <c r="F92" s="322">
        <v>1053483.52</v>
      </c>
      <c r="G92" s="323">
        <v>1.605</v>
      </c>
      <c r="H92" s="324">
        <f t="shared" si="2"/>
        <v>1.6049999999999998E-2</v>
      </c>
      <c r="I92" s="325">
        <v>44558</v>
      </c>
      <c r="J92" s="300">
        <v>13</v>
      </c>
      <c r="K92" s="325">
        <v>53707</v>
      </c>
      <c r="L92" s="300">
        <v>301</v>
      </c>
      <c r="M92" s="300">
        <v>288</v>
      </c>
      <c r="N92" s="326">
        <v>44923</v>
      </c>
      <c r="O92" s="323">
        <v>3.3</v>
      </c>
      <c r="P92" s="322">
        <v>55797.754636799989</v>
      </c>
      <c r="Q92" s="300" t="s">
        <v>1408</v>
      </c>
      <c r="R92" s="300" t="s">
        <v>1863</v>
      </c>
      <c r="S92" s="300" t="s">
        <v>1864</v>
      </c>
      <c r="T92" s="300">
        <v>623312</v>
      </c>
      <c r="U92" s="323">
        <v>2.25</v>
      </c>
      <c r="V92" s="327">
        <f t="shared" si="3"/>
        <v>2.2499999999999999E-2</v>
      </c>
      <c r="W92" s="323">
        <v>-0.5</v>
      </c>
      <c r="X92" s="300" t="s">
        <v>26</v>
      </c>
      <c r="Y92" s="300" t="s">
        <v>1248</v>
      </c>
      <c r="Z92" s="300" t="s">
        <v>1251</v>
      </c>
      <c r="AA92" s="300" t="s">
        <v>1251</v>
      </c>
      <c r="AB92" s="300" t="s">
        <v>1556</v>
      </c>
      <c r="AC92" s="300"/>
      <c r="AD92" s="328" t="s">
        <v>1557</v>
      </c>
      <c r="AE92" s="328">
        <v>400128</v>
      </c>
      <c r="AF92" s="328" t="s">
        <v>1251</v>
      </c>
      <c r="AG92" s="29">
        <v>62</v>
      </c>
      <c r="AH92" s="329" t="s">
        <v>87</v>
      </c>
      <c r="AI92" s="330">
        <v>1</v>
      </c>
      <c r="AJ92" s="309">
        <v>1</v>
      </c>
      <c r="AK92" s="302"/>
      <c r="AL92" s="303"/>
      <c r="AM92" s="305"/>
      <c r="AN92" s="301"/>
      <c r="AO92" s="305"/>
      <c r="AP92" s="301"/>
      <c r="AQ92" s="301"/>
      <c r="AR92" s="332"/>
    </row>
    <row r="93" spans="1:44">
      <c r="A93" s="299">
        <v>317784.11</v>
      </c>
      <c r="B93" s="300">
        <v>2561149101</v>
      </c>
      <c r="C93" s="300" t="s">
        <v>1689</v>
      </c>
      <c r="D93" s="300" t="s">
        <v>1690</v>
      </c>
      <c r="E93" s="300">
        <v>402</v>
      </c>
      <c r="F93" s="322">
        <v>477405.8</v>
      </c>
      <c r="G93" s="323">
        <v>1.54</v>
      </c>
      <c r="H93" s="324">
        <f t="shared" si="2"/>
        <v>1.54E-2</v>
      </c>
      <c r="I93" s="325">
        <v>44559</v>
      </c>
      <c r="J93" s="300">
        <v>13</v>
      </c>
      <c r="K93" s="325">
        <v>53707</v>
      </c>
      <c r="L93" s="300">
        <v>301</v>
      </c>
      <c r="M93" s="300">
        <v>288</v>
      </c>
      <c r="N93" s="326">
        <v>44895</v>
      </c>
      <c r="O93" s="323">
        <v>3.3</v>
      </c>
      <c r="P93" s="322">
        <v>24261.762756</v>
      </c>
      <c r="Q93" s="300" t="s">
        <v>1409</v>
      </c>
      <c r="R93" s="300" t="s">
        <v>1865</v>
      </c>
      <c r="S93" s="300" t="s">
        <v>1866</v>
      </c>
      <c r="T93" s="300">
        <v>713940</v>
      </c>
      <c r="U93" s="323">
        <v>2.75</v>
      </c>
      <c r="V93" s="327">
        <f t="shared" si="3"/>
        <v>2.75E-2</v>
      </c>
      <c r="W93" s="323">
        <v>-0.42499999999999999</v>
      </c>
      <c r="X93" s="300" t="s">
        <v>26</v>
      </c>
      <c r="Y93" s="300" t="s">
        <v>1248</v>
      </c>
      <c r="Z93" s="300" t="s">
        <v>1251</v>
      </c>
      <c r="AA93" s="300" t="s">
        <v>1251</v>
      </c>
      <c r="AB93" s="300" t="s">
        <v>1</v>
      </c>
      <c r="AC93" s="300"/>
      <c r="AD93" s="328" t="s">
        <v>1592</v>
      </c>
      <c r="AE93" s="328">
        <v>384614</v>
      </c>
      <c r="AF93" s="328" t="s">
        <v>1251</v>
      </c>
      <c r="AG93" s="29">
        <v>71</v>
      </c>
      <c r="AH93" s="329" t="s">
        <v>42</v>
      </c>
      <c r="AI93" s="330">
        <v>1</v>
      </c>
      <c r="AJ93" s="309">
        <v>1</v>
      </c>
      <c r="AK93" s="302"/>
      <c r="AL93" s="303"/>
      <c r="AM93" s="305"/>
      <c r="AN93" s="301"/>
      <c r="AO93" s="305"/>
      <c r="AP93" s="301"/>
      <c r="AQ93" s="301"/>
      <c r="AR93" s="332"/>
    </row>
    <row r="94" spans="1:44">
      <c r="A94" s="299">
        <v>319221.11</v>
      </c>
      <c r="B94" s="300">
        <v>2711339106</v>
      </c>
      <c r="C94" s="300" t="s">
        <v>1689</v>
      </c>
      <c r="D94" s="300" t="s">
        <v>1690</v>
      </c>
      <c r="E94" s="300">
        <v>402</v>
      </c>
      <c r="F94" s="322">
        <v>866279.33</v>
      </c>
      <c r="G94" s="323">
        <v>0.80500000000000005</v>
      </c>
      <c r="H94" s="324">
        <f t="shared" si="2"/>
        <v>8.0499999999999999E-3</v>
      </c>
      <c r="I94" s="325">
        <v>44544</v>
      </c>
      <c r="J94" s="300">
        <v>13</v>
      </c>
      <c r="K94" s="325">
        <v>53707</v>
      </c>
      <c r="L94" s="300">
        <v>301</v>
      </c>
      <c r="M94" s="300">
        <v>288</v>
      </c>
      <c r="N94" s="326">
        <v>44900</v>
      </c>
      <c r="O94" s="323">
        <v>3.3</v>
      </c>
      <c r="P94" s="322">
        <v>23012.71040145</v>
      </c>
      <c r="Q94" s="300" t="s">
        <v>1410</v>
      </c>
      <c r="R94" s="300" t="s">
        <v>1867</v>
      </c>
      <c r="S94" s="300" t="s">
        <v>1868</v>
      </c>
      <c r="T94" s="300">
        <v>541890</v>
      </c>
      <c r="U94" s="323">
        <v>2</v>
      </c>
      <c r="V94" s="327">
        <f t="shared" si="3"/>
        <v>0.02</v>
      </c>
      <c r="W94" s="323">
        <v>-0.5</v>
      </c>
      <c r="X94" s="300" t="s">
        <v>26</v>
      </c>
      <c r="Y94" s="300" t="s">
        <v>1248</v>
      </c>
      <c r="Z94" s="300" t="s">
        <v>1251</v>
      </c>
      <c r="AA94" s="300" t="s">
        <v>1251</v>
      </c>
      <c r="AB94" s="300" t="s">
        <v>1556</v>
      </c>
      <c r="AC94" s="300"/>
      <c r="AD94" s="328" t="s">
        <v>1606</v>
      </c>
      <c r="AE94" s="328">
        <v>400131</v>
      </c>
      <c r="AF94" s="328" t="s">
        <v>1251</v>
      </c>
      <c r="AG94" s="29">
        <v>54</v>
      </c>
      <c r="AH94" s="329" t="s">
        <v>52</v>
      </c>
      <c r="AI94" s="330">
        <v>1</v>
      </c>
      <c r="AJ94" s="309">
        <v>1</v>
      </c>
      <c r="AK94" s="302"/>
      <c r="AL94" s="303"/>
      <c r="AM94" s="305"/>
      <c r="AN94" s="301"/>
      <c r="AO94" s="305"/>
      <c r="AP94" s="301"/>
      <c r="AQ94" s="301"/>
      <c r="AR94" s="332"/>
    </row>
    <row r="95" spans="1:44">
      <c r="A95" s="299">
        <v>316691.11</v>
      </c>
      <c r="B95" s="300">
        <v>1705529103</v>
      </c>
      <c r="C95" s="300" t="s">
        <v>1689</v>
      </c>
      <c r="D95" s="300" t="s">
        <v>1690</v>
      </c>
      <c r="E95" s="300">
        <v>402</v>
      </c>
      <c r="F95" s="322">
        <v>3666895.27</v>
      </c>
      <c r="G95" s="323">
        <v>2.7050000000000001</v>
      </c>
      <c r="H95" s="324">
        <f t="shared" si="2"/>
        <v>2.7050000000000001E-2</v>
      </c>
      <c r="I95" s="325">
        <v>44529</v>
      </c>
      <c r="J95" s="300">
        <v>14</v>
      </c>
      <c r="K95" s="325">
        <v>53676</v>
      </c>
      <c r="L95" s="300">
        <v>301</v>
      </c>
      <c r="M95" s="300">
        <v>287</v>
      </c>
      <c r="N95" s="326">
        <v>44923</v>
      </c>
      <c r="O95" s="323">
        <v>3.3</v>
      </c>
      <c r="P95" s="322">
        <v>327325.40627654997</v>
      </c>
      <c r="Q95" s="300" t="s">
        <v>1411</v>
      </c>
      <c r="R95" s="300" t="s">
        <v>1869</v>
      </c>
      <c r="S95" s="300" t="s">
        <v>1870</v>
      </c>
      <c r="T95" s="300">
        <v>541110</v>
      </c>
      <c r="U95" s="323">
        <v>1.5</v>
      </c>
      <c r="V95" s="327">
        <f t="shared" si="3"/>
        <v>1.4999999999999999E-2</v>
      </c>
      <c r="W95" s="323">
        <v>-2.35</v>
      </c>
      <c r="X95" s="300" t="s">
        <v>26</v>
      </c>
      <c r="Y95" s="300" t="s">
        <v>1248</v>
      </c>
      <c r="Z95" s="300" t="s">
        <v>1251</v>
      </c>
      <c r="AA95" s="300" t="s">
        <v>1251</v>
      </c>
      <c r="AB95" s="300" t="s">
        <v>1</v>
      </c>
      <c r="AC95" s="300"/>
      <c r="AD95" s="328" t="s">
        <v>1607</v>
      </c>
      <c r="AE95" s="328">
        <v>402159</v>
      </c>
      <c r="AF95" s="328" t="s">
        <v>1251</v>
      </c>
      <c r="AG95" s="29">
        <v>54</v>
      </c>
      <c r="AH95" s="329" t="s">
        <v>29</v>
      </c>
      <c r="AI95" s="330">
        <v>1</v>
      </c>
      <c r="AJ95" s="309">
        <v>1</v>
      </c>
      <c r="AK95" s="302"/>
      <c r="AL95" s="303"/>
      <c r="AM95" s="305"/>
      <c r="AN95" s="301"/>
      <c r="AO95" s="305"/>
      <c r="AP95" s="301"/>
      <c r="AQ95" s="301"/>
      <c r="AR95" s="332"/>
    </row>
    <row r="96" spans="1:44">
      <c r="A96" s="299">
        <v>319688.11</v>
      </c>
      <c r="B96" s="300">
        <v>2461779105</v>
      </c>
      <c r="C96" s="300" t="s">
        <v>1689</v>
      </c>
      <c r="D96" s="300" t="s">
        <v>1690</v>
      </c>
      <c r="E96" s="300">
        <v>402</v>
      </c>
      <c r="F96" s="322">
        <v>747989.81</v>
      </c>
      <c r="G96" s="323">
        <v>1.115</v>
      </c>
      <c r="H96" s="324">
        <f t="shared" si="2"/>
        <v>1.115E-2</v>
      </c>
      <c r="I96" s="325">
        <v>44529</v>
      </c>
      <c r="J96" s="300">
        <v>14</v>
      </c>
      <c r="K96" s="325">
        <v>53676</v>
      </c>
      <c r="L96" s="300">
        <v>301</v>
      </c>
      <c r="M96" s="300">
        <v>287</v>
      </c>
      <c r="N96" s="326">
        <v>44900</v>
      </c>
      <c r="O96" s="323">
        <v>3.3</v>
      </c>
      <c r="P96" s="322">
        <v>27522.285058950001</v>
      </c>
      <c r="Q96" s="300" t="s">
        <v>1412</v>
      </c>
      <c r="R96" s="300" t="s">
        <v>1871</v>
      </c>
      <c r="S96" s="300" t="s">
        <v>1872</v>
      </c>
      <c r="T96" s="300">
        <v>811111</v>
      </c>
      <c r="U96" s="323">
        <v>2.25</v>
      </c>
      <c r="V96" s="327">
        <f t="shared" si="3"/>
        <v>2.2499999999999999E-2</v>
      </c>
      <c r="W96" s="323">
        <v>-0.5</v>
      </c>
      <c r="X96" s="300" t="s">
        <v>26</v>
      </c>
      <c r="Y96" s="300" t="s">
        <v>1248</v>
      </c>
      <c r="Z96" s="300" t="s">
        <v>1251</v>
      </c>
      <c r="AA96" s="300" t="s">
        <v>1251</v>
      </c>
      <c r="AB96" s="300" t="s">
        <v>1556</v>
      </c>
      <c r="AC96" s="300"/>
      <c r="AD96" s="328" t="s">
        <v>1570</v>
      </c>
      <c r="AE96" s="328">
        <v>400130</v>
      </c>
      <c r="AF96" s="328" t="s">
        <v>1251</v>
      </c>
      <c r="AG96" s="29">
        <v>81</v>
      </c>
      <c r="AH96" s="329" t="s">
        <v>189</v>
      </c>
      <c r="AI96" s="330">
        <v>1</v>
      </c>
      <c r="AJ96" s="309">
        <v>1</v>
      </c>
      <c r="AK96" s="302"/>
      <c r="AL96" s="303"/>
      <c r="AM96" s="305"/>
      <c r="AN96" s="301"/>
      <c r="AO96" s="305"/>
      <c r="AP96" s="301"/>
      <c r="AQ96" s="301"/>
      <c r="AR96" s="332"/>
    </row>
    <row r="97" spans="1:44">
      <c r="A97" s="299">
        <v>317003.11</v>
      </c>
      <c r="B97" s="300">
        <v>1744719104</v>
      </c>
      <c r="C97" s="300" t="s">
        <v>1689</v>
      </c>
      <c r="D97" s="300" t="s">
        <v>1690</v>
      </c>
      <c r="E97" s="300">
        <v>402</v>
      </c>
      <c r="F97" s="322">
        <v>474230.05</v>
      </c>
      <c r="G97" s="323">
        <v>1.605</v>
      </c>
      <c r="H97" s="324">
        <f t="shared" si="2"/>
        <v>1.6049999999999998E-2</v>
      </c>
      <c r="I97" s="325">
        <v>44529</v>
      </c>
      <c r="J97" s="300">
        <v>14</v>
      </c>
      <c r="K97" s="325">
        <v>53676</v>
      </c>
      <c r="L97" s="300">
        <v>301</v>
      </c>
      <c r="M97" s="300">
        <v>287</v>
      </c>
      <c r="N97" s="326">
        <v>44896</v>
      </c>
      <c r="O97" s="323">
        <v>3.3</v>
      </c>
      <c r="P97" s="322">
        <v>25117.594598249994</v>
      </c>
      <c r="Q97" s="300" t="s">
        <v>1413</v>
      </c>
      <c r="R97" s="300" t="s">
        <v>1873</v>
      </c>
      <c r="S97" s="300" t="s">
        <v>1874</v>
      </c>
      <c r="T97" s="300">
        <v>722511</v>
      </c>
      <c r="U97" s="323">
        <v>2.25</v>
      </c>
      <c r="V97" s="327">
        <f t="shared" si="3"/>
        <v>2.2499999999999999E-2</v>
      </c>
      <c r="W97" s="323">
        <v>-0.5</v>
      </c>
      <c r="X97" s="300" t="s">
        <v>26</v>
      </c>
      <c r="Y97" s="300" t="s">
        <v>1248</v>
      </c>
      <c r="Z97" s="300" t="s">
        <v>1251</v>
      </c>
      <c r="AA97" s="300" t="s">
        <v>1251</v>
      </c>
      <c r="AB97" s="300" t="s">
        <v>1556</v>
      </c>
      <c r="AC97" s="300"/>
      <c r="AD97" s="328" t="s">
        <v>1608</v>
      </c>
      <c r="AE97" s="328">
        <v>400127</v>
      </c>
      <c r="AF97" s="328" t="s">
        <v>1251</v>
      </c>
      <c r="AG97" s="29">
        <v>72</v>
      </c>
      <c r="AH97" s="329" t="s">
        <v>40</v>
      </c>
      <c r="AI97" s="330">
        <v>1</v>
      </c>
      <c r="AJ97" s="309">
        <v>1</v>
      </c>
      <c r="AK97" s="302"/>
      <c r="AL97" s="303"/>
      <c r="AM97" s="305"/>
      <c r="AN97" s="301"/>
      <c r="AO97" s="305"/>
      <c r="AP97" s="301"/>
      <c r="AQ97" s="301"/>
      <c r="AR97" s="332"/>
    </row>
    <row r="98" spans="1:44">
      <c r="A98" s="299">
        <v>319384.11</v>
      </c>
      <c r="B98" s="300">
        <v>2249659107</v>
      </c>
      <c r="C98" s="300" t="s">
        <v>1689</v>
      </c>
      <c r="D98" s="300" t="s">
        <v>1690</v>
      </c>
      <c r="E98" s="300">
        <v>402</v>
      </c>
      <c r="F98" s="322">
        <v>147902.49</v>
      </c>
      <c r="G98" s="323">
        <v>2.0950000000000002</v>
      </c>
      <c r="H98" s="324">
        <f t="shared" si="2"/>
        <v>2.0950000000000003E-2</v>
      </c>
      <c r="I98" s="325">
        <v>44517</v>
      </c>
      <c r="J98" s="300">
        <v>14</v>
      </c>
      <c r="K98" s="325">
        <v>53676</v>
      </c>
      <c r="L98" s="300">
        <v>301</v>
      </c>
      <c r="M98" s="300">
        <v>287</v>
      </c>
      <c r="N98" s="326">
        <v>44900</v>
      </c>
      <c r="O98" s="323">
        <v>3.3</v>
      </c>
      <c r="P98" s="322">
        <v>10225.238646150001</v>
      </c>
      <c r="Q98" s="300" t="s">
        <v>1414</v>
      </c>
      <c r="R98" s="300" t="s">
        <v>1875</v>
      </c>
      <c r="S98" s="300" t="s">
        <v>1876</v>
      </c>
      <c r="T98" s="300">
        <v>524210</v>
      </c>
      <c r="U98" s="323">
        <v>2.74</v>
      </c>
      <c r="V98" s="327">
        <f t="shared" si="3"/>
        <v>2.7400000000000001E-2</v>
      </c>
      <c r="W98" s="323">
        <v>-0.5</v>
      </c>
      <c r="X98" s="300" t="s">
        <v>26</v>
      </c>
      <c r="Y98" s="300" t="s">
        <v>1248</v>
      </c>
      <c r="Z98" s="300" t="s">
        <v>1251</v>
      </c>
      <c r="AA98" s="300" t="s">
        <v>1251</v>
      </c>
      <c r="AB98" s="300" t="s">
        <v>1556</v>
      </c>
      <c r="AC98" s="300"/>
      <c r="AD98" s="328" t="s">
        <v>1570</v>
      </c>
      <c r="AE98" s="328">
        <v>400129</v>
      </c>
      <c r="AF98" s="328" t="s">
        <v>1251</v>
      </c>
      <c r="AG98" s="29">
        <v>52</v>
      </c>
      <c r="AH98" s="329" t="s">
        <v>1552</v>
      </c>
      <c r="AI98" s="330">
        <v>1</v>
      </c>
      <c r="AJ98" s="309">
        <v>1</v>
      </c>
      <c r="AK98" s="302"/>
      <c r="AL98" s="303"/>
      <c r="AM98" s="305"/>
      <c r="AN98" s="301"/>
      <c r="AO98" s="305"/>
      <c r="AP98" s="301"/>
      <c r="AQ98" s="301"/>
      <c r="AR98" s="332"/>
    </row>
    <row r="99" spans="1:44">
      <c r="A99" s="299">
        <v>319171.11</v>
      </c>
      <c r="B99" s="300">
        <v>1392449101</v>
      </c>
      <c r="C99" s="300" t="s">
        <v>1689</v>
      </c>
      <c r="D99" s="300" t="s">
        <v>1690</v>
      </c>
      <c r="E99" s="300">
        <v>402</v>
      </c>
      <c r="F99" s="322">
        <v>643666.03</v>
      </c>
      <c r="G99" s="323">
        <v>0.35499999999999998</v>
      </c>
      <c r="H99" s="324">
        <f t="shared" si="2"/>
        <v>3.5499999999999998E-3</v>
      </c>
      <c r="I99" s="325">
        <v>44508</v>
      </c>
      <c r="J99" s="300">
        <v>14</v>
      </c>
      <c r="K99" s="325">
        <v>53676</v>
      </c>
      <c r="L99" s="300">
        <v>301</v>
      </c>
      <c r="M99" s="300">
        <v>287</v>
      </c>
      <c r="N99" s="326">
        <v>44909</v>
      </c>
      <c r="O99" s="323">
        <v>3.3</v>
      </c>
      <c r="P99" s="322">
        <v>7540.5475414500006</v>
      </c>
      <c r="Q99" s="300" t="s">
        <v>1415</v>
      </c>
      <c r="R99" s="300" t="s">
        <v>1877</v>
      </c>
      <c r="S99" s="300" t="s">
        <v>1878</v>
      </c>
      <c r="T99" s="300">
        <v>722511</v>
      </c>
      <c r="U99" s="323">
        <v>1</v>
      </c>
      <c r="V99" s="327">
        <f t="shared" si="3"/>
        <v>0.01</v>
      </c>
      <c r="W99" s="323">
        <v>-0.5</v>
      </c>
      <c r="X99" s="300" t="s">
        <v>26</v>
      </c>
      <c r="Y99" s="300" t="s">
        <v>1248</v>
      </c>
      <c r="Z99" s="300" t="s">
        <v>1251</v>
      </c>
      <c r="AA99" s="300" t="s">
        <v>1251</v>
      </c>
      <c r="AB99" s="300" t="s">
        <v>1</v>
      </c>
      <c r="AC99" s="300"/>
      <c r="AD99" s="328" t="s">
        <v>1609</v>
      </c>
      <c r="AE99" s="328">
        <v>400126</v>
      </c>
      <c r="AF99" s="328" t="s">
        <v>1251</v>
      </c>
      <c r="AG99" s="29">
        <v>72</v>
      </c>
      <c r="AH99" s="329" t="s">
        <v>29</v>
      </c>
      <c r="AI99" s="330">
        <v>1</v>
      </c>
      <c r="AJ99" s="309">
        <v>1</v>
      </c>
      <c r="AK99" s="302"/>
      <c r="AL99" s="303"/>
      <c r="AM99" s="305"/>
      <c r="AN99" s="301"/>
      <c r="AO99" s="305"/>
      <c r="AP99" s="301"/>
      <c r="AQ99" s="301"/>
      <c r="AR99" s="332"/>
    </row>
    <row r="100" spans="1:44">
      <c r="A100" s="299">
        <v>316519.11</v>
      </c>
      <c r="B100" s="300">
        <v>1452139105</v>
      </c>
      <c r="C100" s="300" t="s">
        <v>1689</v>
      </c>
      <c r="D100" s="300" t="s">
        <v>1690</v>
      </c>
      <c r="E100" s="300">
        <v>402</v>
      </c>
      <c r="F100" s="322">
        <v>3626526.37</v>
      </c>
      <c r="G100" s="323">
        <v>2.9550000000000001</v>
      </c>
      <c r="H100" s="324">
        <f t="shared" si="2"/>
        <v>2.955E-2</v>
      </c>
      <c r="I100" s="325">
        <v>44488</v>
      </c>
      <c r="J100" s="300">
        <v>15</v>
      </c>
      <c r="K100" s="325">
        <v>53646</v>
      </c>
      <c r="L100" s="300">
        <v>301</v>
      </c>
      <c r="M100" s="300">
        <v>286</v>
      </c>
      <c r="N100" s="326">
        <v>44909</v>
      </c>
      <c r="O100" s="323">
        <v>3.3</v>
      </c>
      <c r="P100" s="322">
        <v>353640.71897054999</v>
      </c>
      <c r="Q100" s="300" t="s">
        <v>1416</v>
      </c>
      <c r="R100" s="300" t="s">
        <v>1879</v>
      </c>
      <c r="S100" s="300" t="s">
        <v>1880</v>
      </c>
      <c r="T100" s="300">
        <v>721110</v>
      </c>
      <c r="U100" s="323">
        <v>1.75</v>
      </c>
      <c r="V100" s="327">
        <f t="shared" si="3"/>
        <v>1.7500000000000002E-2</v>
      </c>
      <c r="W100" s="323">
        <v>-2.35</v>
      </c>
      <c r="X100" s="300" t="s">
        <v>26</v>
      </c>
      <c r="Y100" s="300" t="s">
        <v>1248</v>
      </c>
      <c r="Z100" s="300" t="s">
        <v>1251</v>
      </c>
      <c r="AA100" s="300" t="s">
        <v>1251</v>
      </c>
      <c r="AB100" s="300" t="s">
        <v>1556</v>
      </c>
      <c r="AC100" s="300"/>
      <c r="AD100" s="328" t="s">
        <v>1579</v>
      </c>
      <c r="AE100" s="328">
        <v>402156</v>
      </c>
      <c r="AF100" s="328" t="s">
        <v>1251</v>
      </c>
      <c r="AG100" s="29">
        <v>72</v>
      </c>
      <c r="AH100" s="329" t="s">
        <v>82</v>
      </c>
      <c r="AI100" s="330">
        <v>1</v>
      </c>
      <c r="AJ100" s="309">
        <v>1</v>
      </c>
      <c r="AK100" s="302"/>
      <c r="AL100" s="303"/>
      <c r="AM100" s="305"/>
      <c r="AN100" s="301"/>
      <c r="AO100" s="305"/>
      <c r="AP100" s="301"/>
      <c r="AQ100" s="301"/>
      <c r="AR100" s="332"/>
    </row>
    <row r="101" spans="1:44">
      <c r="A101" s="299">
        <v>316004.11</v>
      </c>
      <c r="B101" s="300">
        <v>1684109106</v>
      </c>
      <c r="C101" s="300" t="s">
        <v>1689</v>
      </c>
      <c r="D101" s="300" t="s">
        <v>1690</v>
      </c>
      <c r="E101" s="300">
        <v>402</v>
      </c>
      <c r="F101" s="322">
        <v>3432289.46</v>
      </c>
      <c r="G101" s="323">
        <v>2.7050000000000001</v>
      </c>
      <c r="H101" s="324">
        <f t="shared" si="2"/>
        <v>2.7050000000000001E-2</v>
      </c>
      <c r="I101" s="325">
        <v>44476</v>
      </c>
      <c r="J101" s="300">
        <v>15</v>
      </c>
      <c r="K101" s="325">
        <v>53646</v>
      </c>
      <c r="L101" s="300">
        <v>301</v>
      </c>
      <c r="M101" s="300">
        <v>286</v>
      </c>
      <c r="N101" s="326">
        <v>44896</v>
      </c>
      <c r="O101" s="323">
        <v>3.3</v>
      </c>
      <c r="P101" s="322">
        <v>306383.31864689995</v>
      </c>
      <c r="Q101" s="300" t="s">
        <v>1417</v>
      </c>
      <c r="R101" s="300" t="s">
        <v>1881</v>
      </c>
      <c r="S101" s="300" t="s">
        <v>1882</v>
      </c>
      <c r="T101" s="300">
        <v>721110</v>
      </c>
      <c r="U101" s="323">
        <v>1.5</v>
      </c>
      <c r="V101" s="327">
        <f t="shared" si="3"/>
        <v>1.4999999999999999E-2</v>
      </c>
      <c r="W101" s="323">
        <v>-2.35</v>
      </c>
      <c r="X101" s="300" t="s">
        <v>26</v>
      </c>
      <c r="Y101" s="300" t="s">
        <v>1248</v>
      </c>
      <c r="Z101" s="300" t="s">
        <v>1251</v>
      </c>
      <c r="AA101" s="300" t="s">
        <v>1251</v>
      </c>
      <c r="AB101" s="300" t="s">
        <v>1</v>
      </c>
      <c r="AC101" s="300"/>
      <c r="AD101" s="328" t="s">
        <v>1560</v>
      </c>
      <c r="AE101" s="328">
        <v>400071</v>
      </c>
      <c r="AF101" s="328" t="s">
        <v>1251</v>
      </c>
      <c r="AG101" s="29">
        <v>72</v>
      </c>
      <c r="AH101" s="329" t="s">
        <v>109</v>
      </c>
      <c r="AI101" s="330">
        <v>1</v>
      </c>
      <c r="AJ101" s="309">
        <v>1</v>
      </c>
      <c r="AK101" s="302"/>
      <c r="AL101" s="303"/>
      <c r="AM101" s="305"/>
      <c r="AN101" s="301"/>
      <c r="AO101" s="305"/>
      <c r="AP101" s="301"/>
      <c r="AQ101" s="301"/>
      <c r="AR101" s="332"/>
    </row>
    <row r="102" spans="1:44">
      <c r="A102" s="299">
        <v>318700.11</v>
      </c>
      <c r="B102" s="300">
        <v>1664199103</v>
      </c>
      <c r="C102" s="300" t="s">
        <v>1689</v>
      </c>
      <c r="D102" s="300" t="s">
        <v>1690</v>
      </c>
      <c r="E102" s="300">
        <v>402</v>
      </c>
      <c r="F102" s="322">
        <v>816068.78</v>
      </c>
      <c r="G102" s="323">
        <v>2.7050000000000001</v>
      </c>
      <c r="H102" s="324">
        <f t="shared" si="2"/>
        <v>2.7050000000000001E-2</v>
      </c>
      <c r="I102" s="325">
        <v>44487</v>
      </c>
      <c r="J102" s="300">
        <v>15</v>
      </c>
      <c r="K102" s="325">
        <v>53646</v>
      </c>
      <c r="L102" s="300">
        <v>301</v>
      </c>
      <c r="M102" s="300">
        <v>286</v>
      </c>
      <c r="N102" s="326">
        <v>44896</v>
      </c>
      <c r="O102" s="323">
        <v>3.3</v>
      </c>
      <c r="P102" s="322">
        <v>72846.379646700007</v>
      </c>
      <c r="Q102" s="300" t="s">
        <v>1418</v>
      </c>
      <c r="R102" s="300" t="s">
        <v>1883</v>
      </c>
      <c r="S102" s="300" t="s">
        <v>1884</v>
      </c>
      <c r="T102" s="300">
        <v>447110</v>
      </c>
      <c r="U102" s="323">
        <v>1.5</v>
      </c>
      <c r="V102" s="327">
        <f t="shared" si="3"/>
        <v>1.4999999999999999E-2</v>
      </c>
      <c r="W102" s="323">
        <v>-2.35</v>
      </c>
      <c r="X102" s="300" t="s">
        <v>26</v>
      </c>
      <c r="Y102" s="300" t="s">
        <v>1248</v>
      </c>
      <c r="Z102" s="300" t="s">
        <v>1251</v>
      </c>
      <c r="AA102" s="300" t="s">
        <v>1251</v>
      </c>
      <c r="AB102" s="300" t="s">
        <v>1556</v>
      </c>
      <c r="AC102" s="300"/>
      <c r="AD102" s="328" t="s">
        <v>1610</v>
      </c>
      <c r="AE102" s="328">
        <v>402157</v>
      </c>
      <c r="AF102" s="328" t="s">
        <v>1251</v>
      </c>
      <c r="AG102" s="29">
        <v>44</v>
      </c>
      <c r="AH102" s="329" t="s">
        <v>42</v>
      </c>
      <c r="AI102" s="330">
        <v>1</v>
      </c>
      <c r="AJ102" s="309">
        <v>1</v>
      </c>
      <c r="AK102" s="302"/>
      <c r="AL102" s="303"/>
      <c r="AM102" s="305"/>
      <c r="AN102" s="301"/>
      <c r="AO102" s="305"/>
      <c r="AP102" s="301"/>
      <c r="AQ102" s="301"/>
      <c r="AR102" s="332"/>
    </row>
    <row r="103" spans="1:44">
      <c r="A103" s="299">
        <v>316144.11</v>
      </c>
      <c r="B103" s="300">
        <v>1532859109</v>
      </c>
      <c r="C103" s="300" t="s">
        <v>1689</v>
      </c>
      <c r="D103" s="300" t="s">
        <v>1690</v>
      </c>
      <c r="E103" s="300">
        <v>402</v>
      </c>
      <c r="F103" s="322">
        <v>4403025.24</v>
      </c>
      <c r="G103" s="323">
        <v>2.7050000000000001</v>
      </c>
      <c r="H103" s="324">
        <f t="shared" si="2"/>
        <v>2.7050000000000001E-2</v>
      </c>
      <c r="I103" s="325">
        <v>44460</v>
      </c>
      <c r="J103" s="300">
        <v>16</v>
      </c>
      <c r="K103" s="325">
        <v>53615</v>
      </c>
      <c r="L103" s="300">
        <v>301</v>
      </c>
      <c r="M103" s="300">
        <v>285</v>
      </c>
      <c r="N103" s="326">
        <v>44900</v>
      </c>
      <c r="O103" s="323">
        <v>3.3</v>
      </c>
      <c r="P103" s="322">
        <v>393036.04804859997</v>
      </c>
      <c r="Q103" s="300" t="s">
        <v>1419</v>
      </c>
      <c r="R103" s="300" t="s">
        <v>1885</v>
      </c>
      <c r="S103" s="300" t="s">
        <v>1886</v>
      </c>
      <c r="T103" s="300">
        <v>333997</v>
      </c>
      <c r="U103" s="323">
        <v>1.5</v>
      </c>
      <c r="V103" s="327">
        <f t="shared" si="3"/>
        <v>1.4999999999999999E-2</v>
      </c>
      <c r="W103" s="323">
        <v>-2.35</v>
      </c>
      <c r="X103" s="300" t="s">
        <v>26</v>
      </c>
      <c r="Y103" s="300" t="s">
        <v>1248</v>
      </c>
      <c r="Z103" s="300" t="s">
        <v>1251</v>
      </c>
      <c r="AA103" s="300" t="s">
        <v>1251</v>
      </c>
      <c r="AB103" s="300" t="s">
        <v>1556</v>
      </c>
      <c r="AC103" s="300"/>
      <c r="AD103" s="328" t="s">
        <v>1561</v>
      </c>
      <c r="AE103" s="328">
        <v>400070</v>
      </c>
      <c r="AF103" s="328" t="s">
        <v>1251</v>
      </c>
      <c r="AG103" s="29">
        <v>33</v>
      </c>
      <c r="AH103" s="329" t="s">
        <v>52</v>
      </c>
      <c r="AI103" s="330">
        <v>1</v>
      </c>
      <c r="AJ103" s="309">
        <v>1</v>
      </c>
      <c r="AK103" s="302"/>
      <c r="AL103" s="303"/>
      <c r="AM103" s="305"/>
      <c r="AN103" s="301"/>
      <c r="AO103" s="305"/>
      <c r="AP103" s="301"/>
      <c r="AQ103" s="301"/>
      <c r="AR103" s="332"/>
    </row>
    <row r="104" spans="1:44">
      <c r="A104" s="299">
        <v>315798.11</v>
      </c>
      <c r="B104" s="300">
        <v>1489599107</v>
      </c>
      <c r="C104" s="300" t="s">
        <v>1689</v>
      </c>
      <c r="D104" s="300" t="s">
        <v>1690</v>
      </c>
      <c r="E104" s="300">
        <v>402</v>
      </c>
      <c r="F104" s="322">
        <v>3227121.69</v>
      </c>
      <c r="G104" s="323">
        <v>2.9550000000000001</v>
      </c>
      <c r="H104" s="324">
        <f t="shared" si="2"/>
        <v>2.955E-2</v>
      </c>
      <c r="I104" s="325">
        <v>44441</v>
      </c>
      <c r="J104" s="300">
        <v>16</v>
      </c>
      <c r="K104" s="325">
        <v>53615</v>
      </c>
      <c r="L104" s="300">
        <v>301</v>
      </c>
      <c r="M104" s="300">
        <v>285</v>
      </c>
      <c r="N104" s="326">
        <v>44906</v>
      </c>
      <c r="O104" s="323">
        <v>3.3</v>
      </c>
      <c r="P104" s="322">
        <v>314692.77160034998</v>
      </c>
      <c r="Q104" s="300" t="s">
        <v>1420</v>
      </c>
      <c r="R104" s="300" t="s">
        <v>1887</v>
      </c>
      <c r="S104" s="300" t="s">
        <v>1888</v>
      </c>
      <c r="T104" s="300">
        <v>623312</v>
      </c>
      <c r="U104" s="323">
        <v>1.75</v>
      </c>
      <c r="V104" s="327">
        <f t="shared" si="3"/>
        <v>1.7500000000000002E-2</v>
      </c>
      <c r="W104" s="323">
        <v>-2.35</v>
      </c>
      <c r="X104" s="300" t="s">
        <v>26</v>
      </c>
      <c r="Y104" s="300" t="s">
        <v>1248</v>
      </c>
      <c r="Z104" s="300" t="s">
        <v>1251</v>
      </c>
      <c r="AA104" s="300" t="s">
        <v>1251</v>
      </c>
      <c r="AB104" s="300" t="s">
        <v>1556</v>
      </c>
      <c r="AC104" s="300"/>
      <c r="AD104" s="328" t="s">
        <v>1564</v>
      </c>
      <c r="AE104" s="328">
        <v>400069</v>
      </c>
      <c r="AF104" s="328" t="s">
        <v>1251</v>
      </c>
      <c r="AG104" s="29">
        <v>62</v>
      </c>
      <c r="AH104" s="329" t="s">
        <v>52</v>
      </c>
      <c r="AI104" s="330">
        <v>1</v>
      </c>
      <c r="AJ104" s="309">
        <v>1</v>
      </c>
      <c r="AK104" s="302"/>
      <c r="AL104" s="303"/>
      <c r="AM104" s="305"/>
      <c r="AN104" s="301"/>
      <c r="AO104" s="305"/>
      <c r="AP104" s="301"/>
      <c r="AQ104" s="301"/>
      <c r="AR104" s="332"/>
    </row>
    <row r="105" spans="1:44">
      <c r="A105" s="299">
        <v>315639.11</v>
      </c>
      <c r="B105" s="300">
        <v>1357179108</v>
      </c>
      <c r="C105" s="300" t="s">
        <v>1689</v>
      </c>
      <c r="D105" s="300" t="s">
        <v>1690</v>
      </c>
      <c r="E105" s="300">
        <v>402</v>
      </c>
      <c r="F105" s="322">
        <v>2905725.36</v>
      </c>
      <c r="G105" s="323">
        <v>2.9550000000000001</v>
      </c>
      <c r="H105" s="324">
        <f t="shared" si="2"/>
        <v>2.955E-2</v>
      </c>
      <c r="I105" s="325">
        <v>44448</v>
      </c>
      <c r="J105" s="300">
        <v>16</v>
      </c>
      <c r="K105" s="325">
        <v>53615</v>
      </c>
      <c r="L105" s="300">
        <v>301</v>
      </c>
      <c r="M105" s="300">
        <v>285</v>
      </c>
      <c r="N105" s="326">
        <v>44898</v>
      </c>
      <c r="O105" s="323">
        <v>3.3</v>
      </c>
      <c r="P105" s="322">
        <v>283351.80848039995</v>
      </c>
      <c r="Q105" s="300" t="s">
        <v>1421</v>
      </c>
      <c r="R105" s="300" t="s">
        <v>1889</v>
      </c>
      <c r="S105" s="300" t="s">
        <v>1890</v>
      </c>
      <c r="T105" s="300">
        <v>721110</v>
      </c>
      <c r="U105" s="323">
        <v>1.75</v>
      </c>
      <c r="V105" s="327">
        <f t="shared" si="3"/>
        <v>1.7500000000000002E-2</v>
      </c>
      <c r="W105" s="323">
        <v>-2.35</v>
      </c>
      <c r="X105" s="300" t="s">
        <v>26</v>
      </c>
      <c r="Y105" s="300" t="s">
        <v>1248</v>
      </c>
      <c r="Z105" s="300" t="s">
        <v>1251</v>
      </c>
      <c r="AA105" s="300" t="s">
        <v>1251</v>
      </c>
      <c r="AB105" s="300" t="s">
        <v>1556</v>
      </c>
      <c r="AC105" s="300"/>
      <c r="AD105" s="328" t="s">
        <v>1611</v>
      </c>
      <c r="AE105" s="328">
        <v>402155</v>
      </c>
      <c r="AF105" s="328" t="s">
        <v>1251</v>
      </c>
      <c r="AG105" s="29">
        <v>72</v>
      </c>
      <c r="AH105" s="329" t="s">
        <v>76</v>
      </c>
      <c r="AI105" s="330">
        <v>1</v>
      </c>
      <c r="AJ105" s="309">
        <v>1</v>
      </c>
      <c r="AK105" s="302"/>
      <c r="AL105" s="303"/>
      <c r="AM105" s="305"/>
      <c r="AN105" s="301"/>
      <c r="AO105" s="305"/>
      <c r="AP105" s="301"/>
      <c r="AQ105" s="301"/>
      <c r="AR105" s="332"/>
    </row>
    <row r="106" spans="1:44">
      <c r="A106" s="299">
        <v>319398.11</v>
      </c>
      <c r="B106" s="300">
        <v>1496829102</v>
      </c>
      <c r="C106" s="300" t="s">
        <v>1689</v>
      </c>
      <c r="D106" s="300" t="s">
        <v>1690</v>
      </c>
      <c r="E106" s="300">
        <v>402</v>
      </c>
      <c r="F106" s="322">
        <v>1452838.81</v>
      </c>
      <c r="G106" s="323">
        <v>2.7050000000000001</v>
      </c>
      <c r="H106" s="324">
        <f t="shared" si="2"/>
        <v>2.7050000000000001E-2</v>
      </c>
      <c r="I106" s="325">
        <v>44449</v>
      </c>
      <c r="J106" s="300">
        <v>16</v>
      </c>
      <c r="K106" s="325">
        <v>53615</v>
      </c>
      <c r="L106" s="300">
        <v>301</v>
      </c>
      <c r="M106" s="300">
        <v>285</v>
      </c>
      <c r="N106" s="326">
        <v>44895</v>
      </c>
      <c r="O106" s="323">
        <v>3.3</v>
      </c>
      <c r="P106" s="322">
        <v>129687.65637465</v>
      </c>
      <c r="Q106" s="300" t="s">
        <v>1422</v>
      </c>
      <c r="R106" s="300" t="s">
        <v>1891</v>
      </c>
      <c r="S106" s="300" t="s">
        <v>1892</v>
      </c>
      <c r="T106" s="300">
        <v>339999</v>
      </c>
      <c r="U106" s="323">
        <v>1.5</v>
      </c>
      <c r="V106" s="327">
        <f t="shared" si="3"/>
        <v>1.4999999999999999E-2</v>
      </c>
      <c r="W106" s="323">
        <v>-2.35</v>
      </c>
      <c r="X106" s="300" t="s">
        <v>26</v>
      </c>
      <c r="Y106" s="300" t="s">
        <v>1248</v>
      </c>
      <c r="Z106" s="300" t="s">
        <v>1251</v>
      </c>
      <c r="AA106" s="300" t="s">
        <v>1251</v>
      </c>
      <c r="AB106" s="300" t="s">
        <v>1</v>
      </c>
      <c r="AC106" s="300"/>
      <c r="AD106" s="328" t="s">
        <v>1560</v>
      </c>
      <c r="AE106" s="328">
        <v>397501</v>
      </c>
      <c r="AF106" s="328" t="s">
        <v>1251</v>
      </c>
      <c r="AG106" s="29">
        <v>33</v>
      </c>
      <c r="AH106" s="329" t="s">
        <v>82</v>
      </c>
      <c r="AI106" s="330">
        <v>1</v>
      </c>
      <c r="AJ106" s="309">
        <v>1</v>
      </c>
      <c r="AK106" s="302"/>
      <c r="AL106" s="303"/>
      <c r="AM106" s="305"/>
      <c r="AN106" s="301"/>
      <c r="AO106" s="305"/>
      <c r="AP106" s="301"/>
      <c r="AQ106" s="301"/>
      <c r="AR106" s="332"/>
    </row>
    <row r="107" spans="1:44">
      <c r="A107" s="299">
        <v>319137.11</v>
      </c>
      <c r="B107" s="300">
        <v>1231689102</v>
      </c>
      <c r="C107" s="300" t="s">
        <v>1689</v>
      </c>
      <c r="D107" s="300" t="s">
        <v>1690</v>
      </c>
      <c r="E107" s="300">
        <v>402</v>
      </c>
      <c r="F107" s="322">
        <v>971653.28</v>
      </c>
      <c r="G107" s="323">
        <v>2.9550000000000001</v>
      </c>
      <c r="H107" s="324">
        <f t="shared" si="2"/>
        <v>2.955E-2</v>
      </c>
      <c r="I107" s="325">
        <v>44440</v>
      </c>
      <c r="J107" s="300">
        <v>16</v>
      </c>
      <c r="K107" s="325">
        <v>53615</v>
      </c>
      <c r="L107" s="300">
        <v>301</v>
      </c>
      <c r="M107" s="300">
        <v>285</v>
      </c>
      <c r="N107" s="326">
        <v>44896</v>
      </c>
      <c r="O107" s="323">
        <v>3.3</v>
      </c>
      <c r="P107" s="322">
        <v>94750.769599199994</v>
      </c>
      <c r="Q107" s="300" t="s">
        <v>1423</v>
      </c>
      <c r="R107" s="300" t="s">
        <v>1893</v>
      </c>
      <c r="S107" s="300" t="s">
        <v>1894</v>
      </c>
      <c r="T107" s="300">
        <v>623110</v>
      </c>
      <c r="U107" s="323">
        <v>1.75</v>
      </c>
      <c r="V107" s="327">
        <f t="shared" si="3"/>
        <v>1.7500000000000002E-2</v>
      </c>
      <c r="W107" s="323">
        <v>-2.35</v>
      </c>
      <c r="X107" s="300" t="s">
        <v>26</v>
      </c>
      <c r="Y107" s="300" t="s">
        <v>1248</v>
      </c>
      <c r="Z107" s="300" t="s">
        <v>1251</v>
      </c>
      <c r="AA107" s="300" t="s">
        <v>1251</v>
      </c>
      <c r="AB107" s="300" t="s">
        <v>1556</v>
      </c>
      <c r="AC107" s="300"/>
      <c r="AD107" s="328" t="s">
        <v>1566</v>
      </c>
      <c r="AE107" s="328">
        <v>397497</v>
      </c>
      <c r="AF107" s="328" t="s">
        <v>1251</v>
      </c>
      <c r="AG107" s="29">
        <v>62</v>
      </c>
      <c r="AH107" s="329" t="s">
        <v>52</v>
      </c>
      <c r="AI107" s="330">
        <v>1</v>
      </c>
      <c r="AJ107" s="309">
        <v>1</v>
      </c>
      <c r="AK107" s="302"/>
      <c r="AL107" s="303"/>
      <c r="AM107" s="305"/>
      <c r="AN107" s="301"/>
      <c r="AO107" s="305"/>
      <c r="AP107" s="301"/>
      <c r="AQ107" s="301"/>
      <c r="AR107" s="332"/>
    </row>
    <row r="108" spans="1:44">
      <c r="A108" s="299">
        <v>319156.11</v>
      </c>
      <c r="B108" s="300">
        <v>1572009106</v>
      </c>
      <c r="C108" s="300" t="s">
        <v>1689</v>
      </c>
      <c r="D108" s="300" t="s">
        <v>1690</v>
      </c>
      <c r="E108" s="300">
        <v>402</v>
      </c>
      <c r="F108" s="322">
        <v>1040597.21</v>
      </c>
      <c r="G108" s="323">
        <v>2.2050000000000001</v>
      </c>
      <c r="H108" s="324">
        <f t="shared" si="2"/>
        <v>2.205E-2</v>
      </c>
      <c r="I108" s="325">
        <v>44452</v>
      </c>
      <c r="J108" s="300">
        <v>16</v>
      </c>
      <c r="K108" s="325">
        <v>53615</v>
      </c>
      <c r="L108" s="300">
        <v>301</v>
      </c>
      <c r="M108" s="300">
        <v>285</v>
      </c>
      <c r="N108" s="326">
        <v>44907</v>
      </c>
      <c r="O108" s="323">
        <v>3.3</v>
      </c>
      <c r="P108" s="322">
        <v>75719.055985649989</v>
      </c>
      <c r="Q108" s="300" t="s">
        <v>1424</v>
      </c>
      <c r="R108" s="300" t="s">
        <v>1895</v>
      </c>
      <c r="S108" s="300" t="s">
        <v>1896</v>
      </c>
      <c r="T108" s="300">
        <v>624410</v>
      </c>
      <c r="U108" s="323">
        <v>1</v>
      </c>
      <c r="V108" s="327">
        <f t="shared" si="3"/>
        <v>0.01</v>
      </c>
      <c r="W108" s="323">
        <v>-2.35</v>
      </c>
      <c r="X108" s="300" t="s">
        <v>26</v>
      </c>
      <c r="Y108" s="300" t="s">
        <v>1248</v>
      </c>
      <c r="Z108" s="300" t="s">
        <v>1251</v>
      </c>
      <c r="AA108" s="300" t="s">
        <v>1251</v>
      </c>
      <c r="AB108" s="300" t="s">
        <v>1556</v>
      </c>
      <c r="AC108" s="300"/>
      <c r="AD108" s="328" t="s">
        <v>1586</v>
      </c>
      <c r="AE108" s="328">
        <v>397502</v>
      </c>
      <c r="AF108" s="328" t="s">
        <v>1251</v>
      </c>
      <c r="AG108" s="29">
        <v>62</v>
      </c>
      <c r="AH108" s="329" t="s">
        <v>52</v>
      </c>
      <c r="AI108" s="330">
        <v>1</v>
      </c>
      <c r="AJ108" s="309">
        <v>1</v>
      </c>
      <c r="AK108" s="302"/>
      <c r="AL108" s="303"/>
      <c r="AM108" s="305"/>
      <c r="AN108" s="301"/>
      <c r="AO108" s="305"/>
      <c r="AP108" s="301"/>
      <c r="AQ108" s="301"/>
      <c r="AR108" s="332"/>
    </row>
    <row r="109" spans="1:44">
      <c r="A109" s="299">
        <v>319135.11</v>
      </c>
      <c r="B109" s="300">
        <v>1459219108</v>
      </c>
      <c r="C109" s="300" t="s">
        <v>1689</v>
      </c>
      <c r="D109" s="300" t="s">
        <v>1690</v>
      </c>
      <c r="E109" s="300">
        <v>402</v>
      </c>
      <c r="F109" s="322">
        <v>1579758.88</v>
      </c>
      <c r="G109" s="323">
        <v>1.405</v>
      </c>
      <c r="H109" s="324">
        <f t="shared" si="2"/>
        <v>1.405E-2</v>
      </c>
      <c r="I109" s="325">
        <v>44440</v>
      </c>
      <c r="J109" s="300">
        <v>16</v>
      </c>
      <c r="K109" s="325">
        <v>53615</v>
      </c>
      <c r="L109" s="300">
        <v>301</v>
      </c>
      <c r="M109" s="300">
        <v>285</v>
      </c>
      <c r="N109" s="326">
        <v>44900</v>
      </c>
      <c r="O109" s="323">
        <v>3.3</v>
      </c>
      <c r="P109" s="322">
        <v>73245.520471199998</v>
      </c>
      <c r="Q109" s="300" t="s">
        <v>1425</v>
      </c>
      <c r="R109" s="300" t="s">
        <v>1897</v>
      </c>
      <c r="S109" s="300" t="s">
        <v>1898</v>
      </c>
      <c r="T109" s="300">
        <v>722511</v>
      </c>
      <c r="U109" s="323">
        <v>2.25</v>
      </c>
      <c r="V109" s="327">
        <f t="shared" si="3"/>
        <v>2.2499999999999999E-2</v>
      </c>
      <c r="W109" s="323">
        <v>-0.3</v>
      </c>
      <c r="X109" s="300" t="s">
        <v>26</v>
      </c>
      <c r="Y109" s="300" t="s">
        <v>1248</v>
      </c>
      <c r="Z109" s="300" t="s">
        <v>1251</v>
      </c>
      <c r="AA109" s="300" t="s">
        <v>1251</v>
      </c>
      <c r="AB109" s="300" t="s">
        <v>1556</v>
      </c>
      <c r="AC109" s="300"/>
      <c r="AD109" s="328" t="s">
        <v>1566</v>
      </c>
      <c r="AE109" s="328">
        <v>388395</v>
      </c>
      <c r="AF109" s="328" t="s">
        <v>1251</v>
      </c>
      <c r="AG109" s="29">
        <v>72</v>
      </c>
      <c r="AH109" s="329" t="s">
        <v>52</v>
      </c>
      <c r="AI109" s="330">
        <v>1</v>
      </c>
      <c r="AJ109" s="309">
        <v>1</v>
      </c>
      <c r="AK109" s="302"/>
      <c r="AL109" s="303"/>
      <c r="AM109" s="305"/>
      <c r="AN109" s="301"/>
      <c r="AO109" s="305"/>
      <c r="AP109" s="301"/>
      <c r="AQ109" s="301"/>
      <c r="AR109" s="332"/>
    </row>
    <row r="110" spans="1:44">
      <c r="A110" s="299">
        <v>316076.11</v>
      </c>
      <c r="B110" s="300">
        <v>1719309108</v>
      </c>
      <c r="C110" s="300" t="s">
        <v>1689</v>
      </c>
      <c r="D110" s="300" t="s">
        <v>1690</v>
      </c>
      <c r="E110" s="300">
        <v>402</v>
      </c>
      <c r="F110" s="322">
        <v>927195.72</v>
      </c>
      <c r="G110" s="323">
        <v>1.905</v>
      </c>
      <c r="H110" s="324">
        <f t="shared" si="2"/>
        <v>1.9050000000000001E-2</v>
      </c>
      <c r="I110" s="325">
        <v>44469</v>
      </c>
      <c r="J110" s="300">
        <v>16</v>
      </c>
      <c r="K110" s="325">
        <v>53615</v>
      </c>
      <c r="L110" s="300">
        <v>301</v>
      </c>
      <c r="M110" s="300">
        <v>285</v>
      </c>
      <c r="N110" s="326">
        <v>44923</v>
      </c>
      <c r="O110" s="323">
        <v>3.3</v>
      </c>
      <c r="P110" s="322">
        <v>58288.158937799999</v>
      </c>
      <c r="Q110" s="300" t="s">
        <v>1426</v>
      </c>
      <c r="R110" s="300" t="s">
        <v>1899</v>
      </c>
      <c r="S110" s="300" t="s">
        <v>1900</v>
      </c>
      <c r="T110" s="300">
        <v>623311</v>
      </c>
      <c r="U110" s="323">
        <v>2.75</v>
      </c>
      <c r="V110" s="327">
        <f t="shared" si="3"/>
        <v>2.75E-2</v>
      </c>
      <c r="W110" s="323">
        <v>-0.3</v>
      </c>
      <c r="X110" s="300" t="s">
        <v>26</v>
      </c>
      <c r="Y110" s="300" t="s">
        <v>1248</v>
      </c>
      <c r="Z110" s="300" t="s">
        <v>1251</v>
      </c>
      <c r="AA110" s="300" t="s">
        <v>1251</v>
      </c>
      <c r="AB110" s="300" t="s">
        <v>1556</v>
      </c>
      <c r="AC110" s="300"/>
      <c r="AD110" s="328" t="s">
        <v>1557</v>
      </c>
      <c r="AE110" s="328">
        <v>388398</v>
      </c>
      <c r="AF110" s="328" t="s">
        <v>1251</v>
      </c>
      <c r="AG110" s="29">
        <v>62</v>
      </c>
      <c r="AH110" s="329" t="s">
        <v>54</v>
      </c>
      <c r="AI110" s="330">
        <v>1</v>
      </c>
      <c r="AJ110" s="309">
        <v>1</v>
      </c>
      <c r="AK110" s="302"/>
      <c r="AL110" s="303"/>
      <c r="AM110" s="305"/>
      <c r="AN110" s="301"/>
      <c r="AO110" s="305"/>
      <c r="AP110" s="301"/>
      <c r="AQ110" s="301"/>
      <c r="AR110" s="332"/>
    </row>
    <row r="111" spans="1:44">
      <c r="A111" s="299">
        <v>319174.11</v>
      </c>
      <c r="B111" s="300">
        <v>1340269104</v>
      </c>
      <c r="C111" s="300" t="s">
        <v>1689</v>
      </c>
      <c r="D111" s="300" t="s">
        <v>1690</v>
      </c>
      <c r="E111" s="300">
        <v>402</v>
      </c>
      <c r="F111" s="322">
        <v>858784.82</v>
      </c>
      <c r="G111" s="323">
        <v>1.9550000000000001</v>
      </c>
      <c r="H111" s="324">
        <f t="shared" si="2"/>
        <v>1.9550000000000001E-2</v>
      </c>
      <c r="I111" s="325">
        <v>44449</v>
      </c>
      <c r="J111" s="300">
        <v>16</v>
      </c>
      <c r="K111" s="325">
        <v>53615</v>
      </c>
      <c r="L111" s="300">
        <v>301</v>
      </c>
      <c r="M111" s="300">
        <v>285</v>
      </c>
      <c r="N111" s="326">
        <v>44905</v>
      </c>
      <c r="O111" s="323">
        <v>3.3</v>
      </c>
      <c r="P111" s="322">
        <v>55404.502662299994</v>
      </c>
      <c r="Q111" s="300" t="s">
        <v>1427</v>
      </c>
      <c r="R111" s="300" t="s">
        <v>1901</v>
      </c>
      <c r="S111" s="300" t="s">
        <v>1902</v>
      </c>
      <c r="T111" s="300">
        <v>531130</v>
      </c>
      <c r="U111" s="323">
        <v>0.75</v>
      </c>
      <c r="V111" s="327">
        <f t="shared" si="3"/>
        <v>7.4999999999999997E-3</v>
      </c>
      <c r="W111" s="323">
        <v>-2.35</v>
      </c>
      <c r="X111" s="300" t="s">
        <v>26</v>
      </c>
      <c r="Y111" s="300" t="s">
        <v>1248</v>
      </c>
      <c r="Z111" s="300" t="s">
        <v>1251</v>
      </c>
      <c r="AA111" s="300" t="s">
        <v>1251</v>
      </c>
      <c r="AB111" s="300" t="s">
        <v>1</v>
      </c>
      <c r="AC111" s="300"/>
      <c r="AD111" s="328" t="s">
        <v>1609</v>
      </c>
      <c r="AE111" s="328">
        <v>397500</v>
      </c>
      <c r="AF111" s="328" t="s">
        <v>1251</v>
      </c>
      <c r="AG111" s="29">
        <v>53</v>
      </c>
      <c r="AH111" s="329" t="s">
        <v>42</v>
      </c>
      <c r="AI111" s="330">
        <v>1</v>
      </c>
      <c r="AJ111" s="309">
        <v>1</v>
      </c>
      <c r="AK111" s="302"/>
      <c r="AL111" s="303"/>
      <c r="AM111" s="305"/>
      <c r="AN111" s="301"/>
      <c r="AO111" s="305"/>
      <c r="AP111" s="301"/>
      <c r="AQ111" s="301"/>
      <c r="AR111" s="332"/>
    </row>
    <row r="112" spans="1:44">
      <c r="A112" s="299">
        <v>316448.11</v>
      </c>
      <c r="B112" s="300">
        <v>1472729102</v>
      </c>
      <c r="C112" s="300" t="s">
        <v>1689</v>
      </c>
      <c r="D112" s="300" t="s">
        <v>1690</v>
      </c>
      <c r="E112" s="300">
        <v>402</v>
      </c>
      <c r="F112" s="322">
        <v>2390121.7400000002</v>
      </c>
      <c r="G112" s="323">
        <v>0.65500000000000003</v>
      </c>
      <c r="H112" s="324">
        <f t="shared" si="2"/>
        <v>6.5500000000000003E-3</v>
      </c>
      <c r="I112" s="325">
        <v>44456</v>
      </c>
      <c r="J112" s="300">
        <v>16</v>
      </c>
      <c r="K112" s="325">
        <v>53615</v>
      </c>
      <c r="L112" s="300">
        <v>301</v>
      </c>
      <c r="M112" s="300">
        <v>285</v>
      </c>
      <c r="N112" s="326">
        <v>44913</v>
      </c>
      <c r="O112" s="323">
        <v>3.3</v>
      </c>
      <c r="P112" s="322">
        <v>51662.481410100008</v>
      </c>
      <c r="Q112" s="300" t="s">
        <v>1428</v>
      </c>
      <c r="R112" s="300" t="s">
        <v>1903</v>
      </c>
      <c r="S112" s="300" t="s">
        <v>1904</v>
      </c>
      <c r="T112" s="300">
        <v>721110</v>
      </c>
      <c r="U112" s="323">
        <v>1.5</v>
      </c>
      <c r="V112" s="327">
        <f t="shared" si="3"/>
        <v>1.4999999999999999E-2</v>
      </c>
      <c r="W112" s="323">
        <v>-0.3</v>
      </c>
      <c r="X112" s="300" t="s">
        <v>26</v>
      </c>
      <c r="Y112" s="300" t="s">
        <v>1248</v>
      </c>
      <c r="Z112" s="300" t="s">
        <v>1251</v>
      </c>
      <c r="AA112" s="300" t="s">
        <v>1251</v>
      </c>
      <c r="AB112" s="300" t="s">
        <v>1556</v>
      </c>
      <c r="AC112" s="300"/>
      <c r="AD112" s="328" t="s">
        <v>1579</v>
      </c>
      <c r="AE112" s="328">
        <v>388396</v>
      </c>
      <c r="AF112" s="328" t="s">
        <v>1251</v>
      </c>
      <c r="AG112" s="29">
        <v>72</v>
      </c>
      <c r="AH112" s="329" t="s">
        <v>89</v>
      </c>
      <c r="AI112" s="330">
        <v>1</v>
      </c>
      <c r="AJ112" s="309">
        <v>1</v>
      </c>
      <c r="AK112" s="302"/>
      <c r="AL112" s="303"/>
      <c r="AM112" s="305"/>
      <c r="AN112" s="301"/>
      <c r="AO112" s="305"/>
      <c r="AP112" s="301"/>
      <c r="AQ112" s="301"/>
      <c r="AR112" s="332"/>
    </row>
    <row r="113" spans="1:44">
      <c r="A113" s="299">
        <v>319136.11</v>
      </c>
      <c r="B113" s="300">
        <v>1231779105</v>
      </c>
      <c r="C113" s="300" t="s">
        <v>1689</v>
      </c>
      <c r="D113" s="300" t="s">
        <v>1690</v>
      </c>
      <c r="E113" s="300">
        <v>402</v>
      </c>
      <c r="F113" s="322">
        <v>505105.01</v>
      </c>
      <c r="G113" s="323">
        <v>2.9550000000000001</v>
      </c>
      <c r="H113" s="324">
        <f t="shared" si="2"/>
        <v>2.955E-2</v>
      </c>
      <c r="I113" s="325">
        <v>44440</v>
      </c>
      <c r="J113" s="300">
        <v>16</v>
      </c>
      <c r="K113" s="325">
        <v>53615</v>
      </c>
      <c r="L113" s="300">
        <v>301</v>
      </c>
      <c r="M113" s="300">
        <v>285</v>
      </c>
      <c r="N113" s="326">
        <v>44896</v>
      </c>
      <c r="O113" s="323">
        <v>3.3</v>
      </c>
      <c r="P113" s="322">
        <v>49255.315050149999</v>
      </c>
      <c r="Q113" s="300" t="s">
        <v>1429</v>
      </c>
      <c r="R113" s="300" t="s">
        <v>1905</v>
      </c>
      <c r="S113" s="300" t="s">
        <v>1906</v>
      </c>
      <c r="T113" s="300">
        <v>623990</v>
      </c>
      <c r="U113" s="323">
        <v>1.75</v>
      </c>
      <c r="V113" s="327">
        <f t="shared" si="3"/>
        <v>1.7500000000000002E-2</v>
      </c>
      <c r="W113" s="323">
        <v>-2.35</v>
      </c>
      <c r="X113" s="300" t="s">
        <v>26</v>
      </c>
      <c r="Y113" s="300" t="s">
        <v>1248</v>
      </c>
      <c r="Z113" s="300" t="s">
        <v>1251</v>
      </c>
      <c r="AA113" s="300" t="s">
        <v>1251</v>
      </c>
      <c r="AB113" s="300" t="s">
        <v>1556</v>
      </c>
      <c r="AC113" s="300"/>
      <c r="AD113" s="328" t="s">
        <v>1566</v>
      </c>
      <c r="AE113" s="328">
        <v>402154</v>
      </c>
      <c r="AF113" s="328" t="s">
        <v>1251</v>
      </c>
      <c r="AG113" s="29">
        <v>62</v>
      </c>
      <c r="AH113" s="329" t="s">
        <v>52</v>
      </c>
      <c r="AI113" s="330">
        <v>1</v>
      </c>
      <c r="AJ113" s="309">
        <v>1</v>
      </c>
      <c r="AK113" s="302"/>
      <c r="AL113" s="303"/>
      <c r="AM113" s="305"/>
      <c r="AN113" s="301"/>
      <c r="AO113" s="305"/>
      <c r="AP113" s="301"/>
      <c r="AQ113" s="301"/>
      <c r="AR113" s="332"/>
    </row>
    <row r="114" spans="1:44">
      <c r="A114" s="299">
        <v>315981.11</v>
      </c>
      <c r="B114" s="300">
        <v>1690869107</v>
      </c>
      <c r="C114" s="300" t="s">
        <v>1689</v>
      </c>
      <c r="D114" s="300" t="s">
        <v>1690</v>
      </c>
      <c r="E114" s="300">
        <v>402</v>
      </c>
      <c r="F114" s="322">
        <v>1045352.32</v>
      </c>
      <c r="G114" s="323">
        <v>1.405</v>
      </c>
      <c r="H114" s="324">
        <f t="shared" si="2"/>
        <v>1.405E-2</v>
      </c>
      <c r="I114" s="325">
        <v>44467</v>
      </c>
      <c r="J114" s="300">
        <v>16</v>
      </c>
      <c r="K114" s="325">
        <v>53615</v>
      </c>
      <c r="L114" s="300">
        <v>301</v>
      </c>
      <c r="M114" s="300">
        <v>285</v>
      </c>
      <c r="N114" s="326">
        <v>44896</v>
      </c>
      <c r="O114" s="323">
        <v>3.3</v>
      </c>
      <c r="P114" s="322">
        <v>48467.760316799991</v>
      </c>
      <c r="Q114" s="300" t="s">
        <v>1430</v>
      </c>
      <c r="R114" s="300" t="s">
        <v>1907</v>
      </c>
      <c r="S114" s="300" t="s">
        <v>1908</v>
      </c>
      <c r="T114" s="300">
        <v>623312</v>
      </c>
      <c r="U114" s="323">
        <v>2.25</v>
      </c>
      <c r="V114" s="327">
        <f t="shared" si="3"/>
        <v>2.2499999999999999E-2</v>
      </c>
      <c r="W114" s="323">
        <v>-0.3</v>
      </c>
      <c r="X114" s="300" t="s">
        <v>26</v>
      </c>
      <c r="Y114" s="300" t="s">
        <v>1248</v>
      </c>
      <c r="Z114" s="300" t="s">
        <v>1251</v>
      </c>
      <c r="AA114" s="300" t="s">
        <v>1251</v>
      </c>
      <c r="AB114" s="300" t="s">
        <v>1556</v>
      </c>
      <c r="AC114" s="300"/>
      <c r="AD114" s="328" t="s">
        <v>1591</v>
      </c>
      <c r="AE114" s="328">
        <v>388397</v>
      </c>
      <c r="AF114" s="328" t="s">
        <v>1251</v>
      </c>
      <c r="AG114" s="29">
        <v>62</v>
      </c>
      <c r="AH114" s="329" t="s">
        <v>52</v>
      </c>
      <c r="AI114" s="330">
        <v>1</v>
      </c>
      <c r="AJ114" s="309">
        <v>1</v>
      </c>
      <c r="AK114" s="302"/>
      <c r="AL114" s="303"/>
      <c r="AM114" s="305"/>
      <c r="AN114" s="301"/>
      <c r="AO114" s="305"/>
      <c r="AP114" s="301"/>
      <c r="AQ114" s="301"/>
      <c r="AR114" s="332"/>
    </row>
    <row r="115" spans="1:44">
      <c r="A115" s="299">
        <v>318168.11</v>
      </c>
      <c r="B115" s="300">
        <v>1628579102</v>
      </c>
      <c r="C115" s="300" t="s">
        <v>1689</v>
      </c>
      <c r="D115" s="300" t="s">
        <v>1690</v>
      </c>
      <c r="E115" s="300">
        <v>402</v>
      </c>
      <c r="F115" s="322">
        <v>165089.04</v>
      </c>
      <c r="G115" s="323">
        <v>1.28</v>
      </c>
      <c r="H115" s="324">
        <f t="shared" si="2"/>
        <v>1.2800000000000001E-2</v>
      </c>
      <c r="I115" s="325">
        <v>44469</v>
      </c>
      <c r="J115" s="300">
        <v>16</v>
      </c>
      <c r="K115" s="325">
        <v>53615</v>
      </c>
      <c r="L115" s="300">
        <v>301</v>
      </c>
      <c r="M115" s="300">
        <v>285</v>
      </c>
      <c r="N115" s="326">
        <v>44890</v>
      </c>
      <c r="O115" s="323">
        <v>3.3</v>
      </c>
      <c r="P115" s="322">
        <v>6973.361049600001</v>
      </c>
      <c r="Q115" s="300" t="s">
        <v>1431</v>
      </c>
      <c r="R115" s="300" t="s">
        <v>1909</v>
      </c>
      <c r="S115" s="300" t="s">
        <v>1910</v>
      </c>
      <c r="T115" s="300">
        <v>713900</v>
      </c>
      <c r="U115" s="323">
        <v>2</v>
      </c>
      <c r="V115" s="327">
        <f t="shared" si="3"/>
        <v>0.02</v>
      </c>
      <c r="W115" s="323">
        <v>-0.42499999999999999</v>
      </c>
      <c r="X115" s="300" t="s">
        <v>26</v>
      </c>
      <c r="Y115" s="300" t="s">
        <v>1248</v>
      </c>
      <c r="Z115" s="300" t="s">
        <v>1251</v>
      </c>
      <c r="AA115" s="300" t="s">
        <v>1251</v>
      </c>
      <c r="AB115" s="300" t="s">
        <v>1556</v>
      </c>
      <c r="AC115" s="300"/>
      <c r="AD115" s="328" t="s">
        <v>1612</v>
      </c>
      <c r="AE115" s="328">
        <v>384605</v>
      </c>
      <c r="AF115" s="328" t="s">
        <v>1251</v>
      </c>
      <c r="AG115" s="29">
        <v>71</v>
      </c>
      <c r="AH115" s="329" t="s">
        <v>84</v>
      </c>
      <c r="AI115" s="330">
        <v>1</v>
      </c>
      <c r="AJ115" s="309">
        <v>1</v>
      </c>
      <c r="AK115" s="302"/>
      <c r="AL115" s="303"/>
      <c r="AM115" s="305"/>
      <c r="AN115" s="301"/>
      <c r="AO115" s="305"/>
      <c r="AP115" s="301"/>
      <c r="AQ115" s="301"/>
      <c r="AR115" s="332"/>
    </row>
    <row r="116" spans="1:44">
      <c r="A116" s="299">
        <v>319173.11</v>
      </c>
      <c r="B116" s="300">
        <v>1587969104</v>
      </c>
      <c r="C116" s="300" t="s">
        <v>1689</v>
      </c>
      <c r="D116" s="300" t="s">
        <v>1690</v>
      </c>
      <c r="E116" s="300">
        <v>402</v>
      </c>
      <c r="F116" s="322">
        <v>216395.7</v>
      </c>
      <c r="G116" s="323">
        <v>0.28000000000000003</v>
      </c>
      <c r="H116" s="324">
        <f t="shared" si="2"/>
        <v>2.8000000000000004E-3</v>
      </c>
      <c r="I116" s="325">
        <v>44462</v>
      </c>
      <c r="J116" s="300">
        <v>16</v>
      </c>
      <c r="K116" s="325">
        <v>53615</v>
      </c>
      <c r="L116" s="300">
        <v>301</v>
      </c>
      <c r="M116" s="300">
        <v>285</v>
      </c>
      <c r="N116" s="326">
        <v>44917</v>
      </c>
      <c r="O116" s="323">
        <v>3.3</v>
      </c>
      <c r="P116" s="322">
        <v>1999.4962680000006</v>
      </c>
      <c r="Q116" s="300" t="s">
        <v>1432</v>
      </c>
      <c r="R116" s="300" t="s">
        <v>1911</v>
      </c>
      <c r="S116" s="300" t="s">
        <v>1912</v>
      </c>
      <c r="T116" s="300">
        <v>722511</v>
      </c>
      <c r="U116" s="323">
        <v>0.75</v>
      </c>
      <c r="V116" s="327">
        <f t="shared" si="3"/>
        <v>7.4999999999999997E-3</v>
      </c>
      <c r="W116" s="323">
        <v>-0.67500000000000004</v>
      </c>
      <c r="X116" s="300" t="s">
        <v>26</v>
      </c>
      <c r="Y116" s="300" t="s">
        <v>1248</v>
      </c>
      <c r="Z116" s="300" t="s">
        <v>1251</v>
      </c>
      <c r="AA116" s="300" t="s">
        <v>1251</v>
      </c>
      <c r="AB116" s="300" t="s">
        <v>1</v>
      </c>
      <c r="AC116" s="300"/>
      <c r="AD116" s="328" t="s">
        <v>1609</v>
      </c>
      <c r="AE116" s="328">
        <v>397568</v>
      </c>
      <c r="AF116" s="328" t="s">
        <v>1251</v>
      </c>
      <c r="AG116" s="29">
        <v>72</v>
      </c>
      <c r="AH116" s="329" t="s">
        <v>31</v>
      </c>
      <c r="AI116" s="330">
        <v>1</v>
      </c>
      <c r="AJ116" s="309">
        <v>1</v>
      </c>
      <c r="AK116" s="302"/>
      <c r="AL116" s="303"/>
      <c r="AM116" s="305"/>
      <c r="AN116" s="301"/>
      <c r="AO116" s="305"/>
      <c r="AP116" s="301"/>
      <c r="AQ116" s="301"/>
      <c r="AR116" s="332"/>
    </row>
    <row r="117" spans="1:44">
      <c r="A117" s="299">
        <v>315420.11</v>
      </c>
      <c r="B117" s="300">
        <v>1317939106</v>
      </c>
      <c r="C117" s="300" t="s">
        <v>1689</v>
      </c>
      <c r="D117" s="300" t="s">
        <v>1690</v>
      </c>
      <c r="E117" s="300">
        <v>402</v>
      </c>
      <c r="F117" s="322">
        <v>3658070.28</v>
      </c>
      <c r="G117" s="323">
        <v>2.7050000000000001</v>
      </c>
      <c r="H117" s="324">
        <f t="shared" si="2"/>
        <v>2.7050000000000001E-2</v>
      </c>
      <c r="I117" s="325">
        <v>44427</v>
      </c>
      <c r="J117" s="300">
        <v>17</v>
      </c>
      <c r="K117" s="325">
        <v>53585</v>
      </c>
      <c r="L117" s="300">
        <v>301</v>
      </c>
      <c r="M117" s="300">
        <v>284</v>
      </c>
      <c r="N117" s="326">
        <v>44906</v>
      </c>
      <c r="O117" s="323">
        <v>3.3</v>
      </c>
      <c r="P117" s="322">
        <v>326537.64354419999</v>
      </c>
      <c r="Q117" s="300" t="s">
        <v>1433</v>
      </c>
      <c r="R117" s="300" t="s">
        <v>1913</v>
      </c>
      <c r="S117" s="300" t="s">
        <v>1914</v>
      </c>
      <c r="T117" s="300">
        <v>721110</v>
      </c>
      <c r="U117" s="323">
        <v>1.5</v>
      </c>
      <c r="V117" s="327">
        <f t="shared" si="3"/>
        <v>1.4999999999999999E-2</v>
      </c>
      <c r="W117" s="323">
        <v>-2.35</v>
      </c>
      <c r="X117" s="300" t="s">
        <v>26</v>
      </c>
      <c r="Y117" s="300" t="s">
        <v>1248</v>
      </c>
      <c r="Z117" s="300" t="s">
        <v>1251</v>
      </c>
      <c r="AA117" s="300" t="s">
        <v>1251</v>
      </c>
      <c r="AB117" s="300" t="s">
        <v>1556</v>
      </c>
      <c r="AC117" s="300"/>
      <c r="AD117" s="328" t="s">
        <v>1613</v>
      </c>
      <c r="AE117" s="328">
        <v>400068</v>
      </c>
      <c r="AF117" s="328" t="s">
        <v>1251</v>
      </c>
      <c r="AG117" s="29">
        <v>72</v>
      </c>
      <c r="AH117" s="329" t="s">
        <v>158</v>
      </c>
      <c r="AI117" s="330">
        <v>1</v>
      </c>
      <c r="AJ117" s="309">
        <v>1</v>
      </c>
      <c r="AK117" s="302"/>
      <c r="AL117" s="303"/>
      <c r="AM117" s="305"/>
      <c r="AN117" s="301"/>
      <c r="AO117" s="305"/>
      <c r="AP117" s="301"/>
      <c r="AQ117" s="301"/>
      <c r="AR117" s="332"/>
    </row>
    <row r="118" spans="1:44">
      <c r="A118" s="299">
        <v>318555.11</v>
      </c>
      <c r="B118" s="300">
        <v>1255419107</v>
      </c>
      <c r="C118" s="300" t="s">
        <v>1689</v>
      </c>
      <c r="D118" s="300" t="s">
        <v>1690</v>
      </c>
      <c r="E118" s="300">
        <v>402</v>
      </c>
      <c r="F118" s="322">
        <v>336471.41</v>
      </c>
      <c r="G118" s="323">
        <v>0.28000000000000003</v>
      </c>
      <c r="H118" s="324">
        <f t="shared" si="2"/>
        <v>2.8000000000000004E-3</v>
      </c>
      <c r="I118" s="325">
        <v>44412</v>
      </c>
      <c r="J118" s="300">
        <v>17</v>
      </c>
      <c r="K118" s="325">
        <v>53585</v>
      </c>
      <c r="L118" s="300">
        <v>301</v>
      </c>
      <c r="M118" s="300">
        <v>284</v>
      </c>
      <c r="N118" s="326">
        <v>44901</v>
      </c>
      <c r="O118" s="323">
        <v>3.3</v>
      </c>
      <c r="P118" s="322">
        <v>3108.9958284000004</v>
      </c>
      <c r="Q118" s="300" t="s">
        <v>1434</v>
      </c>
      <c r="R118" s="300" t="s">
        <v>1915</v>
      </c>
      <c r="S118" s="300" t="s">
        <v>1916</v>
      </c>
      <c r="T118" s="300">
        <v>624310</v>
      </c>
      <c r="U118" s="323">
        <v>1</v>
      </c>
      <c r="V118" s="327">
        <f t="shared" si="3"/>
        <v>0.01</v>
      </c>
      <c r="W118" s="323">
        <v>-0.42499999999999999</v>
      </c>
      <c r="X118" s="300" t="s">
        <v>26</v>
      </c>
      <c r="Y118" s="300" t="s">
        <v>1248</v>
      </c>
      <c r="Z118" s="300" t="s">
        <v>1251</v>
      </c>
      <c r="AA118" s="300" t="s">
        <v>1251</v>
      </c>
      <c r="AB118" s="300" t="s">
        <v>1556</v>
      </c>
      <c r="AC118" s="300"/>
      <c r="AD118" s="328" t="s">
        <v>1586</v>
      </c>
      <c r="AE118" s="328">
        <v>384597</v>
      </c>
      <c r="AF118" s="328" t="s">
        <v>1251</v>
      </c>
      <c r="AG118" s="29">
        <v>62</v>
      </c>
      <c r="AH118" s="329" t="s">
        <v>93</v>
      </c>
      <c r="AI118" s="330">
        <v>1</v>
      </c>
      <c r="AJ118" s="309">
        <v>1</v>
      </c>
      <c r="AK118" s="302"/>
      <c r="AL118" s="303"/>
      <c r="AM118" s="305"/>
      <c r="AN118" s="301"/>
      <c r="AO118" s="305"/>
      <c r="AP118" s="301"/>
      <c r="AQ118" s="301"/>
      <c r="AR118" s="332"/>
    </row>
    <row r="119" spans="1:44">
      <c r="A119" s="299">
        <v>319175.11</v>
      </c>
      <c r="B119" s="300">
        <v>1328319103</v>
      </c>
      <c r="C119" s="300" t="s">
        <v>1689</v>
      </c>
      <c r="D119" s="300" t="s">
        <v>1690</v>
      </c>
      <c r="E119" s="300">
        <v>402</v>
      </c>
      <c r="F119" s="322">
        <v>516407.27</v>
      </c>
      <c r="G119" s="323">
        <v>0.155</v>
      </c>
      <c r="H119" s="324">
        <f t="shared" si="2"/>
        <v>1.5499999999999999E-3</v>
      </c>
      <c r="I119" s="325">
        <v>44438</v>
      </c>
      <c r="J119" s="300">
        <v>17</v>
      </c>
      <c r="K119" s="325">
        <v>53585</v>
      </c>
      <c r="L119" s="300">
        <v>301</v>
      </c>
      <c r="M119" s="300">
        <v>284</v>
      </c>
      <c r="N119" s="326">
        <v>44925</v>
      </c>
      <c r="O119" s="323">
        <v>3.3</v>
      </c>
      <c r="P119" s="322">
        <v>2641.4231860499999</v>
      </c>
      <c r="Q119" s="300" t="s">
        <v>1435</v>
      </c>
      <c r="R119" s="300" t="s">
        <v>1917</v>
      </c>
      <c r="S119" s="300" t="s">
        <v>1918</v>
      </c>
      <c r="T119" s="300">
        <v>621399</v>
      </c>
      <c r="U119" s="323">
        <v>1</v>
      </c>
      <c r="V119" s="327">
        <f t="shared" si="3"/>
        <v>0.01</v>
      </c>
      <c r="W119" s="323">
        <v>-0.3</v>
      </c>
      <c r="X119" s="300" t="s">
        <v>26</v>
      </c>
      <c r="Y119" s="300" t="s">
        <v>1248</v>
      </c>
      <c r="Z119" s="300" t="s">
        <v>1251</v>
      </c>
      <c r="AA119" s="300" t="s">
        <v>1251</v>
      </c>
      <c r="AB119" s="300" t="s">
        <v>1</v>
      </c>
      <c r="AC119" s="300"/>
      <c r="AD119" s="328" t="s">
        <v>1609</v>
      </c>
      <c r="AE119" s="328">
        <v>388393</v>
      </c>
      <c r="AF119" s="328" t="s">
        <v>1251</v>
      </c>
      <c r="AG119" s="29">
        <v>62</v>
      </c>
      <c r="AH119" s="329" t="s">
        <v>29</v>
      </c>
      <c r="AI119" s="330">
        <v>1</v>
      </c>
      <c r="AJ119" s="309">
        <v>1</v>
      </c>
      <c r="AK119" s="302"/>
      <c r="AL119" s="303"/>
      <c r="AM119" s="305"/>
      <c r="AN119" s="301"/>
      <c r="AO119" s="305"/>
      <c r="AP119" s="301"/>
      <c r="AQ119" s="301"/>
      <c r="AR119" s="332"/>
    </row>
    <row r="120" spans="1:44">
      <c r="A120" s="299">
        <v>314996.11</v>
      </c>
      <c r="B120" s="300">
        <v>1022859109</v>
      </c>
      <c r="C120" s="300" t="s">
        <v>1689</v>
      </c>
      <c r="D120" s="300" t="s">
        <v>1690</v>
      </c>
      <c r="E120" s="300">
        <v>402</v>
      </c>
      <c r="F120" s="322">
        <v>3150019.61</v>
      </c>
      <c r="G120" s="323">
        <v>2.5750000000000002</v>
      </c>
      <c r="H120" s="324">
        <f t="shared" si="2"/>
        <v>2.5750000000000002E-2</v>
      </c>
      <c r="I120" s="325">
        <v>44389</v>
      </c>
      <c r="J120" s="300">
        <v>18</v>
      </c>
      <c r="K120" s="325">
        <v>53554</v>
      </c>
      <c r="L120" s="300">
        <v>301</v>
      </c>
      <c r="M120" s="300">
        <v>283</v>
      </c>
      <c r="N120" s="326">
        <v>44896</v>
      </c>
      <c r="O120" s="323">
        <v>3.3</v>
      </c>
      <c r="P120" s="322">
        <v>267672.91635975003</v>
      </c>
      <c r="Q120" s="300" t="s">
        <v>1436</v>
      </c>
      <c r="R120" s="300" t="s">
        <v>1919</v>
      </c>
      <c r="S120" s="300" t="s">
        <v>1920</v>
      </c>
      <c r="T120" s="300">
        <v>721110</v>
      </c>
      <c r="U120" s="323">
        <v>1.37</v>
      </c>
      <c r="V120" s="327">
        <f t="shared" si="3"/>
        <v>1.37E-2</v>
      </c>
      <c r="W120" s="323">
        <v>-2.35</v>
      </c>
      <c r="X120" s="300" t="s">
        <v>26</v>
      </c>
      <c r="Y120" s="300" t="s">
        <v>1248</v>
      </c>
      <c r="Z120" s="300" t="s">
        <v>1251</v>
      </c>
      <c r="AA120" s="300" t="s">
        <v>1251</v>
      </c>
      <c r="AB120" s="300" t="s">
        <v>1556</v>
      </c>
      <c r="AC120" s="300"/>
      <c r="AD120" s="328" t="s">
        <v>1614</v>
      </c>
      <c r="AE120" s="328">
        <v>400065</v>
      </c>
      <c r="AF120" s="328" t="s">
        <v>1251</v>
      </c>
      <c r="AG120" s="29">
        <v>72</v>
      </c>
      <c r="AH120" s="329" t="s">
        <v>112</v>
      </c>
      <c r="AI120" s="330">
        <v>1</v>
      </c>
      <c r="AJ120" s="309">
        <v>1</v>
      </c>
      <c r="AK120" s="302"/>
      <c r="AL120" s="303"/>
      <c r="AM120" s="305"/>
      <c r="AN120" s="301"/>
      <c r="AO120" s="305"/>
      <c r="AP120" s="301"/>
      <c r="AQ120" s="301"/>
      <c r="AR120" s="332"/>
    </row>
    <row r="121" spans="1:44">
      <c r="A121" s="299">
        <v>319365.11</v>
      </c>
      <c r="B121" s="300">
        <v>1299869104</v>
      </c>
      <c r="C121" s="300" t="s">
        <v>1689</v>
      </c>
      <c r="D121" s="300" t="s">
        <v>1690</v>
      </c>
      <c r="E121" s="300">
        <v>402</v>
      </c>
      <c r="F121" s="322">
        <v>1457584.15</v>
      </c>
      <c r="G121" s="323">
        <v>2.9550000000000001</v>
      </c>
      <c r="H121" s="324">
        <f t="shared" si="2"/>
        <v>2.955E-2</v>
      </c>
      <c r="I121" s="325">
        <v>44400</v>
      </c>
      <c r="J121" s="300">
        <v>18</v>
      </c>
      <c r="K121" s="325">
        <v>53554</v>
      </c>
      <c r="L121" s="300">
        <v>301</v>
      </c>
      <c r="M121" s="300">
        <v>283</v>
      </c>
      <c r="N121" s="326">
        <v>44900</v>
      </c>
      <c r="O121" s="323">
        <v>3.3</v>
      </c>
      <c r="P121" s="322">
        <v>142136.31838724998</v>
      </c>
      <c r="Q121" s="300" t="s">
        <v>1437</v>
      </c>
      <c r="R121" s="300" t="s">
        <v>1921</v>
      </c>
      <c r="S121" s="300" t="s">
        <v>1922</v>
      </c>
      <c r="T121" s="300">
        <v>721110</v>
      </c>
      <c r="U121" s="323">
        <v>1.75</v>
      </c>
      <c r="V121" s="327">
        <f t="shared" si="3"/>
        <v>1.7500000000000002E-2</v>
      </c>
      <c r="W121" s="323">
        <v>-2.35</v>
      </c>
      <c r="X121" s="300" t="s">
        <v>26</v>
      </c>
      <c r="Y121" s="300" t="s">
        <v>1248</v>
      </c>
      <c r="Z121" s="300" t="s">
        <v>1251</v>
      </c>
      <c r="AA121" s="300" t="s">
        <v>1251</v>
      </c>
      <c r="AB121" s="300" t="s">
        <v>1556</v>
      </c>
      <c r="AC121" s="300"/>
      <c r="AD121" s="328" t="s">
        <v>1615</v>
      </c>
      <c r="AE121" s="328">
        <v>397498</v>
      </c>
      <c r="AF121" s="328" t="s">
        <v>1251</v>
      </c>
      <c r="AG121" s="29">
        <v>72</v>
      </c>
      <c r="AH121" s="329" t="s">
        <v>105</v>
      </c>
      <c r="AI121" s="330">
        <v>1</v>
      </c>
      <c r="AJ121" s="309">
        <v>1</v>
      </c>
      <c r="AK121" s="302"/>
      <c r="AL121" s="303"/>
      <c r="AM121" s="305"/>
      <c r="AN121" s="301"/>
      <c r="AO121" s="305"/>
      <c r="AP121" s="301"/>
      <c r="AQ121" s="301"/>
      <c r="AR121" s="332"/>
    </row>
    <row r="122" spans="1:44">
      <c r="A122" s="299">
        <v>319370.11</v>
      </c>
      <c r="B122" s="300">
        <v>1306379109</v>
      </c>
      <c r="C122" s="300" t="s">
        <v>1689</v>
      </c>
      <c r="D122" s="300" t="s">
        <v>1690</v>
      </c>
      <c r="E122" s="300">
        <v>402</v>
      </c>
      <c r="F122" s="322">
        <v>1559536.98</v>
      </c>
      <c r="G122" s="323">
        <v>2.7050000000000001</v>
      </c>
      <c r="H122" s="324">
        <f t="shared" si="2"/>
        <v>2.7050000000000001E-2</v>
      </c>
      <c r="I122" s="325">
        <v>44403</v>
      </c>
      <c r="J122" s="300">
        <v>18</v>
      </c>
      <c r="K122" s="325">
        <v>53554</v>
      </c>
      <c r="L122" s="300">
        <v>301</v>
      </c>
      <c r="M122" s="300">
        <v>283</v>
      </c>
      <c r="N122" s="326">
        <v>44925</v>
      </c>
      <c r="O122" s="323">
        <v>3.3</v>
      </c>
      <c r="P122" s="322">
        <v>139212.0685197</v>
      </c>
      <c r="Q122" s="300" t="s">
        <v>1438</v>
      </c>
      <c r="R122" s="300" t="s">
        <v>1923</v>
      </c>
      <c r="S122" s="300" t="s">
        <v>1924</v>
      </c>
      <c r="T122" s="300">
        <v>624120</v>
      </c>
      <c r="U122" s="323">
        <v>1.5</v>
      </c>
      <c r="V122" s="327">
        <f t="shared" si="3"/>
        <v>1.4999999999999999E-2</v>
      </c>
      <c r="W122" s="323">
        <v>-2.35</v>
      </c>
      <c r="X122" s="300" t="s">
        <v>26</v>
      </c>
      <c r="Y122" s="300" t="s">
        <v>1248</v>
      </c>
      <c r="Z122" s="300" t="s">
        <v>1251</v>
      </c>
      <c r="AA122" s="300" t="s">
        <v>1251</v>
      </c>
      <c r="AB122" s="300" t="s">
        <v>1556</v>
      </c>
      <c r="AC122" s="300"/>
      <c r="AD122" s="328" t="s">
        <v>1615</v>
      </c>
      <c r="AE122" s="328">
        <v>397499</v>
      </c>
      <c r="AF122" s="328" t="s">
        <v>1251</v>
      </c>
      <c r="AG122" s="29">
        <v>62</v>
      </c>
      <c r="AH122" s="329" t="s">
        <v>52</v>
      </c>
      <c r="AI122" s="330">
        <v>1</v>
      </c>
      <c r="AJ122" s="309">
        <v>1</v>
      </c>
      <c r="AK122" s="302"/>
      <c r="AL122" s="303"/>
      <c r="AM122" s="305"/>
      <c r="AN122" s="301"/>
      <c r="AO122" s="305"/>
      <c r="AP122" s="301"/>
      <c r="AQ122" s="301"/>
      <c r="AR122" s="332"/>
    </row>
    <row r="123" spans="1:44">
      <c r="A123" s="299">
        <v>316471.11</v>
      </c>
      <c r="B123" s="300">
        <v>1226259108</v>
      </c>
      <c r="C123" s="300" t="s">
        <v>1689</v>
      </c>
      <c r="D123" s="300" t="s">
        <v>1690</v>
      </c>
      <c r="E123" s="300">
        <v>402</v>
      </c>
      <c r="F123" s="322">
        <v>416719.82</v>
      </c>
      <c r="G123" s="323">
        <v>3.9550000000000001</v>
      </c>
      <c r="H123" s="324">
        <f t="shared" si="2"/>
        <v>3.9550000000000002E-2</v>
      </c>
      <c r="I123" s="325">
        <v>44398</v>
      </c>
      <c r="J123" s="300">
        <v>18</v>
      </c>
      <c r="K123" s="325">
        <v>53554</v>
      </c>
      <c r="L123" s="300">
        <v>301</v>
      </c>
      <c r="M123" s="300">
        <v>283</v>
      </c>
      <c r="N123" s="326">
        <v>44889</v>
      </c>
      <c r="O123" s="323">
        <v>3.3</v>
      </c>
      <c r="P123" s="322">
        <v>54388.187307300002</v>
      </c>
      <c r="Q123" s="300" t="s">
        <v>1439</v>
      </c>
      <c r="R123" s="300" t="s">
        <v>1925</v>
      </c>
      <c r="S123" s="300" t="s">
        <v>1776</v>
      </c>
      <c r="T123" s="300">
        <v>332999</v>
      </c>
      <c r="U123" s="323">
        <v>2.75</v>
      </c>
      <c r="V123" s="327">
        <f t="shared" si="3"/>
        <v>2.75E-2</v>
      </c>
      <c r="W123" s="323">
        <v>-2.35</v>
      </c>
      <c r="X123" s="300" t="s">
        <v>26</v>
      </c>
      <c r="Y123" s="300" t="s">
        <v>1248</v>
      </c>
      <c r="Z123" s="300" t="s">
        <v>1251</v>
      </c>
      <c r="AA123" s="300" t="s">
        <v>1251</v>
      </c>
      <c r="AB123" s="300" t="s">
        <v>1556</v>
      </c>
      <c r="AC123" s="300"/>
      <c r="AD123" s="328" t="s">
        <v>1616</v>
      </c>
      <c r="AE123" s="328">
        <v>400066</v>
      </c>
      <c r="AF123" s="328" t="s">
        <v>1251</v>
      </c>
      <c r="AG123" s="29">
        <v>33</v>
      </c>
      <c r="AH123" s="329" t="s">
        <v>105</v>
      </c>
      <c r="AI123" s="330">
        <v>1</v>
      </c>
      <c r="AJ123" s="309">
        <v>1</v>
      </c>
      <c r="AK123" s="302"/>
      <c r="AL123" s="303"/>
      <c r="AM123" s="305"/>
      <c r="AN123" s="301"/>
      <c r="AO123" s="305"/>
      <c r="AP123" s="301"/>
      <c r="AQ123" s="301"/>
      <c r="AR123" s="332"/>
    </row>
    <row r="124" spans="1:44">
      <c r="A124" s="299">
        <v>316782.11</v>
      </c>
      <c r="B124" s="300">
        <v>1119329110</v>
      </c>
      <c r="C124" s="300" t="s">
        <v>1689</v>
      </c>
      <c r="D124" s="300" t="s">
        <v>1690</v>
      </c>
      <c r="E124" s="300">
        <v>402</v>
      </c>
      <c r="F124" s="322">
        <v>1880914.58</v>
      </c>
      <c r="G124" s="323">
        <v>0.85499999999999998</v>
      </c>
      <c r="H124" s="324">
        <f t="shared" si="2"/>
        <v>8.5500000000000003E-3</v>
      </c>
      <c r="I124" s="325">
        <v>44379</v>
      </c>
      <c r="J124" s="300">
        <v>18</v>
      </c>
      <c r="K124" s="325">
        <v>53554</v>
      </c>
      <c r="L124" s="300">
        <v>301</v>
      </c>
      <c r="M124" s="300">
        <v>283</v>
      </c>
      <c r="N124" s="326">
        <v>44896</v>
      </c>
      <c r="O124" s="323">
        <v>3.3</v>
      </c>
      <c r="P124" s="322">
        <v>53070.004874700004</v>
      </c>
      <c r="Q124" s="300" t="s">
        <v>1440</v>
      </c>
      <c r="R124" s="300" t="s">
        <v>1926</v>
      </c>
      <c r="S124" s="300" t="s">
        <v>1927</v>
      </c>
      <c r="T124" s="300">
        <v>445310</v>
      </c>
      <c r="U124" s="323">
        <v>1</v>
      </c>
      <c r="V124" s="327">
        <f t="shared" si="3"/>
        <v>0.01</v>
      </c>
      <c r="W124" s="323">
        <v>-1</v>
      </c>
      <c r="X124" s="300" t="s">
        <v>26</v>
      </c>
      <c r="Y124" s="300" t="s">
        <v>1248</v>
      </c>
      <c r="Z124" s="300" t="s">
        <v>1251</v>
      </c>
      <c r="AA124" s="300" t="s">
        <v>1251</v>
      </c>
      <c r="AB124" s="300" t="s">
        <v>1556</v>
      </c>
      <c r="AC124" s="300"/>
      <c r="AD124" s="328" t="s">
        <v>1568</v>
      </c>
      <c r="AE124" s="328">
        <v>376036</v>
      </c>
      <c r="AF124" s="328" t="s">
        <v>1251</v>
      </c>
      <c r="AG124" s="29">
        <v>44</v>
      </c>
      <c r="AH124" s="329" t="s">
        <v>52</v>
      </c>
      <c r="AI124" s="330">
        <v>1</v>
      </c>
      <c r="AJ124" s="309">
        <v>1</v>
      </c>
      <c r="AK124" s="302"/>
      <c r="AL124" s="303"/>
      <c r="AM124" s="305"/>
      <c r="AN124" s="301"/>
      <c r="AO124" s="305"/>
      <c r="AP124" s="301"/>
      <c r="AQ124" s="301"/>
      <c r="AR124" s="332"/>
    </row>
    <row r="125" spans="1:44">
      <c r="A125" s="299">
        <v>319134.11</v>
      </c>
      <c r="B125" s="300">
        <v>9943069000</v>
      </c>
      <c r="C125" s="300" t="s">
        <v>1689</v>
      </c>
      <c r="D125" s="300" t="s">
        <v>1690</v>
      </c>
      <c r="E125" s="300">
        <v>402</v>
      </c>
      <c r="F125" s="322">
        <v>653539.91</v>
      </c>
      <c r="G125" s="323">
        <v>1.28</v>
      </c>
      <c r="H125" s="324">
        <f t="shared" si="2"/>
        <v>1.2800000000000001E-2</v>
      </c>
      <c r="I125" s="325">
        <v>44391</v>
      </c>
      <c r="J125" s="300">
        <v>18</v>
      </c>
      <c r="K125" s="325">
        <v>53554</v>
      </c>
      <c r="L125" s="300">
        <v>301</v>
      </c>
      <c r="M125" s="300">
        <v>283</v>
      </c>
      <c r="N125" s="326">
        <v>44896</v>
      </c>
      <c r="O125" s="323">
        <v>3.3</v>
      </c>
      <c r="P125" s="322">
        <v>27605.525798400005</v>
      </c>
      <c r="Q125" s="300" t="s">
        <v>1441</v>
      </c>
      <c r="R125" s="300" t="s">
        <v>1928</v>
      </c>
      <c r="S125" s="300" t="s">
        <v>1929</v>
      </c>
      <c r="T125" s="300">
        <v>623110</v>
      </c>
      <c r="U125" s="323">
        <v>1.75</v>
      </c>
      <c r="V125" s="327">
        <f t="shared" si="3"/>
        <v>1.7500000000000002E-2</v>
      </c>
      <c r="W125" s="323">
        <v>-0.67500000000000004</v>
      </c>
      <c r="X125" s="300" t="s">
        <v>26</v>
      </c>
      <c r="Y125" s="300" t="s">
        <v>1248</v>
      </c>
      <c r="Z125" s="300" t="s">
        <v>1251</v>
      </c>
      <c r="AA125" s="300" t="s">
        <v>1251</v>
      </c>
      <c r="AB125" s="300" t="s">
        <v>1556</v>
      </c>
      <c r="AC125" s="300"/>
      <c r="AD125" s="328" t="s">
        <v>1566</v>
      </c>
      <c r="AE125" s="328">
        <v>402153</v>
      </c>
      <c r="AF125" s="328" t="s">
        <v>1251</v>
      </c>
      <c r="AG125" s="29">
        <v>62</v>
      </c>
      <c r="AH125" s="329" t="s">
        <v>52</v>
      </c>
      <c r="AI125" s="330">
        <v>1</v>
      </c>
      <c r="AJ125" s="309">
        <v>1</v>
      </c>
      <c r="AK125" s="302"/>
      <c r="AL125" s="303"/>
      <c r="AM125" s="305"/>
      <c r="AN125" s="301"/>
      <c r="AO125" s="305"/>
      <c r="AP125" s="301"/>
      <c r="AQ125" s="301"/>
      <c r="AR125" s="332"/>
    </row>
    <row r="126" spans="1:44">
      <c r="A126" s="299">
        <v>318472.11</v>
      </c>
      <c r="B126" s="300">
        <v>9970929004</v>
      </c>
      <c r="C126" s="300" t="s">
        <v>1689</v>
      </c>
      <c r="D126" s="300" t="s">
        <v>1690</v>
      </c>
      <c r="E126" s="300">
        <v>402</v>
      </c>
      <c r="F126" s="322">
        <v>280893.03999999998</v>
      </c>
      <c r="G126" s="323">
        <v>2.0299999999999998</v>
      </c>
      <c r="H126" s="324">
        <f t="shared" si="2"/>
        <v>2.0299999999999999E-2</v>
      </c>
      <c r="I126" s="325">
        <v>44378</v>
      </c>
      <c r="J126" s="300">
        <v>18</v>
      </c>
      <c r="K126" s="325">
        <v>53554</v>
      </c>
      <c r="L126" s="300">
        <v>301</v>
      </c>
      <c r="M126" s="300">
        <v>283</v>
      </c>
      <c r="N126" s="326">
        <v>44896</v>
      </c>
      <c r="O126" s="323">
        <v>3.3</v>
      </c>
      <c r="P126" s="322">
        <v>18817.024749599997</v>
      </c>
      <c r="Q126" s="300" t="s">
        <v>1442</v>
      </c>
      <c r="R126" s="300" t="s">
        <v>1930</v>
      </c>
      <c r="S126" s="300" t="s">
        <v>1931</v>
      </c>
      <c r="T126" s="300">
        <v>623312</v>
      </c>
      <c r="U126" s="323">
        <v>2.75</v>
      </c>
      <c r="V126" s="327">
        <f t="shared" si="3"/>
        <v>2.75E-2</v>
      </c>
      <c r="W126" s="323">
        <v>-0.42499999999999999</v>
      </c>
      <c r="X126" s="300" t="s">
        <v>26</v>
      </c>
      <c r="Y126" s="300" t="s">
        <v>1248</v>
      </c>
      <c r="Z126" s="300" t="s">
        <v>1251</v>
      </c>
      <c r="AA126" s="300" t="s">
        <v>1251</v>
      </c>
      <c r="AB126" s="300" t="s">
        <v>1556</v>
      </c>
      <c r="AC126" s="300"/>
      <c r="AD126" s="328" t="s">
        <v>1593</v>
      </c>
      <c r="AE126" s="328">
        <v>384638</v>
      </c>
      <c r="AF126" s="328" t="s">
        <v>1251</v>
      </c>
      <c r="AG126" s="29">
        <v>62</v>
      </c>
      <c r="AH126" s="329" t="s">
        <v>49</v>
      </c>
      <c r="AI126" s="330">
        <v>1</v>
      </c>
      <c r="AJ126" s="309">
        <v>1</v>
      </c>
      <c r="AK126" s="302"/>
      <c r="AL126" s="303"/>
      <c r="AM126" s="305"/>
      <c r="AN126" s="301"/>
      <c r="AO126" s="305"/>
      <c r="AP126" s="301"/>
      <c r="AQ126" s="301"/>
      <c r="AR126" s="332"/>
    </row>
    <row r="127" spans="1:44">
      <c r="A127" s="299">
        <v>318471.11</v>
      </c>
      <c r="B127" s="300">
        <v>9969359002</v>
      </c>
      <c r="C127" s="300" t="s">
        <v>1689</v>
      </c>
      <c r="D127" s="300" t="s">
        <v>1690</v>
      </c>
      <c r="E127" s="300">
        <v>402</v>
      </c>
      <c r="F127" s="322">
        <v>194634.81</v>
      </c>
      <c r="G127" s="323">
        <v>2.0299999999999998</v>
      </c>
      <c r="H127" s="324">
        <f t="shared" si="2"/>
        <v>2.0299999999999999E-2</v>
      </c>
      <c r="I127" s="325">
        <v>44378</v>
      </c>
      <c r="J127" s="300">
        <v>18</v>
      </c>
      <c r="K127" s="325">
        <v>53554</v>
      </c>
      <c r="L127" s="300">
        <v>301</v>
      </c>
      <c r="M127" s="300">
        <v>283</v>
      </c>
      <c r="N127" s="326">
        <v>44924</v>
      </c>
      <c r="O127" s="323">
        <v>3.3</v>
      </c>
      <c r="P127" s="322">
        <v>13038.585921899998</v>
      </c>
      <c r="Q127" s="300" t="s">
        <v>1443</v>
      </c>
      <c r="R127" s="300" t="s">
        <v>1932</v>
      </c>
      <c r="S127" s="300" t="s">
        <v>1931</v>
      </c>
      <c r="T127" s="300">
        <v>623312</v>
      </c>
      <c r="U127" s="323">
        <v>2.75</v>
      </c>
      <c r="V127" s="327">
        <f t="shared" si="3"/>
        <v>2.75E-2</v>
      </c>
      <c r="W127" s="323">
        <v>-0.42499999999999999</v>
      </c>
      <c r="X127" s="300" t="s">
        <v>26</v>
      </c>
      <c r="Y127" s="300" t="s">
        <v>1248</v>
      </c>
      <c r="Z127" s="300" t="s">
        <v>1251</v>
      </c>
      <c r="AA127" s="300" t="s">
        <v>1251</v>
      </c>
      <c r="AB127" s="300" t="s">
        <v>1556</v>
      </c>
      <c r="AC127" s="300"/>
      <c r="AD127" s="328" t="s">
        <v>1593</v>
      </c>
      <c r="AE127" s="328">
        <v>384637</v>
      </c>
      <c r="AF127" s="328" t="s">
        <v>1251</v>
      </c>
      <c r="AG127" s="29">
        <v>62</v>
      </c>
      <c r="AH127" s="329" t="s">
        <v>49</v>
      </c>
      <c r="AI127" s="330">
        <v>1</v>
      </c>
      <c r="AJ127" s="309">
        <v>1</v>
      </c>
      <c r="AK127" s="302"/>
      <c r="AL127" s="303"/>
      <c r="AM127" s="305"/>
      <c r="AN127" s="301"/>
      <c r="AO127" s="305"/>
      <c r="AP127" s="301"/>
      <c r="AQ127" s="301"/>
      <c r="AR127" s="332"/>
    </row>
    <row r="128" spans="1:44">
      <c r="A128" s="299">
        <v>319672.11</v>
      </c>
      <c r="B128" s="300">
        <v>3436269108</v>
      </c>
      <c r="C128" s="300" t="s">
        <v>1689</v>
      </c>
      <c r="D128" s="300" t="s">
        <v>1690</v>
      </c>
      <c r="E128" s="300">
        <v>402</v>
      </c>
      <c r="F128" s="322">
        <v>153859.14000000001</v>
      </c>
      <c r="G128" s="323">
        <v>0.36499999999999999</v>
      </c>
      <c r="H128" s="324">
        <f t="shared" si="2"/>
        <v>3.65E-3</v>
      </c>
      <c r="I128" s="325">
        <v>44629</v>
      </c>
      <c r="J128" s="300">
        <v>10</v>
      </c>
      <c r="K128" s="325">
        <v>53615</v>
      </c>
      <c r="L128" s="300">
        <v>295</v>
      </c>
      <c r="M128" s="300">
        <v>285</v>
      </c>
      <c r="N128" s="326">
        <v>44899</v>
      </c>
      <c r="O128" s="323">
        <v>3.3</v>
      </c>
      <c r="P128" s="322">
        <v>1853.2333413000001</v>
      </c>
      <c r="Q128" s="300" t="s">
        <v>1444</v>
      </c>
      <c r="R128" s="300" t="s">
        <v>1933</v>
      </c>
      <c r="S128" s="300" t="s">
        <v>1934</v>
      </c>
      <c r="T128" s="300">
        <v>541940</v>
      </c>
      <c r="U128" s="323">
        <v>1.5</v>
      </c>
      <c r="V128" s="327">
        <f t="shared" si="3"/>
        <v>1.4999999999999999E-2</v>
      </c>
      <c r="W128" s="323">
        <v>-0.5</v>
      </c>
      <c r="X128" s="300" t="s">
        <v>26</v>
      </c>
      <c r="Y128" s="300" t="s">
        <v>1248</v>
      </c>
      <c r="Z128" s="300" t="s">
        <v>1251</v>
      </c>
      <c r="AA128" s="300" t="s">
        <v>1251</v>
      </c>
      <c r="AB128" s="300" t="s">
        <v>1556</v>
      </c>
      <c r="AC128" s="300"/>
      <c r="AD128" s="328" t="s">
        <v>1570</v>
      </c>
      <c r="AE128" s="328">
        <v>400134</v>
      </c>
      <c r="AF128" s="328" t="s">
        <v>1251</v>
      </c>
      <c r="AG128" s="29">
        <v>54</v>
      </c>
      <c r="AH128" s="329" t="s">
        <v>49</v>
      </c>
      <c r="AI128" s="330">
        <v>1</v>
      </c>
      <c r="AJ128" s="309">
        <v>1</v>
      </c>
      <c r="AK128" s="302"/>
      <c r="AL128" s="303"/>
      <c r="AM128" s="305"/>
      <c r="AN128" s="301"/>
      <c r="AO128" s="305"/>
      <c r="AP128" s="301"/>
      <c r="AQ128" s="301"/>
      <c r="AR128" s="332"/>
    </row>
    <row r="129" spans="1:44">
      <c r="A129" s="299">
        <v>319943.11</v>
      </c>
      <c r="B129" s="300">
        <v>1341999102</v>
      </c>
      <c r="C129" s="300" t="s">
        <v>1935</v>
      </c>
      <c r="D129" s="300" t="s">
        <v>1936</v>
      </c>
      <c r="E129" s="300">
        <v>940</v>
      </c>
      <c r="F129" s="322">
        <v>1420733.7</v>
      </c>
      <c r="G129" s="323">
        <v>1.78</v>
      </c>
      <c r="H129" s="324">
        <f t="shared" si="2"/>
        <v>1.78E-2</v>
      </c>
      <c r="I129" s="325">
        <v>44567</v>
      </c>
      <c r="J129" s="300">
        <v>12</v>
      </c>
      <c r="K129" s="325">
        <v>54011</v>
      </c>
      <c r="L129" s="300">
        <v>309</v>
      </c>
      <c r="M129" s="300">
        <v>298</v>
      </c>
      <c r="N129" s="326">
        <v>44903</v>
      </c>
      <c r="O129" s="323">
        <v>3.3</v>
      </c>
      <c r="P129" s="322">
        <v>83453.897538000005</v>
      </c>
      <c r="Q129" s="300" t="s">
        <v>1445</v>
      </c>
      <c r="R129" s="300" t="s">
        <v>1937</v>
      </c>
      <c r="S129" s="300" t="s">
        <v>1938</v>
      </c>
      <c r="T129" s="300">
        <v>713990</v>
      </c>
      <c r="U129" s="323">
        <v>2.25</v>
      </c>
      <c r="V129" s="327">
        <f t="shared" si="3"/>
        <v>2.2499999999999999E-2</v>
      </c>
      <c r="W129" s="323">
        <v>1.125</v>
      </c>
      <c r="X129" s="300" t="s">
        <v>26</v>
      </c>
      <c r="Y129" s="300" t="s">
        <v>1248</v>
      </c>
      <c r="Z129" s="300" t="s">
        <v>1251</v>
      </c>
      <c r="AA129" s="300" t="s">
        <v>1251</v>
      </c>
      <c r="AB129" s="300" t="s">
        <v>1556</v>
      </c>
      <c r="AC129" s="300"/>
      <c r="AD129" s="328" t="s">
        <v>1562</v>
      </c>
      <c r="AE129" s="328">
        <v>0</v>
      </c>
      <c r="AF129" s="328">
        <v>0</v>
      </c>
      <c r="AG129" s="29">
        <v>71</v>
      </c>
      <c r="AH129" s="329" t="s">
        <v>172</v>
      </c>
      <c r="AI129" s="330">
        <v>1</v>
      </c>
      <c r="AJ129" s="309">
        <v>1</v>
      </c>
      <c r="AK129" s="302"/>
      <c r="AL129" s="303"/>
      <c r="AM129" s="305"/>
      <c r="AN129" s="301"/>
      <c r="AO129" s="305"/>
      <c r="AP129" s="301"/>
      <c r="AQ129" s="301"/>
      <c r="AR129" s="332"/>
    </row>
    <row r="130" spans="1:44">
      <c r="A130" s="299">
        <v>320064.11</v>
      </c>
      <c r="B130" s="300">
        <v>2756079104</v>
      </c>
      <c r="C130" s="300" t="s">
        <v>1935</v>
      </c>
      <c r="D130" s="300" t="s">
        <v>1936</v>
      </c>
      <c r="E130" s="300">
        <v>940</v>
      </c>
      <c r="F130" s="322">
        <v>1340250</v>
      </c>
      <c r="G130" s="323">
        <v>1.73</v>
      </c>
      <c r="H130" s="324">
        <f t="shared" si="2"/>
        <v>1.7299999999999999E-2</v>
      </c>
      <c r="I130" s="325">
        <v>44588</v>
      </c>
      <c r="J130" s="300">
        <v>12</v>
      </c>
      <c r="K130" s="325">
        <v>54011</v>
      </c>
      <c r="L130" s="300">
        <v>309</v>
      </c>
      <c r="M130" s="300">
        <v>298</v>
      </c>
      <c r="N130" s="326" t="s">
        <v>1251</v>
      </c>
      <c r="O130" s="323">
        <v>3.3</v>
      </c>
      <c r="P130" s="322">
        <v>76514.872499999998</v>
      </c>
      <c r="Q130" s="300" t="s">
        <v>1446</v>
      </c>
      <c r="R130" s="300" t="s">
        <v>1939</v>
      </c>
      <c r="S130" s="300" t="s">
        <v>1940</v>
      </c>
      <c r="T130" s="300">
        <v>811192</v>
      </c>
      <c r="U130" s="323">
        <v>2.75</v>
      </c>
      <c r="V130" s="327">
        <f t="shared" si="3"/>
        <v>2.75E-2</v>
      </c>
      <c r="W130" s="323">
        <v>1.075</v>
      </c>
      <c r="X130" s="300" t="s">
        <v>26</v>
      </c>
      <c r="Y130" s="300" t="s">
        <v>1248</v>
      </c>
      <c r="Z130" s="300" t="s">
        <v>1251</v>
      </c>
      <c r="AA130" s="300" t="s">
        <v>1251</v>
      </c>
      <c r="AB130" s="300" t="s">
        <v>1556</v>
      </c>
      <c r="AC130" s="300"/>
      <c r="AD130" s="328" t="s">
        <v>1557</v>
      </c>
      <c r="AE130" s="328">
        <v>0</v>
      </c>
      <c r="AF130" s="328">
        <v>0</v>
      </c>
      <c r="AG130" s="29">
        <v>81</v>
      </c>
      <c r="AH130" s="329" t="s">
        <v>82</v>
      </c>
      <c r="AI130" s="330">
        <v>1</v>
      </c>
      <c r="AJ130" s="309">
        <v>1</v>
      </c>
      <c r="AK130" s="302"/>
      <c r="AL130" s="303"/>
      <c r="AM130" s="305"/>
      <c r="AN130" s="301"/>
      <c r="AO130" s="305"/>
      <c r="AP130" s="301"/>
      <c r="AQ130" s="301"/>
      <c r="AR130" s="332"/>
    </row>
    <row r="131" spans="1:44">
      <c r="A131" s="299">
        <v>319942.11</v>
      </c>
      <c r="B131" s="300">
        <v>2915679105</v>
      </c>
      <c r="C131" s="300" t="s">
        <v>1935</v>
      </c>
      <c r="D131" s="300" t="s">
        <v>1936</v>
      </c>
      <c r="E131" s="300">
        <v>940</v>
      </c>
      <c r="F131" s="322">
        <v>75450.89</v>
      </c>
      <c r="G131" s="323">
        <v>1.78</v>
      </c>
      <c r="H131" s="324">
        <f t="shared" si="2"/>
        <v>1.78E-2</v>
      </c>
      <c r="I131" s="325">
        <v>44567</v>
      </c>
      <c r="J131" s="300">
        <v>12</v>
      </c>
      <c r="K131" s="325">
        <v>54011</v>
      </c>
      <c r="L131" s="300">
        <v>309</v>
      </c>
      <c r="M131" s="300">
        <v>298</v>
      </c>
      <c r="N131" s="326">
        <v>44903</v>
      </c>
      <c r="O131" s="323">
        <v>3.3</v>
      </c>
      <c r="P131" s="322">
        <v>4431.9852785999992</v>
      </c>
      <c r="Q131" s="300" t="s">
        <v>1445</v>
      </c>
      <c r="R131" s="300" t="s">
        <v>1941</v>
      </c>
      <c r="S131" s="300" t="s">
        <v>1938</v>
      </c>
      <c r="T131" s="300">
        <v>713990</v>
      </c>
      <c r="U131" s="323">
        <v>2.25</v>
      </c>
      <c r="V131" s="327">
        <f t="shared" si="3"/>
        <v>2.2499999999999999E-2</v>
      </c>
      <c r="W131" s="323">
        <v>1.125</v>
      </c>
      <c r="X131" s="300" t="s">
        <v>26</v>
      </c>
      <c r="Y131" s="300" t="s">
        <v>1248</v>
      </c>
      <c r="Z131" s="300" t="s">
        <v>1251</v>
      </c>
      <c r="AA131" s="300" t="s">
        <v>1251</v>
      </c>
      <c r="AB131" s="300" t="s">
        <v>1556</v>
      </c>
      <c r="AC131" s="300"/>
      <c r="AD131" s="328" t="s">
        <v>1562</v>
      </c>
      <c r="AE131" s="328">
        <v>0</v>
      </c>
      <c r="AF131" s="328">
        <v>0</v>
      </c>
      <c r="AG131" s="29">
        <v>71</v>
      </c>
      <c r="AH131" s="329" t="s">
        <v>172</v>
      </c>
      <c r="AI131" s="330">
        <v>1</v>
      </c>
      <c r="AJ131" s="309">
        <v>1</v>
      </c>
      <c r="AK131" s="302"/>
      <c r="AL131" s="303"/>
      <c r="AM131" s="305"/>
      <c r="AN131" s="301"/>
      <c r="AO131" s="305"/>
      <c r="AP131" s="301"/>
      <c r="AQ131" s="301"/>
      <c r="AR131" s="332"/>
    </row>
    <row r="132" spans="1:44">
      <c r="A132" s="299">
        <v>320085.11</v>
      </c>
      <c r="B132" s="300">
        <v>3441489109</v>
      </c>
      <c r="C132" s="300" t="s">
        <v>1935</v>
      </c>
      <c r="D132" s="300" t="s">
        <v>1936</v>
      </c>
      <c r="E132" s="300">
        <v>940</v>
      </c>
      <c r="F132" s="322">
        <v>727578.32</v>
      </c>
      <c r="G132" s="323">
        <v>0.79</v>
      </c>
      <c r="H132" s="324">
        <f t="shared" si="2"/>
        <v>7.9000000000000008E-3</v>
      </c>
      <c r="I132" s="325">
        <v>44630</v>
      </c>
      <c r="J132" s="300">
        <v>10</v>
      </c>
      <c r="K132" s="325">
        <v>53980</v>
      </c>
      <c r="L132" s="300">
        <v>306</v>
      </c>
      <c r="M132" s="300">
        <v>297</v>
      </c>
      <c r="N132" s="326">
        <v>44918</v>
      </c>
      <c r="O132" s="323">
        <v>3.3</v>
      </c>
      <c r="P132" s="322">
        <v>18967.966802399998</v>
      </c>
      <c r="Q132" s="300" t="s">
        <v>1447</v>
      </c>
      <c r="R132" s="300" t="s">
        <v>1942</v>
      </c>
      <c r="S132" s="300" t="s">
        <v>1943</v>
      </c>
      <c r="T132" s="300">
        <v>457110</v>
      </c>
      <c r="U132" s="323">
        <v>1.75</v>
      </c>
      <c r="V132" s="327">
        <f t="shared" si="3"/>
        <v>1.7500000000000002E-2</v>
      </c>
      <c r="W132" s="323">
        <v>0.13500000000000001</v>
      </c>
      <c r="X132" s="300" t="s">
        <v>26</v>
      </c>
      <c r="Y132" s="300" t="s">
        <v>1248</v>
      </c>
      <c r="Z132" s="300" t="s">
        <v>1251</v>
      </c>
      <c r="AA132" s="300" t="s">
        <v>1251</v>
      </c>
      <c r="AB132" s="300" t="s">
        <v>1556</v>
      </c>
      <c r="AC132" s="300"/>
      <c r="AD132" s="328" t="s">
        <v>1562</v>
      </c>
      <c r="AE132" s="328">
        <v>0</v>
      </c>
      <c r="AF132" s="328">
        <v>0</v>
      </c>
      <c r="AG132" s="29">
        <v>45</v>
      </c>
      <c r="AH132" s="329" t="s">
        <v>42</v>
      </c>
      <c r="AI132" s="330">
        <v>1</v>
      </c>
      <c r="AJ132" s="309">
        <v>1</v>
      </c>
      <c r="AK132" s="302"/>
      <c r="AL132" s="303"/>
      <c r="AM132" s="305"/>
      <c r="AN132" s="301"/>
      <c r="AO132" s="305"/>
      <c r="AP132" s="301"/>
      <c r="AQ132" s="301"/>
      <c r="AR132" s="332"/>
    </row>
    <row r="133" spans="1:44">
      <c r="A133" s="299">
        <v>319424.11</v>
      </c>
      <c r="B133" s="300">
        <v>1586839109</v>
      </c>
      <c r="C133" s="300" t="s">
        <v>1935</v>
      </c>
      <c r="D133" s="300" t="s">
        <v>1936</v>
      </c>
      <c r="E133" s="300">
        <v>940</v>
      </c>
      <c r="F133" s="322">
        <v>114893.67</v>
      </c>
      <c r="G133" s="323">
        <v>1.53</v>
      </c>
      <c r="H133" s="324">
        <f t="shared" si="2"/>
        <v>1.5300000000000001E-2</v>
      </c>
      <c r="I133" s="325">
        <v>44615</v>
      </c>
      <c r="J133" s="300">
        <v>11</v>
      </c>
      <c r="K133" s="325">
        <v>53950</v>
      </c>
      <c r="L133" s="300">
        <v>306</v>
      </c>
      <c r="M133" s="300">
        <v>296</v>
      </c>
      <c r="N133" s="326">
        <v>44877</v>
      </c>
      <c r="O133" s="323">
        <v>3.3</v>
      </c>
      <c r="P133" s="322">
        <v>5800.9813983000004</v>
      </c>
      <c r="Q133" s="300" t="s">
        <v>1448</v>
      </c>
      <c r="R133" s="300" t="s">
        <v>1944</v>
      </c>
      <c r="S133" s="300" t="s">
        <v>1945</v>
      </c>
      <c r="T133" s="300">
        <v>541110</v>
      </c>
      <c r="U133" s="323">
        <v>2</v>
      </c>
      <c r="V133" s="327">
        <f t="shared" si="3"/>
        <v>0.02</v>
      </c>
      <c r="W133" s="323">
        <v>0.875</v>
      </c>
      <c r="X133" s="300" t="s">
        <v>26</v>
      </c>
      <c r="Y133" s="300" t="s">
        <v>1248</v>
      </c>
      <c r="Z133" s="300" t="s">
        <v>1251</v>
      </c>
      <c r="AA133" s="300" t="s">
        <v>1251</v>
      </c>
      <c r="AB133" s="300" t="s">
        <v>1556</v>
      </c>
      <c r="AC133" s="300"/>
      <c r="AD133" s="328" t="s">
        <v>1561</v>
      </c>
      <c r="AE133" s="328">
        <v>0</v>
      </c>
      <c r="AF133" s="328">
        <v>0</v>
      </c>
      <c r="AG133" s="29">
        <v>54</v>
      </c>
      <c r="AH133" s="329" t="s">
        <v>40</v>
      </c>
      <c r="AI133" s="330">
        <v>1</v>
      </c>
      <c r="AJ133" s="309">
        <v>1</v>
      </c>
      <c r="AK133" s="302"/>
      <c r="AL133" s="303"/>
      <c r="AM133" s="305"/>
      <c r="AN133" s="301"/>
      <c r="AO133" s="305"/>
      <c r="AP133" s="301"/>
      <c r="AQ133" s="301"/>
      <c r="AR133" s="332"/>
    </row>
    <row r="134" spans="1:44">
      <c r="A134" s="299">
        <v>320088.11</v>
      </c>
      <c r="B134" s="300">
        <v>4353209100</v>
      </c>
      <c r="C134" s="300" t="s">
        <v>1935</v>
      </c>
      <c r="D134" s="300" t="s">
        <v>1936</v>
      </c>
      <c r="E134" s="300">
        <v>940</v>
      </c>
      <c r="F134" s="322">
        <v>937500</v>
      </c>
      <c r="G134" s="323">
        <v>1.73</v>
      </c>
      <c r="H134" s="324">
        <f t="shared" ref="H134:H197" si="4">G134/100</f>
        <v>1.7299999999999999E-2</v>
      </c>
      <c r="I134" s="325">
        <v>44897</v>
      </c>
      <c r="J134" s="300">
        <v>1</v>
      </c>
      <c r="K134" s="325">
        <v>54163</v>
      </c>
      <c r="L134" s="300">
        <v>303</v>
      </c>
      <c r="M134" s="300">
        <v>303</v>
      </c>
      <c r="N134" s="326">
        <v>44918</v>
      </c>
      <c r="O134" s="323">
        <v>3.3</v>
      </c>
      <c r="P134" s="322">
        <v>53521.875</v>
      </c>
      <c r="Q134" s="300" t="s">
        <v>1449</v>
      </c>
      <c r="R134" s="300" t="s">
        <v>1946</v>
      </c>
      <c r="S134" s="300" t="s">
        <v>1947</v>
      </c>
      <c r="T134" s="300">
        <v>624410</v>
      </c>
      <c r="U134" s="323">
        <v>2.75</v>
      </c>
      <c r="V134" s="327">
        <f t="shared" ref="V134:V197" si="5">U134/100</f>
        <v>2.75E-2</v>
      </c>
      <c r="W134" s="323">
        <v>1.075</v>
      </c>
      <c r="X134" s="300" t="s">
        <v>26</v>
      </c>
      <c r="Y134" s="300" t="s">
        <v>1248</v>
      </c>
      <c r="Z134" s="300" t="s">
        <v>1251</v>
      </c>
      <c r="AA134" s="300" t="s">
        <v>1251</v>
      </c>
      <c r="AB134" s="300" t="s">
        <v>1556</v>
      </c>
      <c r="AC134" s="300"/>
      <c r="AD134" s="328" t="s">
        <v>1617</v>
      </c>
      <c r="AE134" s="328">
        <v>0</v>
      </c>
      <c r="AF134" s="328">
        <v>0</v>
      </c>
      <c r="AG134" s="29">
        <v>62</v>
      </c>
      <c r="AH134" s="329" t="s">
        <v>40</v>
      </c>
      <c r="AI134" s="330">
        <v>1</v>
      </c>
      <c r="AJ134" s="309">
        <v>1</v>
      </c>
      <c r="AK134" s="302"/>
      <c r="AL134" s="303"/>
      <c r="AM134" s="305"/>
      <c r="AN134" s="301"/>
      <c r="AO134" s="305"/>
      <c r="AP134" s="301"/>
      <c r="AQ134" s="301"/>
      <c r="AR134" s="332"/>
    </row>
    <row r="135" spans="1:44">
      <c r="A135" s="299">
        <v>320009.11</v>
      </c>
      <c r="B135" s="300">
        <v>4301069104</v>
      </c>
      <c r="C135" s="300" t="s">
        <v>1935</v>
      </c>
      <c r="D135" s="300" t="s">
        <v>1936</v>
      </c>
      <c r="E135" s="300">
        <v>940</v>
      </c>
      <c r="F135" s="322">
        <v>870641.95</v>
      </c>
      <c r="G135" s="323">
        <v>0.73</v>
      </c>
      <c r="H135" s="324">
        <f t="shared" si="4"/>
        <v>7.3000000000000001E-3</v>
      </c>
      <c r="I135" s="325">
        <v>44858</v>
      </c>
      <c r="J135" s="300">
        <v>3</v>
      </c>
      <c r="K135" s="325">
        <v>54041</v>
      </c>
      <c r="L135" s="300">
        <v>301</v>
      </c>
      <c r="M135" s="300">
        <v>299</v>
      </c>
      <c r="N135" s="326">
        <v>44915</v>
      </c>
      <c r="O135" s="323">
        <v>3.3</v>
      </c>
      <c r="P135" s="322">
        <v>20973.764575499998</v>
      </c>
      <c r="Q135" s="300" t="s">
        <v>1450</v>
      </c>
      <c r="R135" s="300" t="s">
        <v>1948</v>
      </c>
      <c r="S135" s="300" t="s">
        <v>1949</v>
      </c>
      <c r="T135" s="300">
        <v>623312</v>
      </c>
      <c r="U135" s="323">
        <v>1.75</v>
      </c>
      <c r="V135" s="327">
        <f t="shared" si="5"/>
        <v>1.7500000000000002E-2</v>
      </c>
      <c r="W135" s="323">
        <v>7.4999999999999997E-2</v>
      </c>
      <c r="X135" s="300" t="s">
        <v>26</v>
      </c>
      <c r="Y135" s="300" t="s">
        <v>1248</v>
      </c>
      <c r="Z135" s="300" t="s">
        <v>1251</v>
      </c>
      <c r="AA135" s="300" t="s">
        <v>1251</v>
      </c>
      <c r="AB135" s="300" t="s">
        <v>1</v>
      </c>
      <c r="AC135" s="300"/>
      <c r="AD135" s="328" t="s">
        <v>1575</v>
      </c>
      <c r="AE135" s="328">
        <v>0</v>
      </c>
      <c r="AF135" s="328">
        <v>0</v>
      </c>
      <c r="AG135" s="29">
        <v>62</v>
      </c>
      <c r="AH135" s="329" t="s">
        <v>120</v>
      </c>
      <c r="AI135" s="330">
        <v>1</v>
      </c>
      <c r="AJ135" s="309">
        <v>1</v>
      </c>
      <c r="AK135" s="302"/>
      <c r="AL135" s="303"/>
      <c r="AM135" s="305"/>
      <c r="AN135" s="301"/>
      <c r="AO135" s="305"/>
      <c r="AP135" s="301"/>
      <c r="AQ135" s="301"/>
      <c r="AR135" s="332"/>
    </row>
    <row r="136" spans="1:44">
      <c r="A136" s="299">
        <v>320013.11</v>
      </c>
      <c r="B136" s="300">
        <v>4438699106</v>
      </c>
      <c r="C136" s="300" t="s">
        <v>1935</v>
      </c>
      <c r="D136" s="300" t="s">
        <v>1936</v>
      </c>
      <c r="E136" s="300">
        <v>940</v>
      </c>
      <c r="F136" s="322">
        <v>482250</v>
      </c>
      <c r="G136" s="323">
        <v>0.73</v>
      </c>
      <c r="H136" s="324">
        <f t="shared" si="4"/>
        <v>7.3000000000000001E-3</v>
      </c>
      <c r="I136" s="325">
        <v>44865</v>
      </c>
      <c r="J136" s="300">
        <v>3</v>
      </c>
      <c r="K136" s="325">
        <v>54041</v>
      </c>
      <c r="L136" s="300">
        <v>301</v>
      </c>
      <c r="M136" s="300">
        <v>299</v>
      </c>
      <c r="N136" s="326">
        <v>44914</v>
      </c>
      <c r="O136" s="323">
        <v>3.3</v>
      </c>
      <c r="P136" s="322">
        <v>11617.4025</v>
      </c>
      <c r="Q136" s="300" t="s">
        <v>1451</v>
      </c>
      <c r="R136" s="300" t="s">
        <v>1950</v>
      </c>
      <c r="S136" s="300" t="s">
        <v>1951</v>
      </c>
      <c r="T136" s="300">
        <v>623312</v>
      </c>
      <c r="U136" s="323">
        <v>1.75</v>
      </c>
      <c r="V136" s="327">
        <f t="shared" si="5"/>
        <v>1.7500000000000002E-2</v>
      </c>
      <c r="W136" s="323">
        <v>7.4999999999999997E-2</v>
      </c>
      <c r="X136" s="300" t="s">
        <v>26</v>
      </c>
      <c r="Y136" s="300" t="s">
        <v>1248</v>
      </c>
      <c r="Z136" s="300" t="s">
        <v>1251</v>
      </c>
      <c r="AA136" s="300" t="s">
        <v>1251</v>
      </c>
      <c r="AB136" s="300" t="s">
        <v>1556</v>
      </c>
      <c r="AC136" s="300"/>
      <c r="AD136" s="328" t="s">
        <v>1564</v>
      </c>
      <c r="AE136" s="328">
        <v>0</v>
      </c>
      <c r="AF136" s="328">
        <v>0</v>
      </c>
      <c r="AG136" s="29">
        <v>62</v>
      </c>
      <c r="AH136" s="329" t="s">
        <v>52</v>
      </c>
      <c r="AI136" s="330">
        <v>1</v>
      </c>
      <c r="AJ136" s="309">
        <v>1</v>
      </c>
      <c r="AK136" s="302"/>
      <c r="AL136" s="303"/>
      <c r="AM136" s="305"/>
      <c r="AN136" s="301"/>
      <c r="AO136" s="305"/>
      <c r="AP136" s="301"/>
      <c r="AQ136" s="301"/>
      <c r="AR136" s="332"/>
    </row>
    <row r="137" spans="1:44">
      <c r="A137" s="299">
        <v>320089.11</v>
      </c>
      <c r="B137" s="300">
        <v>4436639106</v>
      </c>
      <c r="C137" s="300" t="s">
        <v>1935</v>
      </c>
      <c r="D137" s="300" t="s">
        <v>1936</v>
      </c>
      <c r="E137" s="300">
        <v>940</v>
      </c>
      <c r="F137" s="322">
        <v>1744200</v>
      </c>
      <c r="G137" s="323">
        <v>0.73</v>
      </c>
      <c r="H137" s="324">
        <f t="shared" si="4"/>
        <v>7.3000000000000001E-3</v>
      </c>
      <c r="I137" s="325">
        <v>44904</v>
      </c>
      <c r="J137" s="300">
        <v>1</v>
      </c>
      <c r="K137" s="325">
        <v>54072</v>
      </c>
      <c r="L137" s="300">
        <v>300</v>
      </c>
      <c r="M137" s="300">
        <v>300</v>
      </c>
      <c r="N137" s="326">
        <v>44917</v>
      </c>
      <c r="O137" s="323">
        <v>3.3</v>
      </c>
      <c r="P137" s="322">
        <v>42017.777999999998</v>
      </c>
      <c r="Q137" s="300" t="s">
        <v>1452</v>
      </c>
      <c r="R137" s="300" t="s">
        <v>1952</v>
      </c>
      <c r="S137" s="300" t="s">
        <v>1953</v>
      </c>
      <c r="T137" s="300">
        <v>444190</v>
      </c>
      <c r="U137" s="323">
        <v>1.75</v>
      </c>
      <c r="V137" s="327">
        <f t="shared" si="5"/>
        <v>1.7500000000000002E-2</v>
      </c>
      <c r="W137" s="323">
        <v>7.4999999999999997E-2</v>
      </c>
      <c r="X137" s="300" t="s">
        <v>26</v>
      </c>
      <c r="Y137" s="300" t="s">
        <v>1248</v>
      </c>
      <c r="Z137" s="300" t="s">
        <v>1251</v>
      </c>
      <c r="AA137" s="300" t="s">
        <v>1251</v>
      </c>
      <c r="AB137" s="300" t="s">
        <v>1</v>
      </c>
      <c r="AC137" s="300"/>
      <c r="AD137" s="328" t="s">
        <v>1589</v>
      </c>
      <c r="AE137" s="328">
        <v>0</v>
      </c>
      <c r="AF137" s="328">
        <v>0</v>
      </c>
      <c r="AG137" s="29">
        <v>44</v>
      </c>
      <c r="AH137" s="329" t="s">
        <v>49</v>
      </c>
      <c r="AI137" s="330">
        <v>1</v>
      </c>
      <c r="AJ137" s="309">
        <v>1</v>
      </c>
      <c r="AK137" s="302"/>
      <c r="AL137" s="303"/>
      <c r="AM137" s="305"/>
      <c r="AN137" s="301"/>
      <c r="AO137" s="305"/>
      <c r="AP137" s="301"/>
      <c r="AQ137" s="301"/>
      <c r="AR137" s="332"/>
    </row>
    <row r="138" spans="1:44">
      <c r="A138" s="299">
        <v>320079.11</v>
      </c>
      <c r="B138" s="300">
        <v>4586719101</v>
      </c>
      <c r="C138" s="300" t="s">
        <v>1935</v>
      </c>
      <c r="D138" s="300" t="s">
        <v>1936</v>
      </c>
      <c r="E138" s="300">
        <v>940</v>
      </c>
      <c r="F138" s="322">
        <v>735000</v>
      </c>
      <c r="G138" s="323">
        <v>0.98</v>
      </c>
      <c r="H138" s="324">
        <f t="shared" si="4"/>
        <v>9.7999999999999997E-3</v>
      </c>
      <c r="I138" s="325">
        <v>44907</v>
      </c>
      <c r="J138" s="300">
        <v>1</v>
      </c>
      <c r="K138" s="325">
        <v>54072</v>
      </c>
      <c r="L138" s="300">
        <v>300</v>
      </c>
      <c r="M138" s="300">
        <v>300</v>
      </c>
      <c r="N138" s="326">
        <v>44918</v>
      </c>
      <c r="O138" s="323">
        <v>3.3</v>
      </c>
      <c r="P138" s="322">
        <v>23769.899999999998</v>
      </c>
      <c r="Q138" s="300" t="s">
        <v>1453</v>
      </c>
      <c r="R138" s="300" t="s">
        <v>1954</v>
      </c>
      <c r="S138" s="300" t="s">
        <v>1955</v>
      </c>
      <c r="T138" s="300">
        <v>624410</v>
      </c>
      <c r="U138" s="323">
        <v>2</v>
      </c>
      <c r="V138" s="327">
        <f t="shared" si="5"/>
        <v>0.02</v>
      </c>
      <c r="W138" s="323">
        <v>0.32500000000000001</v>
      </c>
      <c r="X138" s="300" t="s">
        <v>26</v>
      </c>
      <c r="Y138" s="300" t="s">
        <v>1248</v>
      </c>
      <c r="Z138" s="300" t="s">
        <v>1251</v>
      </c>
      <c r="AA138" s="300" t="s">
        <v>1251</v>
      </c>
      <c r="AB138" s="300" t="s">
        <v>1556</v>
      </c>
      <c r="AC138" s="300"/>
      <c r="AD138" s="328" t="s">
        <v>1565</v>
      </c>
      <c r="AE138" s="328">
        <v>0</v>
      </c>
      <c r="AF138" s="328">
        <v>0</v>
      </c>
      <c r="AG138" s="29">
        <v>62</v>
      </c>
      <c r="AH138" s="329" t="s">
        <v>52</v>
      </c>
      <c r="AI138" s="330">
        <v>1</v>
      </c>
      <c r="AJ138" s="309">
        <v>1</v>
      </c>
      <c r="AK138" s="302"/>
      <c r="AL138" s="303"/>
      <c r="AM138" s="305"/>
      <c r="AN138" s="301"/>
      <c r="AO138" s="305"/>
      <c r="AP138" s="301"/>
      <c r="AQ138" s="301"/>
      <c r="AR138" s="332"/>
    </row>
    <row r="139" spans="1:44">
      <c r="A139" s="299">
        <v>320086.11</v>
      </c>
      <c r="B139" s="300">
        <v>3965499102</v>
      </c>
      <c r="C139" s="300" t="s">
        <v>1935</v>
      </c>
      <c r="D139" s="300" t="s">
        <v>1936</v>
      </c>
      <c r="E139" s="300">
        <v>940</v>
      </c>
      <c r="F139" s="322">
        <v>242208.52</v>
      </c>
      <c r="G139" s="323">
        <v>2.2799999999999998</v>
      </c>
      <c r="H139" s="324">
        <f t="shared" si="4"/>
        <v>2.2799999999999997E-2</v>
      </c>
      <c r="I139" s="325">
        <v>44902</v>
      </c>
      <c r="J139" s="300">
        <v>1</v>
      </c>
      <c r="K139" s="325">
        <v>54072</v>
      </c>
      <c r="L139" s="300">
        <v>300</v>
      </c>
      <c r="M139" s="300">
        <v>300</v>
      </c>
      <c r="N139" s="326">
        <v>44926</v>
      </c>
      <c r="O139" s="323">
        <v>3.3</v>
      </c>
      <c r="P139" s="322">
        <v>18223.769044799996</v>
      </c>
      <c r="Q139" s="300" t="s">
        <v>1454</v>
      </c>
      <c r="R139" s="300" t="s">
        <v>1956</v>
      </c>
      <c r="S139" s="300" t="s">
        <v>1957</v>
      </c>
      <c r="T139" s="300">
        <v>238990</v>
      </c>
      <c r="U139" s="323">
        <v>2.75</v>
      </c>
      <c r="V139" s="327">
        <f t="shared" si="5"/>
        <v>2.75E-2</v>
      </c>
      <c r="W139" s="323">
        <v>1.625</v>
      </c>
      <c r="X139" s="300" t="s">
        <v>26</v>
      </c>
      <c r="Y139" s="300" t="s">
        <v>1248</v>
      </c>
      <c r="Z139" s="300" t="s">
        <v>1251</v>
      </c>
      <c r="AA139" s="300" t="s">
        <v>1251</v>
      </c>
      <c r="AB139" s="300" t="s">
        <v>1556</v>
      </c>
      <c r="AC139" s="300"/>
      <c r="AD139" s="328" t="s">
        <v>1562</v>
      </c>
      <c r="AE139" s="328">
        <v>0</v>
      </c>
      <c r="AF139" s="328">
        <v>0</v>
      </c>
      <c r="AG139" s="29">
        <v>23</v>
      </c>
      <c r="AH139" s="329" t="s">
        <v>25</v>
      </c>
      <c r="AI139" s="330">
        <v>1</v>
      </c>
      <c r="AJ139" s="309">
        <v>1</v>
      </c>
      <c r="AK139" s="302"/>
      <c r="AL139" s="303"/>
      <c r="AM139" s="305"/>
      <c r="AN139" s="301"/>
      <c r="AO139" s="305"/>
      <c r="AP139" s="301"/>
      <c r="AQ139" s="301"/>
      <c r="AR139" s="332"/>
    </row>
    <row r="140" spans="1:44">
      <c r="A140" s="299">
        <v>320067.11</v>
      </c>
      <c r="B140" s="300">
        <v>4575969100</v>
      </c>
      <c r="C140" s="300" t="s">
        <v>1935</v>
      </c>
      <c r="D140" s="300" t="s">
        <v>1936</v>
      </c>
      <c r="E140" s="300">
        <v>940</v>
      </c>
      <c r="F140" s="322">
        <v>588887.53</v>
      </c>
      <c r="G140" s="323">
        <v>0.73</v>
      </c>
      <c r="H140" s="324">
        <f t="shared" si="4"/>
        <v>7.3000000000000001E-3</v>
      </c>
      <c r="I140" s="325">
        <v>44897</v>
      </c>
      <c r="J140" s="300">
        <v>1</v>
      </c>
      <c r="K140" s="325">
        <v>54072</v>
      </c>
      <c r="L140" s="300">
        <v>300</v>
      </c>
      <c r="M140" s="300">
        <v>300</v>
      </c>
      <c r="N140" s="326">
        <v>44926</v>
      </c>
      <c r="O140" s="323">
        <v>3.3</v>
      </c>
      <c r="P140" s="322">
        <v>14186.300597699999</v>
      </c>
      <c r="Q140" s="300" t="s">
        <v>1455</v>
      </c>
      <c r="R140" s="300" t="s">
        <v>1958</v>
      </c>
      <c r="S140" s="300" t="s">
        <v>1959</v>
      </c>
      <c r="T140" s="300">
        <v>457110</v>
      </c>
      <c r="U140" s="323">
        <v>1.75</v>
      </c>
      <c r="V140" s="327">
        <f t="shared" si="5"/>
        <v>1.7500000000000002E-2</v>
      </c>
      <c r="W140" s="323">
        <v>7.4999999999999997E-2</v>
      </c>
      <c r="X140" s="300" t="s">
        <v>26</v>
      </c>
      <c r="Y140" s="300" t="s">
        <v>1248</v>
      </c>
      <c r="Z140" s="300" t="s">
        <v>1251</v>
      </c>
      <c r="AA140" s="300" t="s">
        <v>1251</v>
      </c>
      <c r="AB140" s="300" t="s">
        <v>1556</v>
      </c>
      <c r="AC140" s="300"/>
      <c r="AD140" s="328" t="s">
        <v>1562</v>
      </c>
      <c r="AE140" s="328">
        <v>0</v>
      </c>
      <c r="AF140" s="328">
        <v>0</v>
      </c>
      <c r="AG140" s="29">
        <v>45</v>
      </c>
      <c r="AH140" s="329" t="s">
        <v>40</v>
      </c>
      <c r="AI140" s="330">
        <v>1</v>
      </c>
      <c r="AJ140" s="309">
        <v>1</v>
      </c>
      <c r="AK140" s="302"/>
      <c r="AL140" s="303"/>
      <c r="AM140" s="305"/>
      <c r="AN140" s="301"/>
      <c r="AO140" s="305"/>
      <c r="AP140" s="301"/>
      <c r="AQ140" s="301"/>
      <c r="AR140" s="332"/>
    </row>
    <row r="141" spans="1:44">
      <c r="A141" s="299">
        <v>319983.11</v>
      </c>
      <c r="B141" s="300">
        <v>4349679109</v>
      </c>
      <c r="C141" s="300" t="s">
        <v>1935</v>
      </c>
      <c r="D141" s="300" t="s">
        <v>1936</v>
      </c>
      <c r="E141" s="300">
        <v>940</v>
      </c>
      <c r="F141" s="322">
        <v>2175000</v>
      </c>
      <c r="G141" s="323">
        <v>0.98</v>
      </c>
      <c r="H141" s="324">
        <f t="shared" si="4"/>
        <v>9.7999999999999997E-3</v>
      </c>
      <c r="I141" s="325">
        <v>44881</v>
      </c>
      <c r="J141" s="300">
        <v>2</v>
      </c>
      <c r="K141" s="325">
        <v>54041</v>
      </c>
      <c r="L141" s="300">
        <v>300</v>
      </c>
      <c r="M141" s="300">
        <v>299</v>
      </c>
      <c r="N141" s="326">
        <v>44908</v>
      </c>
      <c r="O141" s="323">
        <v>3.3</v>
      </c>
      <c r="P141" s="322">
        <v>70339.5</v>
      </c>
      <c r="Q141" s="300" t="s">
        <v>1456</v>
      </c>
      <c r="R141" s="300" t="s">
        <v>1960</v>
      </c>
      <c r="S141" s="300" t="s">
        <v>1961</v>
      </c>
      <c r="T141" s="300">
        <v>721110</v>
      </c>
      <c r="U141" s="323">
        <v>2</v>
      </c>
      <c r="V141" s="327">
        <f t="shared" si="5"/>
        <v>0.02</v>
      </c>
      <c r="W141" s="323">
        <v>0.32500000000000001</v>
      </c>
      <c r="X141" s="300" t="s">
        <v>26</v>
      </c>
      <c r="Y141" s="300" t="s">
        <v>1248</v>
      </c>
      <c r="Z141" s="300" t="s">
        <v>1251</v>
      </c>
      <c r="AA141" s="300" t="s">
        <v>1251</v>
      </c>
      <c r="AB141" s="300" t="s">
        <v>1556</v>
      </c>
      <c r="AC141" s="300"/>
      <c r="AD141" s="328" t="s">
        <v>1576</v>
      </c>
      <c r="AE141" s="328">
        <v>0</v>
      </c>
      <c r="AF141" s="328">
        <v>0</v>
      </c>
      <c r="AG141" s="29">
        <v>72</v>
      </c>
      <c r="AH141" s="329" t="s">
        <v>112</v>
      </c>
      <c r="AI141" s="330">
        <v>1</v>
      </c>
      <c r="AJ141" s="309">
        <v>1</v>
      </c>
      <c r="AK141" s="302"/>
      <c r="AL141" s="303"/>
      <c r="AM141" s="305"/>
      <c r="AN141" s="301"/>
      <c r="AO141" s="305"/>
      <c r="AP141" s="301"/>
      <c r="AQ141" s="301"/>
      <c r="AR141" s="332"/>
    </row>
    <row r="142" spans="1:44">
      <c r="A142" s="299">
        <v>320047.11</v>
      </c>
      <c r="B142" s="300">
        <v>4524999109</v>
      </c>
      <c r="C142" s="300" t="s">
        <v>1935</v>
      </c>
      <c r="D142" s="300" t="s">
        <v>1936</v>
      </c>
      <c r="E142" s="300">
        <v>940</v>
      </c>
      <c r="F142" s="322">
        <v>2550000</v>
      </c>
      <c r="G142" s="323">
        <v>0.73</v>
      </c>
      <c r="H142" s="324">
        <f t="shared" si="4"/>
        <v>7.3000000000000001E-3</v>
      </c>
      <c r="I142" s="325">
        <v>44883</v>
      </c>
      <c r="J142" s="300">
        <v>2</v>
      </c>
      <c r="K142" s="325">
        <v>54041</v>
      </c>
      <c r="L142" s="300">
        <v>300</v>
      </c>
      <c r="M142" s="300">
        <v>299</v>
      </c>
      <c r="N142" s="326">
        <v>44911</v>
      </c>
      <c r="O142" s="323">
        <v>3.3</v>
      </c>
      <c r="P142" s="322">
        <v>61429.5</v>
      </c>
      <c r="Q142" s="300" t="s">
        <v>1457</v>
      </c>
      <c r="R142" s="300" t="s">
        <v>1962</v>
      </c>
      <c r="S142" s="300" t="s">
        <v>1963</v>
      </c>
      <c r="T142" s="300">
        <v>445131</v>
      </c>
      <c r="U142" s="323">
        <v>1.75</v>
      </c>
      <c r="V142" s="327">
        <f t="shared" si="5"/>
        <v>1.7500000000000002E-2</v>
      </c>
      <c r="W142" s="323">
        <v>7.4999999999999997E-2</v>
      </c>
      <c r="X142" s="300" t="s">
        <v>26</v>
      </c>
      <c r="Y142" s="300" t="s">
        <v>1248</v>
      </c>
      <c r="Z142" s="300" t="s">
        <v>1251</v>
      </c>
      <c r="AA142" s="300" t="s">
        <v>1251</v>
      </c>
      <c r="AB142" s="300" t="s">
        <v>1556</v>
      </c>
      <c r="AC142" s="300"/>
      <c r="AD142" s="328" t="s">
        <v>1587</v>
      </c>
      <c r="AE142" s="328">
        <v>0</v>
      </c>
      <c r="AF142" s="328">
        <v>0</v>
      </c>
      <c r="AG142" s="29">
        <v>44</v>
      </c>
      <c r="AH142" s="329" t="s">
        <v>158</v>
      </c>
      <c r="AI142" s="330">
        <v>1</v>
      </c>
      <c r="AJ142" s="309">
        <v>1</v>
      </c>
      <c r="AK142" s="302"/>
      <c r="AL142" s="303"/>
      <c r="AM142" s="305"/>
      <c r="AN142" s="301"/>
      <c r="AO142" s="305"/>
      <c r="AP142" s="301"/>
      <c r="AQ142" s="301"/>
      <c r="AR142" s="332"/>
    </row>
    <row r="143" spans="1:44">
      <c r="A143" s="299">
        <v>320131.11</v>
      </c>
      <c r="B143" s="300">
        <v>4443179108</v>
      </c>
      <c r="C143" s="300" t="s">
        <v>1935</v>
      </c>
      <c r="D143" s="300" t="s">
        <v>1936</v>
      </c>
      <c r="E143" s="300">
        <v>940</v>
      </c>
      <c r="F143" s="322">
        <v>1764845.94</v>
      </c>
      <c r="G143" s="323">
        <v>0.98</v>
      </c>
      <c r="H143" s="324">
        <f t="shared" si="4"/>
        <v>9.7999999999999997E-3</v>
      </c>
      <c r="I143" s="325">
        <v>44880</v>
      </c>
      <c r="J143" s="300">
        <v>2</v>
      </c>
      <c r="K143" s="325">
        <v>54041</v>
      </c>
      <c r="L143" s="300">
        <v>300</v>
      </c>
      <c r="M143" s="300">
        <v>299</v>
      </c>
      <c r="N143" s="326">
        <v>44924</v>
      </c>
      <c r="O143" s="323">
        <v>3.3</v>
      </c>
      <c r="P143" s="322">
        <v>57075.117699599999</v>
      </c>
      <c r="Q143" s="300" t="s">
        <v>1458</v>
      </c>
      <c r="R143" s="300" t="s">
        <v>1964</v>
      </c>
      <c r="S143" s="300" t="s">
        <v>1965</v>
      </c>
      <c r="T143" s="300">
        <v>336612</v>
      </c>
      <c r="U143" s="323">
        <v>2</v>
      </c>
      <c r="V143" s="327">
        <f t="shared" si="5"/>
        <v>0.02</v>
      </c>
      <c r="W143" s="323">
        <v>0.32500000000000001</v>
      </c>
      <c r="X143" s="300" t="s">
        <v>26</v>
      </c>
      <c r="Y143" s="300" t="s">
        <v>1248</v>
      </c>
      <c r="Z143" s="300" t="s">
        <v>1251</v>
      </c>
      <c r="AA143" s="300" t="s">
        <v>1251</v>
      </c>
      <c r="AB143" s="300" t="s">
        <v>1556</v>
      </c>
      <c r="AC143" s="300"/>
      <c r="AD143" s="328" t="s">
        <v>1591</v>
      </c>
      <c r="AE143" s="328">
        <v>0</v>
      </c>
      <c r="AF143" s="328">
        <v>0</v>
      </c>
      <c r="AG143" s="29">
        <v>33</v>
      </c>
      <c r="AH143" s="329" t="s">
        <v>49</v>
      </c>
      <c r="AI143" s="330">
        <v>1</v>
      </c>
      <c r="AJ143" s="309">
        <v>1</v>
      </c>
      <c r="AK143" s="302"/>
      <c r="AL143" s="303"/>
      <c r="AM143" s="305"/>
      <c r="AN143" s="301"/>
      <c r="AO143" s="305"/>
      <c r="AP143" s="301"/>
      <c r="AQ143" s="301"/>
      <c r="AR143" s="332"/>
    </row>
    <row r="144" spans="1:44">
      <c r="A144" s="299">
        <v>320039.11</v>
      </c>
      <c r="B144" s="300">
        <v>4404649104</v>
      </c>
      <c r="C144" s="300" t="s">
        <v>1935</v>
      </c>
      <c r="D144" s="300" t="s">
        <v>1936</v>
      </c>
      <c r="E144" s="300">
        <v>940</v>
      </c>
      <c r="F144" s="322">
        <v>612000</v>
      </c>
      <c r="G144" s="323">
        <v>1.98</v>
      </c>
      <c r="H144" s="324">
        <f t="shared" si="4"/>
        <v>1.9799999999999998E-2</v>
      </c>
      <c r="I144" s="325">
        <v>44894</v>
      </c>
      <c r="J144" s="300">
        <v>2</v>
      </c>
      <c r="K144" s="325">
        <v>54041</v>
      </c>
      <c r="L144" s="300">
        <v>300</v>
      </c>
      <c r="M144" s="300">
        <v>299</v>
      </c>
      <c r="N144" s="326">
        <v>44916</v>
      </c>
      <c r="O144" s="323">
        <v>3.3</v>
      </c>
      <c r="P144" s="322">
        <v>39988.079999999994</v>
      </c>
      <c r="Q144" s="300" t="s">
        <v>1459</v>
      </c>
      <c r="R144" s="300" t="s">
        <v>1966</v>
      </c>
      <c r="S144" s="300" t="s">
        <v>1967</v>
      </c>
      <c r="T144" s="300">
        <v>0</v>
      </c>
      <c r="U144" s="323">
        <v>3</v>
      </c>
      <c r="V144" s="327">
        <f t="shared" si="5"/>
        <v>0.03</v>
      </c>
      <c r="W144" s="323">
        <v>1.325</v>
      </c>
      <c r="X144" s="300" t="s">
        <v>26</v>
      </c>
      <c r="Y144" s="300" t="s">
        <v>1248</v>
      </c>
      <c r="Z144" s="300" t="s">
        <v>1251</v>
      </c>
      <c r="AA144" s="300" t="s">
        <v>1251</v>
      </c>
      <c r="AB144" s="300" t="s">
        <v>1</v>
      </c>
      <c r="AC144" s="300"/>
      <c r="AD144" s="328" t="s">
        <v>1592</v>
      </c>
      <c r="AE144" s="328">
        <v>0</v>
      </c>
      <c r="AF144" s="328">
        <v>0</v>
      </c>
      <c r="AG144" s="29">
        <v>0</v>
      </c>
      <c r="AH144" s="329" t="s">
        <v>29</v>
      </c>
      <c r="AI144" s="330">
        <v>1</v>
      </c>
      <c r="AJ144" s="309">
        <v>1</v>
      </c>
      <c r="AK144" s="302"/>
      <c r="AL144" s="303"/>
      <c r="AM144" s="305"/>
      <c r="AN144" s="301"/>
      <c r="AO144" s="305"/>
      <c r="AP144" s="301"/>
      <c r="AQ144" s="301"/>
      <c r="AR144" s="332"/>
    </row>
    <row r="145" spans="1:44">
      <c r="A145" s="299">
        <v>320010.11</v>
      </c>
      <c r="B145" s="300">
        <v>4472329104</v>
      </c>
      <c r="C145" s="300" t="s">
        <v>1935</v>
      </c>
      <c r="D145" s="300" t="s">
        <v>1936</v>
      </c>
      <c r="E145" s="300">
        <v>940</v>
      </c>
      <c r="F145" s="322">
        <v>685913.06</v>
      </c>
      <c r="G145" s="323">
        <v>1.23</v>
      </c>
      <c r="H145" s="324">
        <f t="shared" si="4"/>
        <v>1.23E-2</v>
      </c>
      <c r="I145" s="325">
        <v>44880</v>
      </c>
      <c r="J145" s="300">
        <v>2</v>
      </c>
      <c r="K145" s="325">
        <v>54041</v>
      </c>
      <c r="L145" s="300">
        <v>300</v>
      </c>
      <c r="M145" s="300">
        <v>299</v>
      </c>
      <c r="N145" s="326">
        <v>44917</v>
      </c>
      <c r="O145" s="323">
        <v>3.3</v>
      </c>
      <c r="P145" s="322">
        <v>27841.211105400002</v>
      </c>
      <c r="Q145" s="300" t="s">
        <v>1460</v>
      </c>
      <c r="R145" s="300" t="s">
        <v>1968</v>
      </c>
      <c r="S145" s="300" t="s">
        <v>1969</v>
      </c>
      <c r="T145" s="300">
        <v>623312</v>
      </c>
      <c r="U145" s="323">
        <v>2.25</v>
      </c>
      <c r="V145" s="327">
        <f t="shared" si="5"/>
        <v>2.2499999999999999E-2</v>
      </c>
      <c r="W145" s="323">
        <v>0.57499999999999996</v>
      </c>
      <c r="X145" s="300" t="s">
        <v>26</v>
      </c>
      <c r="Y145" s="300" t="s">
        <v>1248</v>
      </c>
      <c r="Z145" s="300" t="s">
        <v>1251</v>
      </c>
      <c r="AA145" s="300" t="s">
        <v>1251</v>
      </c>
      <c r="AB145" s="300" t="s">
        <v>1556</v>
      </c>
      <c r="AC145" s="300"/>
      <c r="AD145" s="328" t="s">
        <v>1575</v>
      </c>
      <c r="AE145" s="328">
        <v>0</v>
      </c>
      <c r="AF145" s="328">
        <v>0</v>
      </c>
      <c r="AG145" s="29">
        <v>62</v>
      </c>
      <c r="AH145" s="329" t="s">
        <v>105</v>
      </c>
      <c r="AI145" s="330">
        <v>1</v>
      </c>
      <c r="AJ145" s="309">
        <v>1</v>
      </c>
      <c r="AK145" s="302"/>
      <c r="AL145" s="303"/>
      <c r="AM145" s="305"/>
      <c r="AN145" s="301"/>
      <c r="AO145" s="305"/>
      <c r="AP145" s="301"/>
      <c r="AQ145" s="301"/>
      <c r="AR145" s="332"/>
    </row>
    <row r="146" spans="1:44">
      <c r="A146" s="299">
        <v>319976.11</v>
      </c>
      <c r="B146" s="300">
        <v>4372679107</v>
      </c>
      <c r="C146" s="300" t="s">
        <v>1935</v>
      </c>
      <c r="D146" s="300" t="s">
        <v>1936</v>
      </c>
      <c r="E146" s="300">
        <v>940</v>
      </c>
      <c r="F146" s="322">
        <v>458725.88</v>
      </c>
      <c r="G146" s="323">
        <v>1.73</v>
      </c>
      <c r="H146" s="324">
        <f t="shared" si="4"/>
        <v>1.7299999999999999E-2</v>
      </c>
      <c r="I146" s="325">
        <v>44874</v>
      </c>
      <c r="J146" s="300">
        <v>2</v>
      </c>
      <c r="K146" s="325">
        <v>54041</v>
      </c>
      <c r="L146" s="300">
        <v>300</v>
      </c>
      <c r="M146" s="300">
        <v>299</v>
      </c>
      <c r="N146" s="326">
        <v>44903</v>
      </c>
      <c r="O146" s="323">
        <v>3.3</v>
      </c>
      <c r="P146" s="322">
        <v>26188.660489199996</v>
      </c>
      <c r="Q146" s="300" t="s">
        <v>1461</v>
      </c>
      <c r="R146" s="300" t="s">
        <v>1970</v>
      </c>
      <c r="S146" s="300" t="s">
        <v>1971</v>
      </c>
      <c r="T146" s="300">
        <v>811192</v>
      </c>
      <c r="U146" s="323">
        <v>2.75</v>
      </c>
      <c r="V146" s="327">
        <f t="shared" si="5"/>
        <v>2.75E-2</v>
      </c>
      <c r="W146" s="323">
        <v>1.075</v>
      </c>
      <c r="X146" s="300" t="s">
        <v>26</v>
      </c>
      <c r="Y146" s="300" t="s">
        <v>1248</v>
      </c>
      <c r="Z146" s="300" t="s">
        <v>1251</v>
      </c>
      <c r="AA146" s="300" t="s">
        <v>1251</v>
      </c>
      <c r="AB146" s="300" t="s">
        <v>1556</v>
      </c>
      <c r="AC146" s="300"/>
      <c r="AD146" s="328" t="s">
        <v>1618</v>
      </c>
      <c r="AE146" s="328">
        <v>0</v>
      </c>
      <c r="AF146" s="328">
        <v>0</v>
      </c>
      <c r="AG146" s="29">
        <v>81</v>
      </c>
      <c r="AH146" s="329" t="s">
        <v>25</v>
      </c>
      <c r="AI146" s="330">
        <v>1</v>
      </c>
      <c r="AJ146" s="309">
        <v>1</v>
      </c>
      <c r="AK146" s="302"/>
      <c r="AL146" s="303"/>
      <c r="AM146" s="305"/>
      <c r="AN146" s="301"/>
      <c r="AO146" s="305"/>
      <c r="AP146" s="301"/>
      <c r="AQ146" s="301"/>
      <c r="AR146" s="332"/>
    </row>
    <row r="147" spans="1:44">
      <c r="A147" s="299">
        <v>320045.11</v>
      </c>
      <c r="B147" s="300">
        <v>4464549100</v>
      </c>
      <c r="C147" s="300" t="s">
        <v>1935</v>
      </c>
      <c r="D147" s="300" t="s">
        <v>1936</v>
      </c>
      <c r="E147" s="300">
        <v>940</v>
      </c>
      <c r="F147" s="322">
        <v>872550</v>
      </c>
      <c r="G147" s="323">
        <v>0.73</v>
      </c>
      <c r="H147" s="324">
        <f t="shared" si="4"/>
        <v>7.3000000000000001E-3</v>
      </c>
      <c r="I147" s="325">
        <v>44894</v>
      </c>
      <c r="J147" s="300">
        <v>2</v>
      </c>
      <c r="K147" s="325">
        <v>54041</v>
      </c>
      <c r="L147" s="300">
        <v>300</v>
      </c>
      <c r="M147" s="300">
        <v>299</v>
      </c>
      <c r="N147" s="326">
        <v>44911</v>
      </c>
      <c r="O147" s="323">
        <v>3.3</v>
      </c>
      <c r="P147" s="322">
        <v>21019.729500000001</v>
      </c>
      <c r="Q147" s="300" t="s">
        <v>1462</v>
      </c>
      <c r="R147" s="300" t="s">
        <v>1972</v>
      </c>
      <c r="S147" s="300" t="s">
        <v>1973</v>
      </c>
      <c r="T147" s="300">
        <v>457110</v>
      </c>
      <c r="U147" s="323">
        <v>1.75</v>
      </c>
      <c r="V147" s="327">
        <f t="shared" si="5"/>
        <v>1.7500000000000002E-2</v>
      </c>
      <c r="W147" s="323">
        <v>7.4999999999999997E-2</v>
      </c>
      <c r="X147" s="300" t="s">
        <v>26</v>
      </c>
      <c r="Y147" s="300" t="s">
        <v>1248</v>
      </c>
      <c r="Z147" s="300" t="s">
        <v>1251</v>
      </c>
      <c r="AA147" s="300" t="s">
        <v>1251</v>
      </c>
      <c r="AB147" s="300" t="s">
        <v>1556</v>
      </c>
      <c r="AC147" s="300"/>
      <c r="AD147" s="328" t="s">
        <v>1587</v>
      </c>
      <c r="AE147" s="328">
        <v>0</v>
      </c>
      <c r="AF147" s="328">
        <v>0</v>
      </c>
      <c r="AG147" s="29">
        <v>45</v>
      </c>
      <c r="AH147" s="329" t="s">
        <v>42</v>
      </c>
      <c r="AI147" s="330">
        <v>1</v>
      </c>
      <c r="AJ147" s="309">
        <v>1</v>
      </c>
      <c r="AK147" s="302"/>
      <c r="AL147" s="303"/>
      <c r="AM147" s="305"/>
      <c r="AN147" s="301"/>
      <c r="AO147" s="305"/>
      <c r="AP147" s="301"/>
      <c r="AQ147" s="301"/>
      <c r="AR147" s="332"/>
    </row>
    <row r="148" spans="1:44">
      <c r="A148" s="299">
        <v>319963.11</v>
      </c>
      <c r="B148" s="300">
        <v>3895439110</v>
      </c>
      <c r="C148" s="300" t="s">
        <v>1935</v>
      </c>
      <c r="D148" s="300" t="s">
        <v>1936</v>
      </c>
      <c r="E148" s="300">
        <v>940</v>
      </c>
      <c r="F148" s="322">
        <v>528225</v>
      </c>
      <c r="G148" s="323">
        <v>0.73</v>
      </c>
      <c r="H148" s="324">
        <f t="shared" si="4"/>
        <v>7.3000000000000001E-3</v>
      </c>
      <c r="I148" s="325">
        <v>44882</v>
      </c>
      <c r="J148" s="300">
        <v>2</v>
      </c>
      <c r="K148" s="325">
        <v>54041</v>
      </c>
      <c r="L148" s="300">
        <v>300</v>
      </c>
      <c r="M148" s="300">
        <v>299</v>
      </c>
      <c r="N148" s="326">
        <v>44917</v>
      </c>
      <c r="O148" s="323">
        <v>3.3</v>
      </c>
      <c r="P148" s="322">
        <v>12724.94025</v>
      </c>
      <c r="Q148" s="300" t="s">
        <v>1463</v>
      </c>
      <c r="R148" s="300" t="s">
        <v>1974</v>
      </c>
      <c r="S148" s="300" t="s">
        <v>1975</v>
      </c>
      <c r="T148" s="300">
        <v>457110</v>
      </c>
      <c r="U148" s="323">
        <v>1.75</v>
      </c>
      <c r="V148" s="327">
        <f t="shared" si="5"/>
        <v>1.7500000000000002E-2</v>
      </c>
      <c r="W148" s="323">
        <v>7.4999999999999997E-2</v>
      </c>
      <c r="X148" s="300" t="s">
        <v>26</v>
      </c>
      <c r="Y148" s="300" t="s">
        <v>1248</v>
      </c>
      <c r="Z148" s="300" t="s">
        <v>1251</v>
      </c>
      <c r="AA148" s="300" t="s">
        <v>1251</v>
      </c>
      <c r="AB148" s="300" t="s">
        <v>1556</v>
      </c>
      <c r="AC148" s="300"/>
      <c r="AD148" s="328" t="s">
        <v>1562</v>
      </c>
      <c r="AE148" s="328">
        <v>0</v>
      </c>
      <c r="AF148" s="328">
        <v>0</v>
      </c>
      <c r="AG148" s="29">
        <v>45</v>
      </c>
      <c r="AH148" s="329" t="s">
        <v>87</v>
      </c>
      <c r="AI148" s="330">
        <v>1</v>
      </c>
      <c r="AJ148" s="309">
        <v>1</v>
      </c>
      <c r="AK148" s="302"/>
      <c r="AL148" s="303"/>
      <c r="AM148" s="305"/>
      <c r="AN148" s="301"/>
      <c r="AO148" s="305"/>
      <c r="AP148" s="301"/>
      <c r="AQ148" s="301"/>
      <c r="AR148" s="332"/>
    </row>
    <row r="149" spans="1:44">
      <c r="A149" s="299">
        <v>320041.11</v>
      </c>
      <c r="B149" s="300">
        <v>4286229105</v>
      </c>
      <c r="C149" s="300" t="s">
        <v>1935</v>
      </c>
      <c r="D149" s="300" t="s">
        <v>1936</v>
      </c>
      <c r="E149" s="300">
        <v>940</v>
      </c>
      <c r="F149" s="322">
        <v>150000</v>
      </c>
      <c r="G149" s="323">
        <v>2.2799999999999998</v>
      </c>
      <c r="H149" s="324">
        <f t="shared" si="4"/>
        <v>2.2799999999999997E-2</v>
      </c>
      <c r="I149" s="325">
        <v>44888</v>
      </c>
      <c r="J149" s="300">
        <v>2</v>
      </c>
      <c r="K149" s="325">
        <v>54041</v>
      </c>
      <c r="L149" s="300">
        <v>300</v>
      </c>
      <c r="M149" s="300">
        <v>299</v>
      </c>
      <c r="N149" s="326">
        <v>44910</v>
      </c>
      <c r="O149" s="323">
        <v>3.3</v>
      </c>
      <c r="P149" s="322">
        <v>11285.999999999998</v>
      </c>
      <c r="Q149" s="300" t="s">
        <v>1464</v>
      </c>
      <c r="R149" s="300" t="s">
        <v>1976</v>
      </c>
      <c r="S149" s="300" t="s">
        <v>1977</v>
      </c>
      <c r="T149" s="300">
        <v>0</v>
      </c>
      <c r="U149" s="323">
        <v>2.75</v>
      </c>
      <c r="V149" s="327">
        <f t="shared" si="5"/>
        <v>2.75E-2</v>
      </c>
      <c r="W149" s="323">
        <v>1.625</v>
      </c>
      <c r="X149" s="300" t="s">
        <v>26</v>
      </c>
      <c r="Y149" s="300" t="s">
        <v>1248</v>
      </c>
      <c r="Z149" s="300" t="s">
        <v>1251</v>
      </c>
      <c r="AA149" s="300" t="s">
        <v>1251</v>
      </c>
      <c r="AB149" s="300" t="s">
        <v>1</v>
      </c>
      <c r="AC149" s="300"/>
      <c r="AD149" s="328" t="s">
        <v>1592</v>
      </c>
      <c r="AE149" s="328">
        <v>0</v>
      </c>
      <c r="AF149" s="328">
        <v>0</v>
      </c>
      <c r="AG149" s="29">
        <v>0</v>
      </c>
      <c r="AH149" s="329" t="s">
        <v>29</v>
      </c>
      <c r="AI149" s="330">
        <v>1</v>
      </c>
      <c r="AJ149" s="309">
        <v>1</v>
      </c>
      <c r="AK149" s="302"/>
      <c r="AL149" s="303"/>
      <c r="AM149" s="305"/>
      <c r="AN149" s="301"/>
      <c r="AO149" s="305"/>
      <c r="AP149" s="301"/>
      <c r="AQ149" s="301"/>
      <c r="AR149" s="332"/>
    </row>
    <row r="150" spans="1:44">
      <c r="A150" s="299">
        <v>320007.11</v>
      </c>
      <c r="B150" s="300">
        <v>4282849106</v>
      </c>
      <c r="C150" s="300" t="s">
        <v>1935</v>
      </c>
      <c r="D150" s="300" t="s">
        <v>1936</v>
      </c>
      <c r="E150" s="300">
        <v>940</v>
      </c>
      <c r="F150" s="322">
        <v>390000</v>
      </c>
      <c r="G150" s="323">
        <v>0.79</v>
      </c>
      <c r="H150" s="324">
        <f t="shared" si="4"/>
        <v>7.9000000000000008E-3</v>
      </c>
      <c r="I150" s="325">
        <v>44886</v>
      </c>
      <c r="J150" s="300">
        <v>2</v>
      </c>
      <c r="K150" s="325">
        <v>54041</v>
      </c>
      <c r="L150" s="300">
        <v>300</v>
      </c>
      <c r="M150" s="300">
        <v>299</v>
      </c>
      <c r="N150" s="326">
        <v>44908</v>
      </c>
      <c r="O150" s="323">
        <v>3.3</v>
      </c>
      <c r="P150" s="322">
        <v>10167.300000000001</v>
      </c>
      <c r="Q150" s="300" t="s">
        <v>1465</v>
      </c>
      <c r="R150" s="300" t="s">
        <v>1978</v>
      </c>
      <c r="S150" s="300" t="s">
        <v>1979</v>
      </c>
      <c r="T150" s="300">
        <v>721110</v>
      </c>
      <c r="U150" s="323">
        <v>1.75</v>
      </c>
      <c r="V150" s="327">
        <f t="shared" si="5"/>
        <v>1.7500000000000002E-2</v>
      </c>
      <c r="W150" s="323">
        <v>0.13500000000000001</v>
      </c>
      <c r="X150" s="300" t="s">
        <v>26</v>
      </c>
      <c r="Y150" s="300" t="s">
        <v>1248</v>
      </c>
      <c r="Z150" s="300" t="s">
        <v>1251</v>
      </c>
      <c r="AA150" s="300" t="s">
        <v>1251</v>
      </c>
      <c r="AB150" s="300" t="s">
        <v>1556</v>
      </c>
      <c r="AC150" s="300"/>
      <c r="AD150" s="328" t="s">
        <v>1561</v>
      </c>
      <c r="AE150" s="328">
        <v>0</v>
      </c>
      <c r="AF150" s="328">
        <v>0</v>
      </c>
      <c r="AG150" s="29">
        <v>72</v>
      </c>
      <c r="AH150" s="329" t="s">
        <v>76</v>
      </c>
      <c r="AI150" s="330">
        <v>1</v>
      </c>
      <c r="AJ150" s="309">
        <v>1</v>
      </c>
      <c r="AK150" s="302"/>
      <c r="AL150" s="303"/>
      <c r="AM150" s="305"/>
      <c r="AN150" s="301"/>
      <c r="AO150" s="305"/>
      <c r="AP150" s="301"/>
      <c r="AQ150" s="301"/>
      <c r="AR150" s="332"/>
    </row>
    <row r="151" spans="1:44">
      <c r="A151" s="299">
        <v>320068.11</v>
      </c>
      <c r="B151" s="300">
        <v>4409349107</v>
      </c>
      <c r="C151" s="300" t="s">
        <v>1935</v>
      </c>
      <c r="D151" s="300" t="s">
        <v>1936</v>
      </c>
      <c r="E151" s="300">
        <v>940</v>
      </c>
      <c r="F151" s="322">
        <v>630000</v>
      </c>
      <c r="G151" s="323">
        <v>0.48</v>
      </c>
      <c r="H151" s="324">
        <f t="shared" si="4"/>
        <v>4.7999999999999996E-3</v>
      </c>
      <c r="I151" s="325">
        <v>44868</v>
      </c>
      <c r="J151" s="300">
        <v>2</v>
      </c>
      <c r="K151" s="325">
        <v>54041</v>
      </c>
      <c r="L151" s="300">
        <v>300</v>
      </c>
      <c r="M151" s="300">
        <v>299</v>
      </c>
      <c r="N151" s="326">
        <v>44917</v>
      </c>
      <c r="O151" s="323">
        <v>3.3</v>
      </c>
      <c r="P151" s="322">
        <v>9979.1999999999989</v>
      </c>
      <c r="Q151" s="300" t="s">
        <v>1466</v>
      </c>
      <c r="R151" s="300" t="s">
        <v>1980</v>
      </c>
      <c r="S151" s="300" t="s">
        <v>1981</v>
      </c>
      <c r="T151" s="300">
        <v>721110</v>
      </c>
      <c r="U151" s="323">
        <v>1.5</v>
      </c>
      <c r="V151" s="327">
        <f t="shared" si="5"/>
        <v>1.4999999999999999E-2</v>
      </c>
      <c r="W151" s="323">
        <v>-0.17499999999999999</v>
      </c>
      <c r="X151" s="300" t="s">
        <v>26</v>
      </c>
      <c r="Y151" s="300" t="s">
        <v>1248</v>
      </c>
      <c r="Z151" s="300" t="s">
        <v>1251</v>
      </c>
      <c r="AA151" s="300" t="s">
        <v>1251</v>
      </c>
      <c r="AB151" s="300" t="s">
        <v>1556</v>
      </c>
      <c r="AC151" s="300"/>
      <c r="AD151" s="328" t="s">
        <v>1619</v>
      </c>
      <c r="AE151" s="328">
        <v>0</v>
      </c>
      <c r="AF151" s="328">
        <v>0</v>
      </c>
      <c r="AG151" s="29">
        <v>72</v>
      </c>
      <c r="AH151" s="329" t="s">
        <v>40</v>
      </c>
      <c r="AI151" s="330">
        <v>1</v>
      </c>
      <c r="AJ151" s="309">
        <v>1</v>
      </c>
      <c r="AK151" s="302"/>
      <c r="AL151" s="303"/>
      <c r="AM151" s="305"/>
      <c r="AN151" s="301"/>
      <c r="AO151" s="305"/>
      <c r="AP151" s="301"/>
      <c r="AQ151" s="301"/>
      <c r="AR151" s="332"/>
    </row>
    <row r="152" spans="1:44">
      <c r="A152" s="299">
        <v>319984.11</v>
      </c>
      <c r="B152" s="300">
        <v>4535469109</v>
      </c>
      <c r="C152" s="300" t="s">
        <v>1935</v>
      </c>
      <c r="D152" s="300" t="s">
        <v>1936</v>
      </c>
      <c r="E152" s="300">
        <v>940</v>
      </c>
      <c r="F152" s="322">
        <v>186900</v>
      </c>
      <c r="G152" s="323">
        <v>1.53</v>
      </c>
      <c r="H152" s="324">
        <f t="shared" si="4"/>
        <v>1.5300000000000001E-2</v>
      </c>
      <c r="I152" s="325">
        <v>44887</v>
      </c>
      <c r="J152" s="300">
        <v>2</v>
      </c>
      <c r="K152" s="325">
        <v>54041</v>
      </c>
      <c r="L152" s="300">
        <v>300</v>
      </c>
      <c r="M152" s="300">
        <v>299</v>
      </c>
      <c r="N152" s="326">
        <v>44910</v>
      </c>
      <c r="O152" s="323">
        <v>3.3</v>
      </c>
      <c r="P152" s="322">
        <v>9436.5810000000001</v>
      </c>
      <c r="Q152" s="300" t="s">
        <v>1467</v>
      </c>
      <c r="R152" s="300" t="s">
        <v>1982</v>
      </c>
      <c r="S152" s="300" t="s">
        <v>1983</v>
      </c>
      <c r="T152" s="300">
        <v>238160</v>
      </c>
      <c r="U152" s="323">
        <v>2</v>
      </c>
      <c r="V152" s="327">
        <f t="shared" si="5"/>
        <v>0.02</v>
      </c>
      <c r="W152" s="323">
        <v>0.875</v>
      </c>
      <c r="X152" s="300" t="s">
        <v>26</v>
      </c>
      <c r="Y152" s="300" t="s">
        <v>1248</v>
      </c>
      <c r="Z152" s="300" t="s">
        <v>1251</v>
      </c>
      <c r="AA152" s="300" t="s">
        <v>1251</v>
      </c>
      <c r="AB152" s="300" t="s">
        <v>1556</v>
      </c>
      <c r="AC152" s="300"/>
      <c r="AD152" s="328" t="s">
        <v>1572</v>
      </c>
      <c r="AE152" s="328">
        <v>0</v>
      </c>
      <c r="AF152" s="328">
        <v>0</v>
      </c>
      <c r="AG152" s="29">
        <v>23</v>
      </c>
      <c r="AH152" s="329" t="s">
        <v>40</v>
      </c>
      <c r="AI152" s="330">
        <v>1</v>
      </c>
      <c r="AJ152" s="309">
        <v>1</v>
      </c>
      <c r="AK152" s="302"/>
      <c r="AL152" s="303"/>
      <c r="AM152" s="305"/>
      <c r="AN152" s="301"/>
      <c r="AO152" s="305"/>
      <c r="AP152" s="301"/>
      <c r="AQ152" s="301"/>
      <c r="AR152" s="332"/>
    </row>
    <row r="153" spans="1:44">
      <c r="A153" s="299">
        <v>319997.11</v>
      </c>
      <c r="B153" s="300">
        <v>4426479102</v>
      </c>
      <c r="C153" s="300" t="s">
        <v>1935</v>
      </c>
      <c r="D153" s="300" t="s">
        <v>1936</v>
      </c>
      <c r="E153" s="300">
        <v>940</v>
      </c>
      <c r="F153" s="322">
        <v>456793.45</v>
      </c>
      <c r="G153" s="323">
        <v>0.48</v>
      </c>
      <c r="H153" s="324">
        <f t="shared" si="4"/>
        <v>4.7999999999999996E-3</v>
      </c>
      <c r="I153" s="325">
        <v>44868</v>
      </c>
      <c r="J153" s="300">
        <v>2</v>
      </c>
      <c r="K153" s="325">
        <v>54041</v>
      </c>
      <c r="L153" s="300">
        <v>300</v>
      </c>
      <c r="M153" s="300">
        <v>299</v>
      </c>
      <c r="N153" s="326" t="s">
        <v>1251</v>
      </c>
      <c r="O153" s="323">
        <v>3.3</v>
      </c>
      <c r="P153" s="322">
        <v>7235.6082479999995</v>
      </c>
      <c r="Q153" s="300" t="s">
        <v>1468</v>
      </c>
      <c r="R153" s="300" t="s">
        <v>1984</v>
      </c>
      <c r="S153" s="300" t="s">
        <v>1985</v>
      </c>
      <c r="T153" s="300">
        <v>713940</v>
      </c>
      <c r="U153" s="323">
        <v>1.5</v>
      </c>
      <c r="V153" s="327">
        <f t="shared" si="5"/>
        <v>1.4999999999999999E-2</v>
      </c>
      <c r="W153" s="323">
        <v>-0.17499999999999999</v>
      </c>
      <c r="X153" s="300" t="s">
        <v>26</v>
      </c>
      <c r="Y153" s="300" t="s">
        <v>1248</v>
      </c>
      <c r="Z153" s="300" t="s">
        <v>1251</v>
      </c>
      <c r="AA153" s="300" t="s">
        <v>1251</v>
      </c>
      <c r="AB153" s="300" t="s">
        <v>1</v>
      </c>
      <c r="AC153" s="300"/>
      <c r="AD153" s="328" t="s">
        <v>1620</v>
      </c>
      <c r="AE153" s="328">
        <v>0</v>
      </c>
      <c r="AF153" s="328">
        <v>0</v>
      </c>
      <c r="AG153" s="29">
        <v>71</v>
      </c>
      <c r="AH153" s="329" t="s">
        <v>154</v>
      </c>
      <c r="AI153" s="330">
        <v>1</v>
      </c>
      <c r="AJ153" s="309">
        <v>1</v>
      </c>
      <c r="AK153" s="302"/>
      <c r="AL153" s="303"/>
      <c r="AM153" s="305"/>
      <c r="AN153" s="301"/>
      <c r="AO153" s="305"/>
      <c r="AP153" s="301"/>
      <c r="AQ153" s="301"/>
      <c r="AR153" s="332"/>
    </row>
    <row r="154" spans="1:44">
      <c r="A154" s="299">
        <v>320022.11</v>
      </c>
      <c r="B154" s="300">
        <v>4404419105</v>
      </c>
      <c r="C154" s="300" t="s">
        <v>1935</v>
      </c>
      <c r="D154" s="300" t="s">
        <v>1936</v>
      </c>
      <c r="E154" s="300">
        <v>940</v>
      </c>
      <c r="F154" s="322">
        <v>295500</v>
      </c>
      <c r="G154" s="323">
        <v>0.53</v>
      </c>
      <c r="H154" s="324">
        <f t="shared" si="4"/>
        <v>5.3E-3</v>
      </c>
      <c r="I154" s="325">
        <v>44880</v>
      </c>
      <c r="J154" s="300">
        <v>2</v>
      </c>
      <c r="K154" s="325">
        <v>54041</v>
      </c>
      <c r="L154" s="300">
        <v>300</v>
      </c>
      <c r="M154" s="300">
        <v>299</v>
      </c>
      <c r="N154" s="326">
        <v>44911</v>
      </c>
      <c r="O154" s="323">
        <v>3.3</v>
      </c>
      <c r="P154" s="322">
        <v>5168.2950000000001</v>
      </c>
      <c r="Q154" s="300" t="s">
        <v>1469</v>
      </c>
      <c r="R154" s="300" t="s">
        <v>1986</v>
      </c>
      <c r="S154" s="300" t="s">
        <v>1987</v>
      </c>
      <c r="T154" s="300">
        <v>445110</v>
      </c>
      <c r="U154" s="323">
        <v>1</v>
      </c>
      <c r="V154" s="327">
        <f t="shared" si="5"/>
        <v>0.01</v>
      </c>
      <c r="W154" s="323">
        <v>-0.125</v>
      </c>
      <c r="X154" s="300" t="s">
        <v>26</v>
      </c>
      <c r="Y154" s="300" t="s">
        <v>1248</v>
      </c>
      <c r="Z154" s="300" t="s">
        <v>1251</v>
      </c>
      <c r="AA154" s="300" t="s">
        <v>1251</v>
      </c>
      <c r="AB154" s="300" t="s">
        <v>1556</v>
      </c>
      <c r="AC154" s="300"/>
      <c r="AD154" s="328" t="s">
        <v>1581</v>
      </c>
      <c r="AE154" s="328">
        <v>0</v>
      </c>
      <c r="AF154" s="328">
        <v>0</v>
      </c>
      <c r="AG154" s="29">
        <v>44</v>
      </c>
      <c r="AH154" s="329" t="s">
        <v>52</v>
      </c>
      <c r="AI154" s="330">
        <v>1</v>
      </c>
      <c r="AJ154" s="309">
        <v>1</v>
      </c>
      <c r="AK154" s="302"/>
      <c r="AL154" s="303"/>
      <c r="AM154" s="305"/>
      <c r="AN154" s="301"/>
      <c r="AO154" s="305"/>
      <c r="AP154" s="301"/>
      <c r="AQ154" s="301"/>
      <c r="AR154" s="332"/>
    </row>
    <row r="155" spans="1:44">
      <c r="A155" s="299">
        <v>319969.11</v>
      </c>
      <c r="B155" s="300">
        <v>4349359107</v>
      </c>
      <c r="C155" s="300" t="s">
        <v>1935</v>
      </c>
      <c r="D155" s="300" t="s">
        <v>1936</v>
      </c>
      <c r="E155" s="300">
        <v>940</v>
      </c>
      <c r="F155" s="322">
        <v>696213.02</v>
      </c>
      <c r="G155" s="323">
        <v>1.73</v>
      </c>
      <c r="H155" s="324">
        <f t="shared" si="4"/>
        <v>1.7299999999999999E-2</v>
      </c>
      <c r="I155" s="325">
        <v>44862</v>
      </c>
      <c r="J155" s="300">
        <v>3</v>
      </c>
      <c r="K155" s="325">
        <v>54011</v>
      </c>
      <c r="L155" s="300">
        <v>300</v>
      </c>
      <c r="M155" s="300">
        <v>298</v>
      </c>
      <c r="N155" s="326">
        <v>44910</v>
      </c>
      <c r="O155" s="323">
        <v>3.3</v>
      </c>
      <c r="P155" s="322">
        <v>39746.801311800002</v>
      </c>
      <c r="Q155" s="300" t="s">
        <v>1470</v>
      </c>
      <c r="R155" s="300" t="s">
        <v>1988</v>
      </c>
      <c r="S155" s="300" t="s">
        <v>1989</v>
      </c>
      <c r="T155" s="300">
        <v>238220</v>
      </c>
      <c r="U155" s="323">
        <v>2.75</v>
      </c>
      <c r="V155" s="327">
        <f t="shared" si="5"/>
        <v>2.75E-2</v>
      </c>
      <c r="W155" s="323">
        <v>1.075</v>
      </c>
      <c r="X155" s="300" t="s">
        <v>26</v>
      </c>
      <c r="Y155" s="300" t="s">
        <v>1248</v>
      </c>
      <c r="Z155" s="300" t="s">
        <v>1251</v>
      </c>
      <c r="AA155" s="300" t="s">
        <v>1251</v>
      </c>
      <c r="AB155" s="300" t="s">
        <v>1556</v>
      </c>
      <c r="AC155" s="300"/>
      <c r="AD155" s="328" t="s">
        <v>1621</v>
      </c>
      <c r="AE155" s="328">
        <v>0</v>
      </c>
      <c r="AF155" s="328">
        <v>0</v>
      </c>
      <c r="AG155" s="29">
        <v>23</v>
      </c>
      <c r="AH155" s="329" t="s">
        <v>74</v>
      </c>
      <c r="AI155" s="330">
        <v>1</v>
      </c>
      <c r="AJ155" s="309">
        <v>1</v>
      </c>
      <c r="AK155" s="302"/>
      <c r="AL155" s="303"/>
      <c r="AM155" s="305"/>
      <c r="AN155" s="301"/>
      <c r="AO155" s="305"/>
      <c r="AP155" s="301"/>
      <c r="AQ155" s="301"/>
      <c r="AR155" s="332"/>
    </row>
    <row r="156" spans="1:44">
      <c r="A156" s="299">
        <v>320135.11</v>
      </c>
      <c r="B156" s="300">
        <v>4426659108</v>
      </c>
      <c r="C156" s="300" t="s">
        <v>1935</v>
      </c>
      <c r="D156" s="300" t="s">
        <v>1936</v>
      </c>
      <c r="E156" s="300">
        <v>940</v>
      </c>
      <c r="F156" s="322">
        <v>532500</v>
      </c>
      <c r="G156" s="323">
        <v>1.48</v>
      </c>
      <c r="H156" s="324">
        <f t="shared" si="4"/>
        <v>1.4800000000000001E-2</v>
      </c>
      <c r="I156" s="325">
        <v>44865</v>
      </c>
      <c r="J156" s="300">
        <v>3</v>
      </c>
      <c r="K156" s="325">
        <v>54011</v>
      </c>
      <c r="L156" s="300">
        <v>300</v>
      </c>
      <c r="M156" s="300">
        <v>298</v>
      </c>
      <c r="N156" s="326">
        <v>44925</v>
      </c>
      <c r="O156" s="323">
        <v>3.3</v>
      </c>
      <c r="P156" s="322">
        <v>26007.300000000003</v>
      </c>
      <c r="Q156" s="300" t="s">
        <v>1471</v>
      </c>
      <c r="R156" s="300" t="s">
        <v>1990</v>
      </c>
      <c r="S156" s="300" t="s">
        <v>1991</v>
      </c>
      <c r="T156" s="300">
        <v>721191</v>
      </c>
      <c r="U156" s="323">
        <v>2.5</v>
      </c>
      <c r="V156" s="327">
        <f t="shared" si="5"/>
        <v>2.5000000000000001E-2</v>
      </c>
      <c r="W156" s="323">
        <v>0.82499999999999996</v>
      </c>
      <c r="X156" s="300" t="s">
        <v>26</v>
      </c>
      <c r="Y156" s="300" t="s">
        <v>1248</v>
      </c>
      <c r="Z156" s="300" t="s">
        <v>1251</v>
      </c>
      <c r="AA156" s="300" t="s">
        <v>1251</v>
      </c>
      <c r="AB156" s="300" t="s">
        <v>1556</v>
      </c>
      <c r="AC156" s="300"/>
      <c r="AD156" s="328" t="s">
        <v>1591</v>
      </c>
      <c r="AE156" s="328">
        <v>0</v>
      </c>
      <c r="AF156" s="328">
        <v>0</v>
      </c>
      <c r="AG156" s="29">
        <v>72</v>
      </c>
      <c r="AH156" s="329" t="s">
        <v>29</v>
      </c>
      <c r="AI156" s="330">
        <v>1</v>
      </c>
      <c r="AJ156" s="309">
        <v>1</v>
      </c>
      <c r="AK156" s="302"/>
      <c r="AL156" s="303"/>
      <c r="AM156" s="305"/>
      <c r="AN156" s="301"/>
      <c r="AO156" s="305"/>
      <c r="AP156" s="301"/>
      <c r="AQ156" s="301"/>
      <c r="AR156" s="332"/>
    </row>
    <row r="157" spans="1:44">
      <c r="A157" s="299">
        <v>319781.11</v>
      </c>
      <c r="B157" s="300">
        <v>4300089108</v>
      </c>
      <c r="C157" s="300" t="s">
        <v>1935</v>
      </c>
      <c r="D157" s="300" t="s">
        <v>1936</v>
      </c>
      <c r="E157" s="300">
        <v>940</v>
      </c>
      <c r="F157" s="322">
        <v>183675.97</v>
      </c>
      <c r="G157" s="323">
        <v>1.53</v>
      </c>
      <c r="H157" s="324">
        <f t="shared" si="4"/>
        <v>1.5300000000000001E-2</v>
      </c>
      <c r="I157" s="325">
        <v>44845</v>
      </c>
      <c r="J157" s="300">
        <v>3</v>
      </c>
      <c r="K157" s="325">
        <v>54011</v>
      </c>
      <c r="L157" s="300">
        <v>300</v>
      </c>
      <c r="M157" s="300">
        <v>298</v>
      </c>
      <c r="N157" s="326">
        <v>44905</v>
      </c>
      <c r="O157" s="323">
        <v>3.3</v>
      </c>
      <c r="P157" s="322">
        <v>9273.7997253000012</v>
      </c>
      <c r="Q157" s="300" t="s">
        <v>1472</v>
      </c>
      <c r="R157" s="300" t="s">
        <v>1992</v>
      </c>
      <c r="S157" s="300" t="s">
        <v>1993</v>
      </c>
      <c r="T157" s="300">
        <v>446191</v>
      </c>
      <c r="U157" s="323">
        <v>2</v>
      </c>
      <c r="V157" s="327">
        <f t="shared" si="5"/>
        <v>0.02</v>
      </c>
      <c r="W157" s="323">
        <v>0.875</v>
      </c>
      <c r="X157" s="300" t="s">
        <v>26</v>
      </c>
      <c r="Y157" s="300" t="s">
        <v>1248</v>
      </c>
      <c r="Z157" s="300" t="s">
        <v>1251</v>
      </c>
      <c r="AA157" s="300" t="s">
        <v>1251</v>
      </c>
      <c r="AB157" s="300" t="s">
        <v>1556</v>
      </c>
      <c r="AC157" s="300"/>
      <c r="AD157" s="328" t="s">
        <v>1622</v>
      </c>
      <c r="AE157" s="328">
        <v>0</v>
      </c>
      <c r="AF157" s="328">
        <v>0</v>
      </c>
      <c r="AG157" s="29">
        <v>44</v>
      </c>
      <c r="AH157" s="329" t="s">
        <v>158</v>
      </c>
      <c r="AI157" s="330">
        <v>1</v>
      </c>
      <c r="AJ157" s="309">
        <v>1</v>
      </c>
      <c r="AK157" s="302"/>
      <c r="AL157" s="303"/>
      <c r="AM157" s="305"/>
      <c r="AN157" s="301"/>
      <c r="AO157" s="305"/>
      <c r="AP157" s="301"/>
      <c r="AQ157" s="301"/>
      <c r="AR157" s="332"/>
    </row>
    <row r="158" spans="1:44">
      <c r="A158" s="299">
        <v>320133.11</v>
      </c>
      <c r="B158" s="300">
        <v>4340439100</v>
      </c>
      <c r="C158" s="300" t="s">
        <v>1935</v>
      </c>
      <c r="D158" s="300" t="s">
        <v>1936</v>
      </c>
      <c r="E158" s="300">
        <v>940</v>
      </c>
      <c r="F158" s="322">
        <v>1786379.16</v>
      </c>
      <c r="G158" s="323">
        <v>1.73</v>
      </c>
      <c r="H158" s="324">
        <f t="shared" si="4"/>
        <v>1.7299999999999999E-2</v>
      </c>
      <c r="I158" s="325">
        <v>44834</v>
      </c>
      <c r="J158" s="300">
        <v>4</v>
      </c>
      <c r="K158" s="325">
        <v>53980</v>
      </c>
      <c r="L158" s="300">
        <v>300</v>
      </c>
      <c r="M158" s="300">
        <v>297</v>
      </c>
      <c r="N158" s="326">
        <v>44924</v>
      </c>
      <c r="O158" s="323">
        <v>3.3</v>
      </c>
      <c r="P158" s="322">
        <v>101984.38624439998</v>
      </c>
      <c r="Q158" s="300" t="s">
        <v>1473</v>
      </c>
      <c r="R158" s="300" t="s">
        <v>1994</v>
      </c>
      <c r="S158" s="300" t="s">
        <v>1995</v>
      </c>
      <c r="T158" s="300">
        <v>449129</v>
      </c>
      <c r="U158" s="323">
        <v>2.75</v>
      </c>
      <c r="V158" s="327">
        <f t="shared" si="5"/>
        <v>2.75E-2</v>
      </c>
      <c r="W158" s="323">
        <v>1.075</v>
      </c>
      <c r="X158" s="300" t="s">
        <v>26</v>
      </c>
      <c r="Y158" s="300" t="s">
        <v>1248</v>
      </c>
      <c r="Z158" s="300" t="s">
        <v>1251</v>
      </c>
      <c r="AA158" s="300" t="s">
        <v>1251</v>
      </c>
      <c r="AB158" s="300" t="s">
        <v>1556</v>
      </c>
      <c r="AC158" s="300"/>
      <c r="AD158" s="328" t="s">
        <v>1591</v>
      </c>
      <c r="AE158" s="328">
        <v>0</v>
      </c>
      <c r="AF158" s="328">
        <v>0</v>
      </c>
      <c r="AG158" s="29">
        <v>44</v>
      </c>
      <c r="AH158" s="329" t="s">
        <v>42</v>
      </c>
      <c r="AI158" s="330">
        <v>1</v>
      </c>
      <c r="AJ158" s="309">
        <v>1</v>
      </c>
      <c r="AK158" s="302"/>
      <c r="AL158" s="303"/>
      <c r="AM158" s="305"/>
      <c r="AN158" s="301"/>
      <c r="AO158" s="305"/>
      <c r="AP158" s="301"/>
      <c r="AQ158" s="301"/>
      <c r="AR158" s="332"/>
    </row>
    <row r="159" spans="1:44">
      <c r="A159" s="299">
        <v>320042.11</v>
      </c>
      <c r="B159" s="300">
        <v>4151829100</v>
      </c>
      <c r="C159" s="300" t="s">
        <v>1935</v>
      </c>
      <c r="D159" s="300" t="s">
        <v>1936</v>
      </c>
      <c r="E159" s="300">
        <v>940</v>
      </c>
      <c r="F159" s="322">
        <v>605476.07999999996</v>
      </c>
      <c r="G159" s="323">
        <v>1.04</v>
      </c>
      <c r="H159" s="324">
        <f t="shared" si="4"/>
        <v>1.04E-2</v>
      </c>
      <c r="I159" s="325">
        <v>44831</v>
      </c>
      <c r="J159" s="300">
        <v>4</v>
      </c>
      <c r="K159" s="325">
        <v>53980</v>
      </c>
      <c r="L159" s="300">
        <v>300</v>
      </c>
      <c r="M159" s="300">
        <v>297</v>
      </c>
      <c r="N159" s="326">
        <v>44922</v>
      </c>
      <c r="O159" s="323">
        <v>3.3</v>
      </c>
      <c r="P159" s="322">
        <v>20779.939065599996</v>
      </c>
      <c r="Q159" s="300" t="s">
        <v>1474</v>
      </c>
      <c r="R159" s="300" t="s">
        <v>1996</v>
      </c>
      <c r="S159" s="300" t="s">
        <v>1997</v>
      </c>
      <c r="T159" s="300">
        <v>621330</v>
      </c>
      <c r="U159" s="323">
        <v>2</v>
      </c>
      <c r="V159" s="327">
        <f t="shared" si="5"/>
        <v>0.02</v>
      </c>
      <c r="W159" s="323">
        <v>0.38500000000000001</v>
      </c>
      <c r="X159" s="300" t="s">
        <v>26</v>
      </c>
      <c r="Y159" s="300" t="s">
        <v>1248</v>
      </c>
      <c r="Z159" s="300" t="s">
        <v>1251</v>
      </c>
      <c r="AA159" s="300" t="s">
        <v>1251</v>
      </c>
      <c r="AB159" s="300" t="s">
        <v>1556</v>
      </c>
      <c r="AC159" s="300"/>
      <c r="AD159" s="328" t="s">
        <v>1623</v>
      </c>
      <c r="AE159" s="328">
        <v>0</v>
      </c>
      <c r="AF159" s="328">
        <v>0</v>
      </c>
      <c r="AG159" s="29">
        <v>62</v>
      </c>
      <c r="AH159" s="329" t="s">
        <v>76</v>
      </c>
      <c r="AI159" s="330">
        <v>1</v>
      </c>
      <c r="AJ159" s="309">
        <v>1</v>
      </c>
      <c r="AK159" s="302"/>
      <c r="AL159" s="303"/>
      <c r="AM159" s="305"/>
      <c r="AN159" s="301"/>
      <c r="AO159" s="305"/>
      <c r="AP159" s="301"/>
      <c r="AQ159" s="301"/>
      <c r="AR159" s="332"/>
    </row>
    <row r="160" spans="1:44">
      <c r="A160" s="299">
        <v>319559.11</v>
      </c>
      <c r="B160" s="300">
        <v>4193339104</v>
      </c>
      <c r="C160" s="300" t="s">
        <v>1935</v>
      </c>
      <c r="D160" s="300" t="s">
        <v>1936</v>
      </c>
      <c r="E160" s="300">
        <v>940</v>
      </c>
      <c r="F160" s="322">
        <v>97642.36</v>
      </c>
      <c r="G160" s="323">
        <v>1.04</v>
      </c>
      <c r="H160" s="324">
        <f t="shared" si="4"/>
        <v>1.04E-2</v>
      </c>
      <c r="I160" s="325">
        <v>44806</v>
      </c>
      <c r="J160" s="300">
        <v>4</v>
      </c>
      <c r="K160" s="325">
        <v>53980</v>
      </c>
      <c r="L160" s="300">
        <v>300</v>
      </c>
      <c r="M160" s="300">
        <v>297</v>
      </c>
      <c r="N160" s="326">
        <v>44899</v>
      </c>
      <c r="O160" s="323">
        <v>3.3</v>
      </c>
      <c r="P160" s="322">
        <v>3351.0857951999997</v>
      </c>
      <c r="Q160" s="300" t="s">
        <v>1475</v>
      </c>
      <c r="R160" s="300" t="s">
        <v>1998</v>
      </c>
      <c r="S160" s="300" t="s">
        <v>1999</v>
      </c>
      <c r="T160" s="300">
        <v>445120</v>
      </c>
      <c r="U160" s="323">
        <v>2</v>
      </c>
      <c r="V160" s="327">
        <f t="shared" si="5"/>
        <v>0.02</v>
      </c>
      <c r="W160" s="323">
        <v>0.38500000000000001</v>
      </c>
      <c r="X160" s="300" t="s">
        <v>26</v>
      </c>
      <c r="Y160" s="300" t="s">
        <v>1248</v>
      </c>
      <c r="Z160" s="300" t="s">
        <v>1251</v>
      </c>
      <c r="AA160" s="300" t="s">
        <v>1251</v>
      </c>
      <c r="AB160" s="300" t="s">
        <v>1556</v>
      </c>
      <c r="AC160" s="300"/>
      <c r="AD160" s="328" t="s">
        <v>1624</v>
      </c>
      <c r="AE160" s="328">
        <v>0</v>
      </c>
      <c r="AF160" s="328">
        <v>0</v>
      </c>
      <c r="AG160" s="29">
        <v>44</v>
      </c>
      <c r="AH160" s="329" t="s">
        <v>25</v>
      </c>
      <c r="AI160" s="330">
        <v>1</v>
      </c>
      <c r="AJ160" s="309">
        <v>1</v>
      </c>
      <c r="AK160" s="302"/>
      <c r="AL160" s="303"/>
      <c r="AM160" s="305"/>
      <c r="AN160" s="301"/>
      <c r="AO160" s="305"/>
      <c r="AP160" s="301"/>
      <c r="AQ160" s="301"/>
      <c r="AR160" s="332"/>
    </row>
    <row r="161" spans="1:44">
      <c r="A161" s="299">
        <v>320136.11</v>
      </c>
      <c r="B161" s="300">
        <v>4271259100</v>
      </c>
      <c r="C161" s="300" t="s">
        <v>1935</v>
      </c>
      <c r="D161" s="300" t="s">
        <v>1936</v>
      </c>
      <c r="E161" s="300">
        <v>940</v>
      </c>
      <c r="F161" s="322">
        <v>494580.71</v>
      </c>
      <c r="G161" s="323">
        <v>1.79</v>
      </c>
      <c r="H161" s="324">
        <f t="shared" si="4"/>
        <v>1.7899999999999999E-2</v>
      </c>
      <c r="I161" s="325">
        <v>44804</v>
      </c>
      <c r="J161" s="300">
        <v>5</v>
      </c>
      <c r="K161" s="325">
        <v>53950</v>
      </c>
      <c r="L161" s="300">
        <v>300</v>
      </c>
      <c r="M161" s="300">
        <v>296</v>
      </c>
      <c r="N161" s="326">
        <v>44925</v>
      </c>
      <c r="O161" s="323">
        <v>3.3</v>
      </c>
      <c r="P161" s="322">
        <v>29214.882539699996</v>
      </c>
      <c r="Q161" s="300" t="s">
        <v>1476</v>
      </c>
      <c r="R161" s="300" t="s">
        <v>2000</v>
      </c>
      <c r="S161" s="300" t="s">
        <v>2001</v>
      </c>
      <c r="T161" s="300">
        <v>722515</v>
      </c>
      <c r="U161" s="323">
        <v>2.75</v>
      </c>
      <c r="V161" s="327">
        <f t="shared" si="5"/>
        <v>2.75E-2</v>
      </c>
      <c r="W161" s="323">
        <v>1.135</v>
      </c>
      <c r="X161" s="300" t="s">
        <v>26</v>
      </c>
      <c r="Y161" s="300" t="s">
        <v>1248</v>
      </c>
      <c r="Z161" s="300" t="s">
        <v>1251</v>
      </c>
      <c r="AA161" s="300" t="s">
        <v>1251</v>
      </c>
      <c r="AB161" s="300" t="s">
        <v>1556</v>
      </c>
      <c r="AC161" s="300"/>
      <c r="AD161" s="328" t="s">
        <v>1591</v>
      </c>
      <c r="AE161" s="328">
        <v>0</v>
      </c>
      <c r="AF161" s="328">
        <v>0</v>
      </c>
      <c r="AG161" s="29">
        <v>72</v>
      </c>
      <c r="AH161" s="329" t="s">
        <v>131</v>
      </c>
      <c r="AI161" s="330">
        <v>1</v>
      </c>
      <c r="AJ161" s="309">
        <v>1</v>
      </c>
      <c r="AK161" s="302"/>
      <c r="AL161" s="303"/>
      <c r="AM161" s="305"/>
      <c r="AN161" s="301"/>
      <c r="AO161" s="305"/>
      <c r="AP161" s="301"/>
      <c r="AQ161" s="301"/>
      <c r="AR161" s="332"/>
    </row>
    <row r="162" spans="1:44">
      <c r="A162" s="299">
        <v>320134.11</v>
      </c>
      <c r="B162" s="300">
        <v>4244429108</v>
      </c>
      <c r="C162" s="300" t="s">
        <v>1935</v>
      </c>
      <c r="D162" s="300" t="s">
        <v>1936</v>
      </c>
      <c r="E162" s="300">
        <v>940</v>
      </c>
      <c r="F162" s="322">
        <v>313234.46000000002</v>
      </c>
      <c r="G162" s="323">
        <v>1.79</v>
      </c>
      <c r="H162" s="324">
        <f t="shared" si="4"/>
        <v>1.7899999999999999E-2</v>
      </c>
      <c r="I162" s="325">
        <v>44804</v>
      </c>
      <c r="J162" s="300">
        <v>5</v>
      </c>
      <c r="K162" s="325">
        <v>53950</v>
      </c>
      <c r="L162" s="300">
        <v>300</v>
      </c>
      <c r="M162" s="300">
        <v>296</v>
      </c>
      <c r="N162" s="326">
        <v>44925</v>
      </c>
      <c r="O162" s="323">
        <v>3.3</v>
      </c>
      <c r="P162" s="322">
        <v>18502.759552199997</v>
      </c>
      <c r="Q162" s="300" t="s">
        <v>1477</v>
      </c>
      <c r="R162" s="300" t="s">
        <v>2002</v>
      </c>
      <c r="S162" s="300" t="s">
        <v>2003</v>
      </c>
      <c r="T162" s="300">
        <v>611430</v>
      </c>
      <c r="U162" s="323">
        <v>2.75</v>
      </c>
      <c r="V162" s="327">
        <f t="shared" si="5"/>
        <v>2.75E-2</v>
      </c>
      <c r="W162" s="323">
        <v>1.135</v>
      </c>
      <c r="X162" s="300" t="s">
        <v>26</v>
      </c>
      <c r="Y162" s="300" t="s">
        <v>1248</v>
      </c>
      <c r="Z162" s="300" t="s">
        <v>1251</v>
      </c>
      <c r="AA162" s="300" t="s">
        <v>1251</v>
      </c>
      <c r="AB162" s="300" t="s">
        <v>1556</v>
      </c>
      <c r="AC162" s="300"/>
      <c r="AD162" s="328" t="s">
        <v>1591</v>
      </c>
      <c r="AE162" s="328">
        <v>0</v>
      </c>
      <c r="AF162" s="328">
        <v>0</v>
      </c>
      <c r="AG162" s="29">
        <v>61</v>
      </c>
      <c r="AH162" s="329" t="s">
        <v>1300</v>
      </c>
      <c r="AI162" s="330">
        <v>1</v>
      </c>
      <c r="AJ162" s="309">
        <v>1</v>
      </c>
      <c r="AK162" s="302"/>
      <c r="AL162" s="303"/>
      <c r="AM162" s="305"/>
      <c r="AN162" s="301"/>
      <c r="AO162" s="305"/>
      <c r="AP162" s="301"/>
      <c r="AQ162" s="301"/>
      <c r="AR162" s="332"/>
    </row>
    <row r="163" spans="1:44">
      <c r="A163" s="299">
        <v>319985.11</v>
      </c>
      <c r="B163" s="300">
        <v>4085119100</v>
      </c>
      <c r="C163" s="300" t="s">
        <v>1935</v>
      </c>
      <c r="D163" s="300" t="s">
        <v>1936</v>
      </c>
      <c r="E163" s="300">
        <v>940</v>
      </c>
      <c r="F163" s="322">
        <v>544210.89</v>
      </c>
      <c r="G163" s="323">
        <v>1.23</v>
      </c>
      <c r="H163" s="324">
        <f t="shared" si="4"/>
        <v>1.23E-2</v>
      </c>
      <c r="I163" s="325">
        <v>44764</v>
      </c>
      <c r="J163" s="300">
        <v>6</v>
      </c>
      <c r="K163" s="325">
        <v>53919</v>
      </c>
      <c r="L163" s="300">
        <v>300</v>
      </c>
      <c r="M163" s="300">
        <v>295</v>
      </c>
      <c r="N163" s="326">
        <v>44910</v>
      </c>
      <c r="O163" s="323">
        <v>3.3</v>
      </c>
      <c r="P163" s="322">
        <v>22089.520025099999</v>
      </c>
      <c r="Q163" s="300" t="s">
        <v>1478</v>
      </c>
      <c r="R163" s="300" t="s">
        <v>2004</v>
      </c>
      <c r="S163" s="300" t="s">
        <v>2005</v>
      </c>
      <c r="T163" s="300">
        <v>721310</v>
      </c>
      <c r="U163" s="323">
        <v>2.25</v>
      </c>
      <c r="V163" s="327">
        <f t="shared" si="5"/>
        <v>2.2499999999999999E-2</v>
      </c>
      <c r="W163" s="323">
        <v>0.57499999999999996</v>
      </c>
      <c r="X163" s="300" t="s">
        <v>26</v>
      </c>
      <c r="Y163" s="300" t="s">
        <v>1248</v>
      </c>
      <c r="Z163" s="300" t="s">
        <v>1251</v>
      </c>
      <c r="AA163" s="300" t="s">
        <v>1251</v>
      </c>
      <c r="AB163" s="300" t="s">
        <v>1556</v>
      </c>
      <c r="AC163" s="300"/>
      <c r="AD163" s="328" t="s">
        <v>1625</v>
      </c>
      <c r="AE163" s="328">
        <v>0</v>
      </c>
      <c r="AF163" s="328">
        <v>0</v>
      </c>
      <c r="AG163" s="29">
        <v>72</v>
      </c>
      <c r="AH163" s="329" t="s">
        <v>49</v>
      </c>
      <c r="AI163" s="330">
        <v>1</v>
      </c>
      <c r="AJ163" s="309">
        <v>1</v>
      </c>
      <c r="AK163" s="302"/>
      <c r="AL163" s="303"/>
      <c r="AM163" s="305"/>
      <c r="AN163" s="301"/>
      <c r="AO163" s="305"/>
      <c r="AP163" s="301"/>
      <c r="AQ163" s="301"/>
      <c r="AR163" s="332"/>
    </row>
    <row r="164" spans="1:44">
      <c r="A164" s="299">
        <v>319856.11</v>
      </c>
      <c r="B164" s="300">
        <v>3898229101</v>
      </c>
      <c r="C164" s="300" t="s">
        <v>1935</v>
      </c>
      <c r="D164" s="300" t="s">
        <v>1936</v>
      </c>
      <c r="E164" s="300">
        <v>940</v>
      </c>
      <c r="F164" s="322">
        <v>1894320.14</v>
      </c>
      <c r="G164" s="323">
        <v>1.23</v>
      </c>
      <c r="H164" s="324">
        <f t="shared" si="4"/>
        <v>1.23E-2</v>
      </c>
      <c r="I164" s="325">
        <v>44685</v>
      </c>
      <c r="J164" s="300">
        <v>8</v>
      </c>
      <c r="K164" s="325">
        <v>53858</v>
      </c>
      <c r="L164" s="300">
        <v>300</v>
      </c>
      <c r="M164" s="300">
        <v>293</v>
      </c>
      <c r="N164" s="326">
        <v>44907</v>
      </c>
      <c r="O164" s="323">
        <v>3.3</v>
      </c>
      <c r="P164" s="322">
        <v>76890.454482599991</v>
      </c>
      <c r="Q164" s="300" t="s">
        <v>1479</v>
      </c>
      <c r="R164" s="300" t="s">
        <v>2006</v>
      </c>
      <c r="S164" s="300" t="s">
        <v>2007</v>
      </c>
      <c r="T164" s="300">
        <v>445120</v>
      </c>
      <c r="U164" s="323">
        <v>2.25</v>
      </c>
      <c r="V164" s="327">
        <f t="shared" si="5"/>
        <v>2.2499999999999999E-2</v>
      </c>
      <c r="W164" s="323">
        <v>0.57499999999999996</v>
      </c>
      <c r="X164" s="300" t="s">
        <v>26</v>
      </c>
      <c r="Y164" s="300" t="s">
        <v>1248</v>
      </c>
      <c r="Z164" s="300" t="s">
        <v>1251</v>
      </c>
      <c r="AA164" s="300" t="s">
        <v>1251</v>
      </c>
      <c r="AB164" s="300" t="s">
        <v>1</v>
      </c>
      <c r="AC164" s="300"/>
      <c r="AD164" s="328" t="s">
        <v>1626</v>
      </c>
      <c r="AE164" s="328">
        <v>0</v>
      </c>
      <c r="AF164" s="328">
        <v>0</v>
      </c>
      <c r="AG164" s="29">
        <v>44</v>
      </c>
      <c r="AH164" s="329" t="s">
        <v>47</v>
      </c>
      <c r="AI164" s="330">
        <v>1</v>
      </c>
      <c r="AJ164" s="309">
        <v>1</v>
      </c>
      <c r="AK164" s="302"/>
      <c r="AL164" s="303"/>
      <c r="AM164" s="305"/>
      <c r="AN164" s="301"/>
      <c r="AO164" s="305"/>
      <c r="AP164" s="301"/>
      <c r="AQ164" s="301"/>
      <c r="AR164" s="332"/>
    </row>
    <row r="165" spans="1:44">
      <c r="A165" s="299">
        <v>320077.11</v>
      </c>
      <c r="B165" s="300">
        <v>3694139107</v>
      </c>
      <c r="C165" s="300" t="s">
        <v>1935</v>
      </c>
      <c r="D165" s="300" t="s">
        <v>1936</v>
      </c>
      <c r="E165" s="300">
        <v>940</v>
      </c>
      <c r="F165" s="322">
        <v>1656698.13</v>
      </c>
      <c r="G165" s="323">
        <v>1.23</v>
      </c>
      <c r="H165" s="324">
        <f t="shared" si="4"/>
        <v>1.23E-2</v>
      </c>
      <c r="I165" s="325">
        <v>44651</v>
      </c>
      <c r="J165" s="300">
        <v>10</v>
      </c>
      <c r="K165" s="325">
        <v>53797</v>
      </c>
      <c r="L165" s="300">
        <v>300</v>
      </c>
      <c r="M165" s="300">
        <v>291</v>
      </c>
      <c r="N165" s="326">
        <v>44917</v>
      </c>
      <c r="O165" s="323">
        <v>3.3</v>
      </c>
      <c r="P165" s="322">
        <v>67245.377096699987</v>
      </c>
      <c r="Q165" s="300" t="s">
        <v>1480</v>
      </c>
      <c r="R165" s="300" t="s">
        <v>2008</v>
      </c>
      <c r="S165" s="300" t="s">
        <v>2009</v>
      </c>
      <c r="T165" s="300">
        <v>811192</v>
      </c>
      <c r="U165" s="323">
        <v>2.25</v>
      </c>
      <c r="V165" s="327">
        <f t="shared" si="5"/>
        <v>2.2499999999999999E-2</v>
      </c>
      <c r="W165" s="323">
        <v>0.57499999999999996</v>
      </c>
      <c r="X165" s="300" t="s">
        <v>26</v>
      </c>
      <c r="Y165" s="300" t="s">
        <v>1248</v>
      </c>
      <c r="Z165" s="300" t="s">
        <v>1251</v>
      </c>
      <c r="AA165" s="300" t="s">
        <v>1251</v>
      </c>
      <c r="AB165" s="300" t="s">
        <v>1556</v>
      </c>
      <c r="AC165" s="300"/>
      <c r="AD165" s="328" t="s">
        <v>1594</v>
      </c>
      <c r="AE165" s="328">
        <v>0</v>
      </c>
      <c r="AF165" s="328">
        <v>0</v>
      </c>
      <c r="AG165" s="29">
        <v>81</v>
      </c>
      <c r="AH165" s="329" t="s">
        <v>74</v>
      </c>
      <c r="AI165" s="330">
        <v>1</v>
      </c>
      <c r="AJ165" s="309">
        <v>1</v>
      </c>
      <c r="AK165" s="302"/>
      <c r="AL165" s="303"/>
      <c r="AM165" s="305"/>
      <c r="AN165" s="301"/>
      <c r="AO165" s="305"/>
      <c r="AP165" s="301"/>
      <c r="AQ165" s="301"/>
      <c r="AR165" s="332"/>
    </row>
    <row r="166" spans="1:44">
      <c r="A166" s="299">
        <v>320027.11</v>
      </c>
      <c r="B166" s="300">
        <v>2951319110</v>
      </c>
      <c r="C166" s="300" t="s">
        <v>1935</v>
      </c>
      <c r="D166" s="300" t="s">
        <v>1936</v>
      </c>
      <c r="E166" s="300">
        <v>940</v>
      </c>
      <c r="F166" s="322">
        <v>2477250</v>
      </c>
      <c r="G166" s="323">
        <v>1.48</v>
      </c>
      <c r="H166" s="324">
        <f t="shared" si="4"/>
        <v>1.4800000000000001E-2</v>
      </c>
      <c r="I166" s="325">
        <v>44602</v>
      </c>
      <c r="J166" s="300">
        <v>11</v>
      </c>
      <c r="K166" s="325">
        <v>53766</v>
      </c>
      <c r="L166" s="300">
        <v>300</v>
      </c>
      <c r="M166" s="300">
        <v>290</v>
      </c>
      <c r="N166" s="326">
        <v>44911</v>
      </c>
      <c r="O166" s="323">
        <v>3.3</v>
      </c>
      <c r="P166" s="322">
        <v>120988.89</v>
      </c>
      <c r="Q166" s="300" t="s">
        <v>1481</v>
      </c>
      <c r="R166" s="300" t="s">
        <v>2010</v>
      </c>
      <c r="S166" s="300" t="s">
        <v>2011</v>
      </c>
      <c r="T166" s="300">
        <v>811192</v>
      </c>
      <c r="U166" s="323">
        <v>2.5</v>
      </c>
      <c r="V166" s="327">
        <f t="shared" si="5"/>
        <v>2.5000000000000001E-2</v>
      </c>
      <c r="W166" s="323">
        <v>0.82499999999999996</v>
      </c>
      <c r="X166" s="300" t="s">
        <v>26</v>
      </c>
      <c r="Y166" s="300" t="s">
        <v>1248</v>
      </c>
      <c r="Z166" s="300" t="s">
        <v>1251</v>
      </c>
      <c r="AA166" s="300" t="s">
        <v>1251</v>
      </c>
      <c r="AB166" s="300" t="s">
        <v>1</v>
      </c>
      <c r="AC166" s="300"/>
      <c r="AD166" s="328" t="s">
        <v>1627</v>
      </c>
      <c r="AE166" s="328">
        <v>0</v>
      </c>
      <c r="AF166" s="328">
        <v>0</v>
      </c>
      <c r="AG166" s="29">
        <v>81</v>
      </c>
      <c r="AH166" s="329" t="s">
        <v>52</v>
      </c>
      <c r="AI166" s="330">
        <v>1</v>
      </c>
      <c r="AJ166" s="309">
        <v>1</v>
      </c>
      <c r="AK166" s="302"/>
      <c r="AL166" s="303"/>
      <c r="AM166" s="305"/>
      <c r="AN166" s="301"/>
      <c r="AO166" s="305"/>
      <c r="AP166" s="301"/>
      <c r="AQ166" s="301"/>
      <c r="AR166" s="332"/>
    </row>
    <row r="167" spans="1:44">
      <c r="A167" s="299">
        <v>320142.11</v>
      </c>
      <c r="B167" s="300">
        <v>3180139110</v>
      </c>
      <c r="C167" s="300" t="s">
        <v>1935</v>
      </c>
      <c r="D167" s="300" t="s">
        <v>1936</v>
      </c>
      <c r="E167" s="300">
        <v>940</v>
      </c>
      <c r="F167" s="322">
        <v>1924322.75</v>
      </c>
      <c r="G167" s="323">
        <v>0.98</v>
      </c>
      <c r="H167" s="324">
        <f t="shared" si="4"/>
        <v>9.7999999999999997E-3</v>
      </c>
      <c r="I167" s="325">
        <v>44589</v>
      </c>
      <c r="J167" s="300">
        <v>12</v>
      </c>
      <c r="K167" s="325">
        <v>53738</v>
      </c>
      <c r="L167" s="300">
        <v>300</v>
      </c>
      <c r="M167" s="300">
        <v>289</v>
      </c>
      <c r="N167" s="326">
        <v>44925</v>
      </c>
      <c r="O167" s="323">
        <v>3.3</v>
      </c>
      <c r="P167" s="322">
        <v>62232.597734999988</v>
      </c>
      <c r="Q167" s="300" t="s">
        <v>1482</v>
      </c>
      <c r="R167" s="300" t="s">
        <v>2012</v>
      </c>
      <c r="S167" s="300" t="s">
        <v>2013</v>
      </c>
      <c r="T167" s="300">
        <v>721110</v>
      </c>
      <c r="U167" s="323">
        <v>2</v>
      </c>
      <c r="V167" s="327">
        <f t="shared" si="5"/>
        <v>0.02</v>
      </c>
      <c r="W167" s="323">
        <v>0.32500000000000001</v>
      </c>
      <c r="X167" s="300" t="s">
        <v>26</v>
      </c>
      <c r="Y167" s="300" t="s">
        <v>1248</v>
      </c>
      <c r="Z167" s="300" t="s">
        <v>1251</v>
      </c>
      <c r="AA167" s="300" t="s">
        <v>1251</v>
      </c>
      <c r="AB167" s="300" t="s">
        <v>1556</v>
      </c>
      <c r="AC167" s="300"/>
      <c r="AD167" s="328" t="s">
        <v>1579</v>
      </c>
      <c r="AE167" s="328">
        <v>0</v>
      </c>
      <c r="AF167" s="328">
        <v>0</v>
      </c>
      <c r="AG167" s="29">
        <v>72</v>
      </c>
      <c r="AH167" s="329" t="s">
        <v>89</v>
      </c>
      <c r="AI167" s="330">
        <v>1</v>
      </c>
      <c r="AJ167" s="309">
        <v>1</v>
      </c>
      <c r="AK167" s="302"/>
      <c r="AL167" s="303"/>
      <c r="AM167" s="305"/>
      <c r="AN167" s="301"/>
      <c r="AO167" s="305"/>
      <c r="AP167" s="301"/>
      <c r="AQ167" s="301"/>
      <c r="AR167" s="332"/>
    </row>
    <row r="168" spans="1:44">
      <c r="A168" s="299">
        <v>319420.11</v>
      </c>
      <c r="B168" s="300">
        <v>1407759104</v>
      </c>
      <c r="C168" s="300" t="s">
        <v>1935</v>
      </c>
      <c r="D168" s="300" t="s">
        <v>1936</v>
      </c>
      <c r="E168" s="300">
        <v>941</v>
      </c>
      <c r="F168" s="322">
        <v>311228.17</v>
      </c>
      <c r="G168" s="323">
        <v>3.7050000000000001</v>
      </c>
      <c r="H168" s="324">
        <f t="shared" si="4"/>
        <v>3.705E-2</v>
      </c>
      <c r="I168" s="325">
        <v>44466</v>
      </c>
      <c r="J168" s="300">
        <v>16</v>
      </c>
      <c r="K168" s="325">
        <v>50175</v>
      </c>
      <c r="L168" s="300">
        <v>187</v>
      </c>
      <c r="M168" s="300">
        <v>172</v>
      </c>
      <c r="N168" s="326">
        <v>44900</v>
      </c>
      <c r="O168" s="323">
        <v>3.3</v>
      </c>
      <c r="P168" s="322">
        <v>38052.312205049995</v>
      </c>
      <c r="Q168" s="300" t="s">
        <v>1483</v>
      </c>
      <c r="R168" s="300" t="s">
        <v>2014</v>
      </c>
      <c r="S168" s="300" t="s">
        <v>2015</v>
      </c>
      <c r="T168" s="300">
        <v>812210</v>
      </c>
      <c r="U168" s="323">
        <v>2.5</v>
      </c>
      <c r="V168" s="327">
        <f t="shared" si="5"/>
        <v>2.5000000000000001E-2</v>
      </c>
      <c r="W168" s="323">
        <v>1.375</v>
      </c>
      <c r="X168" s="300" t="s">
        <v>26</v>
      </c>
      <c r="Y168" s="300" t="s">
        <v>1248</v>
      </c>
      <c r="Z168" s="300" t="s">
        <v>1251</v>
      </c>
      <c r="AA168" s="300" t="s">
        <v>1251</v>
      </c>
      <c r="AB168" s="300" t="s">
        <v>1</v>
      </c>
      <c r="AC168" s="300"/>
      <c r="AD168" s="328" t="s">
        <v>1628</v>
      </c>
      <c r="AE168" s="328">
        <v>0</v>
      </c>
      <c r="AF168" s="328">
        <v>0</v>
      </c>
      <c r="AG168" s="29">
        <v>81</v>
      </c>
      <c r="AH168" s="329" t="s">
        <v>52</v>
      </c>
      <c r="AI168" s="330">
        <v>1</v>
      </c>
      <c r="AJ168" s="309">
        <v>1</v>
      </c>
      <c r="AK168" s="302"/>
      <c r="AL168" s="303"/>
      <c r="AM168" s="305"/>
      <c r="AN168" s="301"/>
      <c r="AO168" s="305"/>
      <c r="AP168" s="301"/>
      <c r="AQ168" s="301"/>
      <c r="AR168" s="332"/>
    </row>
    <row r="169" spans="1:44">
      <c r="A169" s="299">
        <v>320180.11</v>
      </c>
      <c r="B169" s="300">
        <v>3303719108</v>
      </c>
      <c r="C169" s="300" t="s">
        <v>1935</v>
      </c>
      <c r="D169" s="300" t="s">
        <v>1936</v>
      </c>
      <c r="E169" s="300">
        <v>941</v>
      </c>
      <c r="F169" s="322">
        <v>260994.49</v>
      </c>
      <c r="G169" s="323">
        <v>3.9550000000000001</v>
      </c>
      <c r="H169" s="324">
        <f t="shared" si="4"/>
        <v>3.9550000000000002E-2</v>
      </c>
      <c r="I169" s="325">
        <v>44662</v>
      </c>
      <c r="J169" s="300">
        <v>9</v>
      </c>
      <c r="K169" s="325">
        <v>50359</v>
      </c>
      <c r="L169" s="300">
        <v>186</v>
      </c>
      <c r="M169" s="300">
        <v>178</v>
      </c>
      <c r="N169" s="326" t="s">
        <v>1251</v>
      </c>
      <c r="O169" s="323">
        <v>3.3</v>
      </c>
      <c r="P169" s="322">
        <v>34063.695862349996</v>
      </c>
      <c r="Q169" s="300" t="s">
        <v>1484</v>
      </c>
      <c r="R169" s="300" t="s">
        <v>1251</v>
      </c>
      <c r="S169" s="300" t="s">
        <v>1251</v>
      </c>
      <c r="T169" s="300">
        <v>446110</v>
      </c>
      <c r="U169" s="323">
        <v>2.75</v>
      </c>
      <c r="V169" s="327">
        <f t="shared" si="5"/>
        <v>2.75E-2</v>
      </c>
      <c r="W169" s="323">
        <v>1.625</v>
      </c>
      <c r="X169" s="300" t="s">
        <v>26</v>
      </c>
      <c r="Y169" s="300" t="s">
        <v>1248</v>
      </c>
      <c r="Z169" s="300" t="s">
        <v>1251</v>
      </c>
      <c r="AA169" s="300" t="s">
        <v>1251</v>
      </c>
      <c r="AB169" s="300" t="s">
        <v>1</v>
      </c>
      <c r="AC169" s="300"/>
      <c r="AD169" s="328" t="s">
        <v>1629</v>
      </c>
      <c r="AE169" s="328">
        <v>0</v>
      </c>
      <c r="AF169" s="328">
        <v>0</v>
      </c>
      <c r="AG169" s="29">
        <v>44</v>
      </c>
      <c r="AH169" s="329" t="s">
        <v>1553</v>
      </c>
      <c r="AI169" s="330">
        <v>1</v>
      </c>
      <c r="AJ169" s="309">
        <v>1</v>
      </c>
      <c r="AK169" s="302"/>
      <c r="AL169" s="303"/>
      <c r="AM169" s="305"/>
      <c r="AN169" s="301"/>
      <c r="AO169" s="305"/>
      <c r="AP169" s="301"/>
      <c r="AQ169" s="301"/>
      <c r="AR169" s="332"/>
    </row>
    <row r="170" spans="1:44">
      <c r="A170" s="299">
        <v>319226.11</v>
      </c>
      <c r="B170" s="300">
        <v>4222579106</v>
      </c>
      <c r="C170" s="300" t="s">
        <v>1935</v>
      </c>
      <c r="D170" s="300" t="s">
        <v>1936</v>
      </c>
      <c r="E170" s="300">
        <v>941</v>
      </c>
      <c r="F170" s="322">
        <v>1272659.95</v>
      </c>
      <c r="G170" s="323">
        <v>2.4049999999999998</v>
      </c>
      <c r="H170" s="324">
        <f t="shared" si="4"/>
        <v>2.4049999999999998E-2</v>
      </c>
      <c r="I170" s="325">
        <v>44782</v>
      </c>
      <c r="J170" s="300">
        <v>5</v>
      </c>
      <c r="K170" s="325">
        <v>50328</v>
      </c>
      <c r="L170" s="300">
        <v>181</v>
      </c>
      <c r="M170" s="300">
        <v>177</v>
      </c>
      <c r="N170" s="326">
        <v>44904</v>
      </c>
      <c r="O170" s="323">
        <v>3.3</v>
      </c>
      <c r="P170" s="322">
        <v>101004.65693175</v>
      </c>
      <c r="Q170" s="300" t="s">
        <v>1485</v>
      </c>
      <c r="R170" s="300" t="s">
        <v>2016</v>
      </c>
      <c r="S170" s="300" t="s">
        <v>2017</v>
      </c>
      <c r="T170" s="300">
        <v>444190</v>
      </c>
      <c r="U170" s="323">
        <v>1.75</v>
      </c>
      <c r="V170" s="327">
        <f t="shared" si="5"/>
        <v>1.7500000000000002E-2</v>
      </c>
      <c r="W170" s="323">
        <v>7.4999999999999997E-2</v>
      </c>
      <c r="X170" s="300" t="s">
        <v>26</v>
      </c>
      <c r="Y170" s="300" t="s">
        <v>1248</v>
      </c>
      <c r="Z170" s="300" t="s">
        <v>1251</v>
      </c>
      <c r="AA170" s="300" t="s">
        <v>1251</v>
      </c>
      <c r="AB170" s="300" t="s">
        <v>1556</v>
      </c>
      <c r="AC170" s="300"/>
      <c r="AD170" s="328" t="s">
        <v>1630</v>
      </c>
      <c r="AE170" s="328">
        <v>0</v>
      </c>
      <c r="AF170" s="328">
        <v>0</v>
      </c>
      <c r="AG170" s="29">
        <v>44</v>
      </c>
      <c r="AH170" s="329" t="s">
        <v>103</v>
      </c>
      <c r="AI170" s="330">
        <v>1</v>
      </c>
      <c r="AJ170" s="309">
        <v>1</v>
      </c>
      <c r="AK170" s="302"/>
      <c r="AL170" s="303"/>
      <c r="AM170" s="305"/>
      <c r="AN170" s="301"/>
      <c r="AO170" s="305"/>
      <c r="AP170" s="301"/>
      <c r="AQ170" s="301"/>
      <c r="AR170" s="332"/>
    </row>
    <row r="171" spans="1:44">
      <c r="A171" s="299">
        <v>320094.11</v>
      </c>
      <c r="B171" s="300">
        <v>4374939106</v>
      </c>
      <c r="C171" s="300" t="s">
        <v>1935</v>
      </c>
      <c r="D171" s="300" t="s">
        <v>1936</v>
      </c>
      <c r="E171" s="300">
        <v>941</v>
      </c>
      <c r="F171" s="322">
        <v>2362500</v>
      </c>
      <c r="G171" s="323">
        <v>3.1549999999999998</v>
      </c>
      <c r="H171" s="324">
        <f t="shared" si="4"/>
        <v>3.1549999999999995E-2</v>
      </c>
      <c r="I171" s="325">
        <v>44903</v>
      </c>
      <c r="J171" s="300">
        <v>1</v>
      </c>
      <c r="K171" s="325">
        <v>50420</v>
      </c>
      <c r="L171" s="300">
        <v>180</v>
      </c>
      <c r="M171" s="300">
        <v>180</v>
      </c>
      <c r="N171" s="326">
        <v>44916</v>
      </c>
      <c r="O171" s="323">
        <v>3.3</v>
      </c>
      <c r="P171" s="322">
        <v>245971.68749999997</v>
      </c>
      <c r="Q171" s="300" t="s">
        <v>1486</v>
      </c>
      <c r="R171" s="300" t="s">
        <v>2018</v>
      </c>
      <c r="S171" s="300" t="s">
        <v>2019</v>
      </c>
      <c r="T171" s="300">
        <v>562111</v>
      </c>
      <c r="U171" s="323">
        <v>2.5</v>
      </c>
      <c r="V171" s="327">
        <f t="shared" si="5"/>
        <v>2.5000000000000001E-2</v>
      </c>
      <c r="W171" s="323">
        <v>0.82499999999999996</v>
      </c>
      <c r="X171" s="300" t="s">
        <v>26</v>
      </c>
      <c r="Y171" s="300" t="s">
        <v>1248</v>
      </c>
      <c r="Z171" s="300" t="s">
        <v>1251</v>
      </c>
      <c r="AA171" s="300" t="s">
        <v>1251</v>
      </c>
      <c r="AB171" s="300" t="s">
        <v>1556</v>
      </c>
      <c r="AC171" s="300"/>
      <c r="AD171" s="328" t="s">
        <v>1585</v>
      </c>
      <c r="AE171" s="328">
        <v>0</v>
      </c>
      <c r="AF171" s="328">
        <v>0</v>
      </c>
      <c r="AG171" s="29">
        <v>56</v>
      </c>
      <c r="AH171" s="329" t="s">
        <v>52</v>
      </c>
      <c r="AI171" s="330">
        <v>1</v>
      </c>
      <c r="AJ171" s="309">
        <v>1</v>
      </c>
      <c r="AK171" s="302"/>
      <c r="AL171" s="303"/>
      <c r="AM171" s="305"/>
      <c r="AN171" s="301"/>
      <c r="AO171" s="305"/>
      <c r="AP171" s="301"/>
      <c r="AQ171" s="301"/>
      <c r="AR171" s="332"/>
    </row>
    <row r="172" spans="1:44">
      <c r="A172" s="299">
        <v>320026.11</v>
      </c>
      <c r="B172" s="300">
        <v>4507719104</v>
      </c>
      <c r="C172" s="300" t="s">
        <v>1935</v>
      </c>
      <c r="D172" s="300" t="s">
        <v>1936</v>
      </c>
      <c r="E172" s="300">
        <v>941</v>
      </c>
      <c r="F172" s="322">
        <v>1055550</v>
      </c>
      <c r="G172" s="323">
        <v>3.4049999999999998</v>
      </c>
      <c r="H172" s="324">
        <f t="shared" si="4"/>
        <v>3.4049999999999997E-2</v>
      </c>
      <c r="I172" s="325">
        <v>44894</v>
      </c>
      <c r="J172" s="300">
        <v>2</v>
      </c>
      <c r="K172" s="325">
        <v>50389</v>
      </c>
      <c r="L172" s="300">
        <v>180</v>
      </c>
      <c r="M172" s="300">
        <v>179</v>
      </c>
      <c r="N172" s="326">
        <v>44910</v>
      </c>
      <c r="O172" s="323">
        <v>3.3</v>
      </c>
      <c r="P172" s="322">
        <v>118606.87574999999</v>
      </c>
      <c r="Q172" s="300" t="s">
        <v>1487</v>
      </c>
      <c r="R172" s="300" t="s">
        <v>2020</v>
      </c>
      <c r="S172" s="300" t="s">
        <v>2021</v>
      </c>
      <c r="T172" s="300">
        <v>332312</v>
      </c>
      <c r="U172" s="323">
        <v>2.75</v>
      </c>
      <c r="V172" s="327">
        <f t="shared" si="5"/>
        <v>2.75E-2</v>
      </c>
      <c r="W172" s="323">
        <v>1.075</v>
      </c>
      <c r="X172" s="300" t="s">
        <v>26</v>
      </c>
      <c r="Y172" s="300" t="s">
        <v>1248</v>
      </c>
      <c r="Z172" s="300" t="s">
        <v>1251</v>
      </c>
      <c r="AA172" s="300" t="s">
        <v>1251</v>
      </c>
      <c r="AB172" s="300" t="s">
        <v>1556</v>
      </c>
      <c r="AC172" s="300"/>
      <c r="AD172" s="328" t="s">
        <v>1562</v>
      </c>
      <c r="AE172" s="328">
        <v>0</v>
      </c>
      <c r="AF172" s="328">
        <v>0</v>
      </c>
      <c r="AG172" s="29">
        <v>33</v>
      </c>
      <c r="AH172" s="329" t="s">
        <v>1552</v>
      </c>
      <c r="AI172" s="330">
        <v>1</v>
      </c>
      <c r="AJ172" s="309">
        <v>1</v>
      </c>
      <c r="AK172" s="302"/>
      <c r="AL172" s="303"/>
      <c r="AM172" s="305"/>
      <c r="AN172" s="301"/>
      <c r="AO172" s="305"/>
      <c r="AP172" s="301"/>
      <c r="AQ172" s="301"/>
      <c r="AR172" s="332"/>
    </row>
    <row r="173" spans="1:44">
      <c r="A173" s="299">
        <v>319845.11</v>
      </c>
      <c r="B173" s="300">
        <v>4499899100</v>
      </c>
      <c r="C173" s="300" t="s">
        <v>1935</v>
      </c>
      <c r="D173" s="300" t="s">
        <v>1936</v>
      </c>
      <c r="E173" s="300">
        <v>941</v>
      </c>
      <c r="F173" s="322">
        <v>1072275</v>
      </c>
      <c r="G173" s="323">
        <v>3.1549999999999998</v>
      </c>
      <c r="H173" s="324">
        <f t="shared" si="4"/>
        <v>3.1549999999999995E-2</v>
      </c>
      <c r="I173" s="325">
        <v>44879</v>
      </c>
      <c r="J173" s="300">
        <v>2</v>
      </c>
      <c r="K173" s="325">
        <v>50389</v>
      </c>
      <c r="L173" s="300">
        <v>180</v>
      </c>
      <c r="M173" s="300">
        <v>179</v>
      </c>
      <c r="N173" s="326">
        <v>44895</v>
      </c>
      <c r="O173" s="323">
        <v>3.3</v>
      </c>
      <c r="P173" s="322">
        <v>111639.91162499998</v>
      </c>
      <c r="Q173" s="300" t="s">
        <v>1488</v>
      </c>
      <c r="R173" s="300" t="s">
        <v>2022</v>
      </c>
      <c r="S173" s="300" t="s">
        <v>2023</v>
      </c>
      <c r="T173" s="300">
        <v>524210</v>
      </c>
      <c r="U173" s="323">
        <v>2.5</v>
      </c>
      <c r="V173" s="327">
        <f t="shared" si="5"/>
        <v>2.5000000000000001E-2</v>
      </c>
      <c r="W173" s="323">
        <v>0.82499999999999996</v>
      </c>
      <c r="X173" s="300" t="s">
        <v>26</v>
      </c>
      <c r="Y173" s="300" t="s">
        <v>1248</v>
      </c>
      <c r="Z173" s="300" t="s">
        <v>1251</v>
      </c>
      <c r="AA173" s="300" t="s">
        <v>1251</v>
      </c>
      <c r="AB173" s="300" t="s">
        <v>1556</v>
      </c>
      <c r="AC173" s="300"/>
      <c r="AD173" s="328" t="s">
        <v>1562</v>
      </c>
      <c r="AE173" s="328">
        <v>0</v>
      </c>
      <c r="AF173" s="328">
        <v>0</v>
      </c>
      <c r="AG173" s="29">
        <v>52</v>
      </c>
      <c r="AH173" s="329" t="s">
        <v>42</v>
      </c>
      <c r="AI173" s="330">
        <v>1</v>
      </c>
      <c r="AJ173" s="309">
        <v>1</v>
      </c>
      <c r="AK173" s="302"/>
      <c r="AL173" s="303"/>
      <c r="AM173" s="305"/>
      <c r="AN173" s="301"/>
      <c r="AO173" s="305"/>
      <c r="AP173" s="301"/>
      <c r="AQ173" s="301"/>
      <c r="AR173" s="332"/>
    </row>
    <row r="174" spans="1:44">
      <c r="A174" s="299">
        <v>320017.11</v>
      </c>
      <c r="B174" s="300">
        <v>4566769108</v>
      </c>
      <c r="C174" s="300" t="s">
        <v>1935</v>
      </c>
      <c r="D174" s="300" t="s">
        <v>1936</v>
      </c>
      <c r="E174" s="300">
        <v>941</v>
      </c>
      <c r="F174" s="322">
        <v>761250</v>
      </c>
      <c r="G174" s="323">
        <v>3.4049999999999998</v>
      </c>
      <c r="H174" s="324">
        <f t="shared" si="4"/>
        <v>3.4049999999999997E-2</v>
      </c>
      <c r="I174" s="325">
        <v>44895</v>
      </c>
      <c r="J174" s="300">
        <v>2</v>
      </c>
      <c r="K174" s="325">
        <v>50389</v>
      </c>
      <c r="L174" s="300">
        <v>180</v>
      </c>
      <c r="M174" s="300">
        <v>179</v>
      </c>
      <c r="N174" s="326">
        <v>44908</v>
      </c>
      <c r="O174" s="323">
        <v>3.3</v>
      </c>
      <c r="P174" s="322">
        <v>85537.856249999997</v>
      </c>
      <c r="Q174" s="300" t="s">
        <v>1489</v>
      </c>
      <c r="R174" s="300" t="s">
        <v>2024</v>
      </c>
      <c r="S174" s="300" t="s">
        <v>2025</v>
      </c>
      <c r="T174" s="300">
        <v>561730</v>
      </c>
      <c r="U174" s="323">
        <v>2.75</v>
      </c>
      <c r="V174" s="327">
        <f t="shared" si="5"/>
        <v>2.75E-2</v>
      </c>
      <c r="W174" s="323">
        <v>1.075</v>
      </c>
      <c r="X174" s="300" t="s">
        <v>26</v>
      </c>
      <c r="Y174" s="300" t="s">
        <v>1248</v>
      </c>
      <c r="Z174" s="300" t="s">
        <v>1251</v>
      </c>
      <c r="AA174" s="300" t="s">
        <v>1251</v>
      </c>
      <c r="AB174" s="300" t="s">
        <v>1556</v>
      </c>
      <c r="AC174" s="300"/>
      <c r="AD174" s="328" t="s">
        <v>1631</v>
      </c>
      <c r="AE174" s="328">
        <v>0</v>
      </c>
      <c r="AF174" s="328">
        <v>0</v>
      </c>
      <c r="AG174" s="29">
        <v>56</v>
      </c>
      <c r="AH174" s="329" t="s">
        <v>49</v>
      </c>
      <c r="AI174" s="330">
        <v>1</v>
      </c>
      <c r="AJ174" s="309">
        <v>1</v>
      </c>
      <c r="AK174" s="302"/>
      <c r="AL174" s="303"/>
      <c r="AM174" s="305"/>
      <c r="AN174" s="301"/>
      <c r="AO174" s="305"/>
      <c r="AP174" s="301"/>
      <c r="AQ174" s="301"/>
      <c r="AR174" s="332"/>
    </row>
    <row r="175" spans="1:44">
      <c r="A175" s="299">
        <v>320015.11</v>
      </c>
      <c r="B175" s="300">
        <v>4326559105</v>
      </c>
      <c r="C175" s="300" t="s">
        <v>1935</v>
      </c>
      <c r="D175" s="300" t="s">
        <v>1936</v>
      </c>
      <c r="E175" s="300">
        <v>941</v>
      </c>
      <c r="F175" s="322">
        <v>224131.97</v>
      </c>
      <c r="G175" s="323">
        <v>3.7050000000000001</v>
      </c>
      <c r="H175" s="324">
        <f t="shared" si="4"/>
        <v>3.705E-2</v>
      </c>
      <c r="I175" s="325">
        <v>44874</v>
      </c>
      <c r="J175" s="300">
        <v>2</v>
      </c>
      <c r="K175" s="325">
        <v>50389</v>
      </c>
      <c r="L175" s="300">
        <v>180</v>
      </c>
      <c r="M175" s="300">
        <v>179</v>
      </c>
      <c r="N175" s="326">
        <v>44910</v>
      </c>
      <c r="O175" s="323">
        <v>3.3</v>
      </c>
      <c r="P175" s="322">
        <v>27403.495312049996</v>
      </c>
      <c r="Q175" s="300" t="s">
        <v>1490</v>
      </c>
      <c r="R175" s="300" t="s">
        <v>2026</v>
      </c>
      <c r="S175" s="300" t="s">
        <v>2027</v>
      </c>
      <c r="T175" s="300">
        <v>238210</v>
      </c>
      <c r="U175" s="323">
        <v>2.5</v>
      </c>
      <c r="V175" s="327">
        <f t="shared" si="5"/>
        <v>2.5000000000000001E-2</v>
      </c>
      <c r="W175" s="323">
        <v>1.375</v>
      </c>
      <c r="X175" s="300" t="s">
        <v>26</v>
      </c>
      <c r="Y175" s="300" t="s">
        <v>1248</v>
      </c>
      <c r="Z175" s="300" t="s">
        <v>1251</v>
      </c>
      <c r="AA175" s="300" t="s">
        <v>1251</v>
      </c>
      <c r="AB175" s="300" t="s">
        <v>1556</v>
      </c>
      <c r="AC175" s="300"/>
      <c r="AD175" s="328" t="s">
        <v>1632</v>
      </c>
      <c r="AE175" s="328">
        <v>0</v>
      </c>
      <c r="AF175" s="328">
        <v>0</v>
      </c>
      <c r="AG175" s="29">
        <v>23</v>
      </c>
      <c r="AH175" s="329" t="s">
        <v>31</v>
      </c>
      <c r="AI175" s="330">
        <v>1</v>
      </c>
      <c r="AJ175" s="309">
        <v>1</v>
      </c>
      <c r="AK175" s="302"/>
      <c r="AL175" s="303"/>
      <c r="AM175" s="305"/>
      <c r="AN175" s="301"/>
      <c r="AO175" s="305"/>
      <c r="AP175" s="301"/>
      <c r="AQ175" s="301"/>
      <c r="AR175" s="332"/>
    </row>
    <row r="176" spans="1:44">
      <c r="A176" s="299">
        <v>320105.11</v>
      </c>
      <c r="B176" s="300">
        <v>4338559102</v>
      </c>
      <c r="C176" s="300" t="s">
        <v>1935</v>
      </c>
      <c r="D176" s="300" t="s">
        <v>1936</v>
      </c>
      <c r="E176" s="300">
        <v>941</v>
      </c>
      <c r="F176" s="322">
        <v>3202500</v>
      </c>
      <c r="G176" s="323">
        <v>3.4049999999999998</v>
      </c>
      <c r="H176" s="324">
        <f t="shared" si="4"/>
        <v>3.4049999999999997E-2</v>
      </c>
      <c r="I176" s="325">
        <v>44851</v>
      </c>
      <c r="J176" s="300">
        <v>3</v>
      </c>
      <c r="K176" s="325">
        <v>50359</v>
      </c>
      <c r="L176" s="300">
        <v>180</v>
      </c>
      <c r="M176" s="300">
        <v>178</v>
      </c>
      <c r="N176" s="326">
        <v>44923</v>
      </c>
      <c r="O176" s="323">
        <v>3.3</v>
      </c>
      <c r="P176" s="322">
        <v>359848.91249999998</v>
      </c>
      <c r="Q176" s="300" t="s">
        <v>1491</v>
      </c>
      <c r="R176" s="300" t="s">
        <v>2028</v>
      </c>
      <c r="S176" s="300" t="s">
        <v>2029</v>
      </c>
      <c r="T176" s="300">
        <v>444140</v>
      </c>
      <c r="U176" s="323">
        <v>2.75</v>
      </c>
      <c r="V176" s="327">
        <f t="shared" si="5"/>
        <v>2.75E-2</v>
      </c>
      <c r="W176" s="323">
        <v>1.075</v>
      </c>
      <c r="X176" s="300" t="s">
        <v>26</v>
      </c>
      <c r="Y176" s="300" t="s">
        <v>1248</v>
      </c>
      <c r="Z176" s="300" t="s">
        <v>1251</v>
      </c>
      <c r="AA176" s="300" t="s">
        <v>1251</v>
      </c>
      <c r="AB176" s="300" t="s">
        <v>1556</v>
      </c>
      <c r="AC176" s="300"/>
      <c r="AD176" s="328" t="s">
        <v>1591</v>
      </c>
      <c r="AE176" s="328">
        <v>0</v>
      </c>
      <c r="AF176" s="328">
        <v>0</v>
      </c>
      <c r="AG176" s="29">
        <v>44</v>
      </c>
      <c r="AH176" s="329" t="s">
        <v>154</v>
      </c>
      <c r="AI176" s="330">
        <v>1</v>
      </c>
      <c r="AJ176" s="309">
        <v>1</v>
      </c>
      <c r="AK176" s="302"/>
      <c r="AL176" s="303"/>
      <c r="AM176" s="305"/>
      <c r="AN176" s="301"/>
      <c r="AO176" s="305"/>
      <c r="AP176" s="301"/>
      <c r="AQ176" s="301"/>
      <c r="AR176" s="332"/>
    </row>
    <row r="177" spans="1:44">
      <c r="A177" s="299">
        <v>319820.11</v>
      </c>
      <c r="B177" s="300">
        <v>4225709103</v>
      </c>
      <c r="C177" s="300" t="s">
        <v>1935</v>
      </c>
      <c r="D177" s="300" t="s">
        <v>1936</v>
      </c>
      <c r="E177" s="300">
        <v>941</v>
      </c>
      <c r="F177" s="322">
        <v>1111500</v>
      </c>
      <c r="G177" s="323">
        <v>1.905</v>
      </c>
      <c r="H177" s="324">
        <f t="shared" si="4"/>
        <v>1.9050000000000001E-2</v>
      </c>
      <c r="I177" s="325">
        <v>44810</v>
      </c>
      <c r="J177" s="300">
        <v>4</v>
      </c>
      <c r="K177" s="325">
        <v>50328</v>
      </c>
      <c r="L177" s="300">
        <v>180</v>
      </c>
      <c r="M177" s="300">
        <v>177</v>
      </c>
      <c r="N177" s="326" t="s">
        <v>1251</v>
      </c>
      <c r="O177" s="323">
        <v>3.3</v>
      </c>
      <c r="P177" s="322">
        <v>69874.447500000009</v>
      </c>
      <c r="Q177" s="300" t="s">
        <v>1492</v>
      </c>
      <c r="R177" s="300" t="s">
        <v>2030</v>
      </c>
      <c r="S177" s="300" t="s">
        <v>2031</v>
      </c>
      <c r="T177" s="300">
        <v>561720</v>
      </c>
      <c r="U177" s="323">
        <v>1.25</v>
      </c>
      <c r="V177" s="327">
        <f t="shared" si="5"/>
        <v>1.2500000000000001E-2</v>
      </c>
      <c r="W177" s="323">
        <v>-0.42499999999999999</v>
      </c>
      <c r="X177" s="300" t="s">
        <v>26</v>
      </c>
      <c r="Y177" s="300" t="s">
        <v>1248</v>
      </c>
      <c r="Z177" s="300" t="s">
        <v>1251</v>
      </c>
      <c r="AA177" s="300" t="s">
        <v>1251</v>
      </c>
      <c r="AB177" s="300" t="s">
        <v>1556</v>
      </c>
      <c r="AC177" s="300"/>
      <c r="AD177" s="328" t="s">
        <v>1633</v>
      </c>
      <c r="AE177" s="328">
        <v>0</v>
      </c>
      <c r="AF177" s="328">
        <v>0</v>
      </c>
      <c r="AG177" s="29">
        <v>56</v>
      </c>
      <c r="AH177" s="329" t="s">
        <v>74</v>
      </c>
      <c r="AI177" s="330">
        <v>1</v>
      </c>
      <c r="AJ177" s="309">
        <v>1</v>
      </c>
      <c r="AK177" s="302"/>
      <c r="AL177" s="303"/>
      <c r="AM177" s="305"/>
      <c r="AN177" s="301"/>
      <c r="AO177" s="305"/>
      <c r="AP177" s="301"/>
      <c r="AQ177" s="301"/>
      <c r="AR177" s="332"/>
    </row>
    <row r="178" spans="1:44">
      <c r="A178" s="299">
        <v>319576.11</v>
      </c>
      <c r="B178" s="300">
        <v>4223789101</v>
      </c>
      <c r="C178" s="300" t="s">
        <v>1935</v>
      </c>
      <c r="D178" s="300" t="s">
        <v>1936</v>
      </c>
      <c r="E178" s="300">
        <v>941</v>
      </c>
      <c r="F178" s="322">
        <v>788862.83</v>
      </c>
      <c r="G178" s="323">
        <v>2.1549999999999998</v>
      </c>
      <c r="H178" s="324">
        <f t="shared" si="4"/>
        <v>2.155E-2</v>
      </c>
      <c r="I178" s="325">
        <v>44826</v>
      </c>
      <c r="J178" s="300">
        <v>4</v>
      </c>
      <c r="K178" s="325">
        <v>50328</v>
      </c>
      <c r="L178" s="300">
        <v>180</v>
      </c>
      <c r="M178" s="300">
        <v>177</v>
      </c>
      <c r="N178" s="326">
        <v>44917</v>
      </c>
      <c r="O178" s="323">
        <v>3.3</v>
      </c>
      <c r="P178" s="322">
        <v>56099.980155449994</v>
      </c>
      <c r="Q178" s="300" t="s">
        <v>1493</v>
      </c>
      <c r="R178" s="300" t="s">
        <v>2032</v>
      </c>
      <c r="S178" s="300" t="s">
        <v>2033</v>
      </c>
      <c r="T178" s="300">
        <v>112320</v>
      </c>
      <c r="U178" s="323">
        <v>1.5</v>
      </c>
      <c r="V178" s="327">
        <f t="shared" si="5"/>
        <v>1.4999999999999999E-2</v>
      </c>
      <c r="W178" s="323">
        <v>-0.17499999999999999</v>
      </c>
      <c r="X178" s="300" t="s">
        <v>26</v>
      </c>
      <c r="Y178" s="300" t="s">
        <v>1248</v>
      </c>
      <c r="Z178" s="300" t="s">
        <v>1251</v>
      </c>
      <c r="AA178" s="300" t="s">
        <v>1251</v>
      </c>
      <c r="AB178" s="300" t="s">
        <v>1556</v>
      </c>
      <c r="AC178" s="300"/>
      <c r="AD178" s="328" t="s">
        <v>1634</v>
      </c>
      <c r="AE178" s="328">
        <v>0</v>
      </c>
      <c r="AF178" s="328">
        <v>0</v>
      </c>
      <c r="AG178" s="29">
        <v>11</v>
      </c>
      <c r="AH178" s="329" t="s">
        <v>40</v>
      </c>
      <c r="AI178" s="330">
        <v>1</v>
      </c>
      <c r="AJ178" s="309">
        <v>1</v>
      </c>
      <c r="AK178" s="302"/>
      <c r="AL178" s="303"/>
      <c r="AM178" s="305"/>
      <c r="AN178" s="301"/>
      <c r="AO178" s="305"/>
      <c r="AP178" s="301"/>
      <c r="AQ178" s="301"/>
      <c r="AR178" s="332"/>
    </row>
    <row r="179" spans="1:44">
      <c r="A179" s="299">
        <v>319432.11</v>
      </c>
      <c r="B179" s="300">
        <v>4216459109</v>
      </c>
      <c r="C179" s="300" t="s">
        <v>1935</v>
      </c>
      <c r="D179" s="300" t="s">
        <v>1936</v>
      </c>
      <c r="E179" s="300">
        <v>941</v>
      </c>
      <c r="F179" s="322">
        <v>2187515.83</v>
      </c>
      <c r="G179" s="323">
        <v>2.6549999999999998</v>
      </c>
      <c r="H179" s="324">
        <f t="shared" si="4"/>
        <v>2.6549999999999997E-2</v>
      </c>
      <c r="I179" s="325">
        <v>44796</v>
      </c>
      <c r="J179" s="300">
        <v>5</v>
      </c>
      <c r="K179" s="325">
        <v>50298</v>
      </c>
      <c r="L179" s="300">
        <v>180</v>
      </c>
      <c r="M179" s="300">
        <v>176</v>
      </c>
      <c r="N179" s="326">
        <v>44918</v>
      </c>
      <c r="O179" s="323">
        <v>3.3</v>
      </c>
      <c r="P179" s="322">
        <v>191659.19944544998</v>
      </c>
      <c r="Q179" s="300" t="s">
        <v>1494</v>
      </c>
      <c r="R179" s="300" t="s">
        <v>2034</v>
      </c>
      <c r="S179" s="300" t="s">
        <v>2035</v>
      </c>
      <c r="T179" s="300">
        <v>238390</v>
      </c>
      <c r="U179" s="323">
        <v>2</v>
      </c>
      <c r="V179" s="327">
        <f t="shared" si="5"/>
        <v>0.02</v>
      </c>
      <c r="W179" s="323">
        <v>0.32500000000000001</v>
      </c>
      <c r="X179" s="300" t="s">
        <v>26</v>
      </c>
      <c r="Y179" s="300" t="s">
        <v>1248</v>
      </c>
      <c r="Z179" s="300" t="s">
        <v>1251</v>
      </c>
      <c r="AA179" s="300" t="s">
        <v>1251</v>
      </c>
      <c r="AB179" s="300" t="s">
        <v>1556</v>
      </c>
      <c r="AC179" s="300"/>
      <c r="AD179" s="328" t="s">
        <v>1603</v>
      </c>
      <c r="AE179" s="328">
        <v>0</v>
      </c>
      <c r="AF179" s="328">
        <v>0</v>
      </c>
      <c r="AG179" s="29">
        <v>23</v>
      </c>
      <c r="AH179" s="329" t="s">
        <v>31</v>
      </c>
      <c r="AI179" s="330">
        <v>1</v>
      </c>
      <c r="AJ179" s="309">
        <v>1</v>
      </c>
      <c r="AK179" s="302"/>
      <c r="AL179" s="303"/>
      <c r="AM179" s="305"/>
      <c r="AN179" s="301"/>
      <c r="AO179" s="305"/>
      <c r="AP179" s="301"/>
      <c r="AQ179" s="301"/>
      <c r="AR179" s="332"/>
    </row>
    <row r="180" spans="1:44">
      <c r="A180" s="299">
        <v>319395.11</v>
      </c>
      <c r="B180" s="300">
        <v>4230139103</v>
      </c>
      <c r="C180" s="300" t="s">
        <v>1935</v>
      </c>
      <c r="D180" s="300" t="s">
        <v>1936</v>
      </c>
      <c r="E180" s="300">
        <v>941</v>
      </c>
      <c r="F180" s="322">
        <v>2047936.2</v>
      </c>
      <c r="G180" s="323">
        <v>2.6549999999999998</v>
      </c>
      <c r="H180" s="324">
        <f t="shared" si="4"/>
        <v>2.6549999999999997E-2</v>
      </c>
      <c r="I180" s="325">
        <v>44804</v>
      </c>
      <c r="J180" s="300">
        <v>5</v>
      </c>
      <c r="K180" s="325">
        <v>50298</v>
      </c>
      <c r="L180" s="300">
        <v>180</v>
      </c>
      <c r="M180" s="300">
        <v>176</v>
      </c>
      <c r="N180" s="326">
        <v>44896</v>
      </c>
      <c r="O180" s="323">
        <v>3.3</v>
      </c>
      <c r="P180" s="322">
        <v>179429.93016299995</v>
      </c>
      <c r="Q180" s="300" t="s">
        <v>1495</v>
      </c>
      <c r="R180" s="300" t="s">
        <v>2036</v>
      </c>
      <c r="S180" s="300" t="s">
        <v>2037</v>
      </c>
      <c r="T180" s="300">
        <v>445310</v>
      </c>
      <c r="U180" s="323">
        <v>2</v>
      </c>
      <c r="V180" s="327">
        <f t="shared" si="5"/>
        <v>0.02</v>
      </c>
      <c r="W180" s="323">
        <v>0.32500000000000001</v>
      </c>
      <c r="X180" s="300" t="s">
        <v>26</v>
      </c>
      <c r="Y180" s="300" t="s">
        <v>1248</v>
      </c>
      <c r="Z180" s="300" t="s">
        <v>1251</v>
      </c>
      <c r="AA180" s="300" t="s">
        <v>1251</v>
      </c>
      <c r="AB180" s="300" t="s">
        <v>1556</v>
      </c>
      <c r="AC180" s="300"/>
      <c r="AD180" s="328" t="s">
        <v>1631</v>
      </c>
      <c r="AE180" s="328">
        <v>0</v>
      </c>
      <c r="AF180" s="328">
        <v>0</v>
      </c>
      <c r="AG180" s="29">
        <v>44</v>
      </c>
      <c r="AH180" s="329" t="s">
        <v>31</v>
      </c>
      <c r="AI180" s="330">
        <v>1</v>
      </c>
      <c r="AJ180" s="309">
        <v>1</v>
      </c>
      <c r="AK180" s="302"/>
      <c r="AL180" s="303"/>
      <c r="AM180" s="305"/>
      <c r="AN180" s="301"/>
      <c r="AO180" s="305"/>
      <c r="AP180" s="301"/>
      <c r="AQ180" s="301"/>
      <c r="AR180" s="332"/>
    </row>
    <row r="181" spans="1:44">
      <c r="A181" s="299">
        <v>319394.11</v>
      </c>
      <c r="B181" s="300">
        <v>4262019107</v>
      </c>
      <c r="C181" s="300" t="s">
        <v>1935</v>
      </c>
      <c r="D181" s="300" t="s">
        <v>1936</v>
      </c>
      <c r="E181" s="300">
        <v>941</v>
      </c>
      <c r="F181" s="322">
        <v>1627908.5</v>
      </c>
      <c r="G181" s="323">
        <v>2.6549999999999998</v>
      </c>
      <c r="H181" s="324">
        <f t="shared" si="4"/>
        <v>2.6549999999999997E-2</v>
      </c>
      <c r="I181" s="325">
        <v>44804</v>
      </c>
      <c r="J181" s="300">
        <v>5</v>
      </c>
      <c r="K181" s="325">
        <v>50298</v>
      </c>
      <c r="L181" s="300">
        <v>180</v>
      </c>
      <c r="M181" s="300">
        <v>176</v>
      </c>
      <c r="N181" s="326">
        <v>44896</v>
      </c>
      <c r="O181" s="323">
        <v>3.3</v>
      </c>
      <c r="P181" s="322">
        <v>142629.20322749997</v>
      </c>
      <c r="Q181" s="300" t="s">
        <v>1496</v>
      </c>
      <c r="R181" s="300" t="s">
        <v>2038</v>
      </c>
      <c r="S181" s="300" t="s">
        <v>2039</v>
      </c>
      <c r="T181" s="300">
        <v>448120</v>
      </c>
      <c r="U181" s="323">
        <v>2</v>
      </c>
      <c r="V181" s="327">
        <f t="shared" si="5"/>
        <v>0.02</v>
      </c>
      <c r="W181" s="323">
        <v>0.32500000000000001</v>
      </c>
      <c r="X181" s="300" t="s">
        <v>26</v>
      </c>
      <c r="Y181" s="300" t="s">
        <v>1248</v>
      </c>
      <c r="Z181" s="300" t="s">
        <v>1251</v>
      </c>
      <c r="AA181" s="300" t="s">
        <v>1251</v>
      </c>
      <c r="AB181" s="300" t="s">
        <v>1556</v>
      </c>
      <c r="AC181" s="300"/>
      <c r="AD181" s="328" t="s">
        <v>1631</v>
      </c>
      <c r="AE181" s="328">
        <v>0</v>
      </c>
      <c r="AF181" s="328">
        <v>0</v>
      </c>
      <c r="AG181" s="29">
        <v>44</v>
      </c>
      <c r="AH181" s="329" t="s">
        <v>84</v>
      </c>
      <c r="AI181" s="330">
        <v>1</v>
      </c>
      <c r="AJ181" s="309">
        <v>1</v>
      </c>
      <c r="AK181" s="302"/>
      <c r="AL181" s="303"/>
      <c r="AM181" s="305"/>
      <c r="AN181" s="301"/>
      <c r="AO181" s="305"/>
      <c r="AP181" s="301"/>
      <c r="AQ181" s="301"/>
      <c r="AR181" s="332"/>
    </row>
    <row r="182" spans="1:44">
      <c r="A182" s="299">
        <v>319322.11</v>
      </c>
      <c r="B182" s="300">
        <v>4219269106</v>
      </c>
      <c r="C182" s="300" t="s">
        <v>1935</v>
      </c>
      <c r="D182" s="300" t="s">
        <v>1936</v>
      </c>
      <c r="E182" s="300">
        <v>941</v>
      </c>
      <c r="F182" s="322">
        <v>890764.73</v>
      </c>
      <c r="G182" s="323">
        <v>3.4049999999999998</v>
      </c>
      <c r="H182" s="324">
        <f t="shared" si="4"/>
        <v>3.4049999999999997E-2</v>
      </c>
      <c r="I182" s="325">
        <v>44790</v>
      </c>
      <c r="J182" s="300">
        <v>5</v>
      </c>
      <c r="K182" s="325">
        <v>50298</v>
      </c>
      <c r="L182" s="300">
        <v>180</v>
      </c>
      <c r="M182" s="300">
        <v>176</v>
      </c>
      <c r="N182" s="326">
        <v>44910</v>
      </c>
      <c r="O182" s="323">
        <v>3.3</v>
      </c>
      <c r="P182" s="322">
        <v>100090.77888644997</v>
      </c>
      <c r="Q182" s="300" t="s">
        <v>1497</v>
      </c>
      <c r="R182" s="300" t="s">
        <v>2040</v>
      </c>
      <c r="S182" s="300" t="s">
        <v>2041</v>
      </c>
      <c r="T182" s="300">
        <v>541940</v>
      </c>
      <c r="U182" s="323">
        <v>2.75</v>
      </c>
      <c r="V182" s="327">
        <f t="shared" si="5"/>
        <v>2.75E-2</v>
      </c>
      <c r="W182" s="323">
        <v>1.075</v>
      </c>
      <c r="X182" s="300" t="s">
        <v>26</v>
      </c>
      <c r="Y182" s="300" t="s">
        <v>1248</v>
      </c>
      <c r="Z182" s="300" t="s">
        <v>1251</v>
      </c>
      <c r="AA182" s="300" t="s">
        <v>1251</v>
      </c>
      <c r="AB182" s="300" t="s">
        <v>1556</v>
      </c>
      <c r="AC182" s="300"/>
      <c r="AD182" s="328" t="s">
        <v>1582</v>
      </c>
      <c r="AE182" s="328">
        <v>0</v>
      </c>
      <c r="AF182" s="328">
        <v>0</v>
      </c>
      <c r="AG182" s="29">
        <v>54</v>
      </c>
      <c r="AH182" s="329" t="s">
        <v>76</v>
      </c>
      <c r="AI182" s="330">
        <v>1</v>
      </c>
      <c r="AJ182" s="309">
        <v>1</v>
      </c>
      <c r="AK182" s="302"/>
      <c r="AL182" s="303"/>
      <c r="AM182" s="305"/>
      <c r="AN182" s="301"/>
      <c r="AO182" s="305"/>
      <c r="AP182" s="301"/>
      <c r="AQ182" s="301"/>
      <c r="AR182" s="332"/>
    </row>
    <row r="183" spans="1:44">
      <c r="A183" s="299">
        <v>320032.11</v>
      </c>
      <c r="B183" s="300">
        <v>4222679101</v>
      </c>
      <c r="C183" s="300" t="s">
        <v>1935</v>
      </c>
      <c r="D183" s="300" t="s">
        <v>1936</v>
      </c>
      <c r="E183" s="300">
        <v>941</v>
      </c>
      <c r="F183" s="322">
        <v>255875.15</v>
      </c>
      <c r="G183" s="323">
        <v>3.9550000000000001</v>
      </c>
      <c r="H183" s="324">
        <f t="shared" si="4"/>
        <v>3.9550000000000002E-2</v>
      </c>
      <c r="I183" s="325">
        <v>44791</v>
      </c>
      <c r="J183" s="300">
        <v>5</v>
      </c>
      <c r="K183" s="325">
        <v>50298</v>
      </c>
      <c r="L183" s="300">
        <v>180</v>
      </c>
      <c r="M183" s="300">
        <v>176</v>
      </c>
      <c r="N183" s="326">
        <v>44911</v>
      </c>
      <c r="O183" s="323">
        <v>3.3</v>
      </c>
      <c r="P183" s="322">
        <v>33395.545202249996</v>
      </c>
      <c r="Q183" s="300" t="s">
        <v>1498</v>
      </c>
      <c r="R183" s="300" t="s">
        <v>2042</v>
      </c>
      <c r="S183" s="300" t="s">
        <v>2043</v>
      </c>
      <c r="T183" s="300">
        <v>424720</v>
      </c>
      <c r="U183" s="323">
        <v>2.75</v>
      </c>
      <c r="V183" s="327">
        <f t="shared" si="5"/>
        <v>2.75E-2</v>
      </c>
      <c r="W183" s="323">
        <v>1.625</v>
      </c>
      <c r="X183" s="300" t="s">
        <v>26</v>
      </c>
      <c r="Y183" s="300" t="s">
        <v>1248</v>
      </c>
      <c r="Z183" s="300" t="s">
        <v>1251</v>
      </c>
      <c r="AA183" s="300" t="s">
        <v>1251</v>
      </c>
      <c r="AB183" s="300" t="s">
        <v>1556</v>
      </c>
      <c r="AC183" s="300"/>
      <c r="AD183" s="328" t="s">
        <v>1635</v>
      </c>
      <c r="AE183" s="328">
        <v>0</v>
      </c>
      <c r="AF183" s="328">
        <v>0</v>
      </c>
      <c r="AG183" s="29">
        <v>42</v>
      </c>
      <c r="AH183" s="329" t="s">
        <v>89</v>
      </c>
      <c r="AI183" s="330">
        <v>1</v>
      </c>
      <c r="AJ183" s="309">
        <v>1</v>
      </c>
      <c r="AK183" s="302"/>
      <c r="AL183" s="303"/>
      <c r="AM183" s="305"/>
      <c r="AN183" s="301"/>
      <c r="AO183" s="305"/>
      <c r="AP183" s="301"/>
      <c r="AQ183" s="301"/>
      <c r="AR183" s="332"/>
    </row>
    <row r="184" spans="1:44">
      <c r="A184" s="299">
        <v>319811.11</v>
      </c>
      <c r="B184" s="300">
        <v>3601179110</v>
      </c>
      <c r="C184" s="300" t="s">
        <v>1935</v>
      </c>
      <c r="D184" s="300" t="s">
        <v>1936</v>
      </c>
      <c r="E184" s="300">
        <v>941</v>
      </c>
      <c r="F184" s="322">
        <v>3347588.73</v>
      </c>
      <c r="G184" s="323">
        <v>2.6549999999999998</v>
      </c>
      <c r="H184" s="324">
        <f t="shared" si="4"/>
        <v>2.6549999999999997E-2</v>
      </c>
      <c r="I184" s="325">
        <v>44757</v>
      </c>
      <c r="J184" s="300">
        <v>6</v>
      </c>
      <c r="K184" s="325">
        <v>50267</v>
      </c>
      <c r="L184" s="300">
        <v>180</v>
      </c>
      <c r="M184" s="300">
        <v>175</v>
      </c>
      <c r="N184" s="326">
        <v>44896</v>
      </c>
      <c r="O184" s="323">
        <v>3.3</v>
      </c>
      <c r="P184" s="322">
        <v>293298.9865789499</v>
      </c>
      <c r="Q184" s="300" t="s">
        <v>1499</v>
      </c>
      <c r="R184" s="300" t="s">
        <v>2044</v>
      </c>
      <c r="S184" s="300" t="s">
        <v>2045</v>
      </c>
      <c r="T184" s="300">
        <v>541380</v>
      </c>
      <c r="U184" s="323">
        <v>2</v>
      </c>
      <c r="V184" s="327">
        <f t="shared" si="5"/>
        <v>0.02</v>
      </c>
      <c r="W184" s="323">
        <v>0.32500000000000001</v>
      </c>
      <c r="X184" s="300" t="s">
        <v>26</v>
      </c>
      <c r="Y184" s="300" t="s">
        <v>1248</v>
      </c>
      <c r="Z184" s="300" t="s">
        <v>1251</v>
      </c>
      <c r="AA184" s="300" t="s">
        <v>1251</v>
      </c>
      <c r="AB184" s="300" t="s">
        <v>1556</v>
      </c>
      <c r="AC184" s="300"/>
      <c r="AD184" s="328" t="s">
        <v>1623</v>
      </c>
      <c r="AE184" s="328">
        <v>0</v>
      </c>
      <c r="AF184" s="328">
        <v>0</v>
      </c>
      <c r="AG184" s="29">
        <v>54</v>
      </c>
      <c r="AH184" s="329" t="s">
        <v>49</v>
      </c>
      <c r="AI184" s="330">
        <v>1</v>
      </c>
      <c r="AJ184" s="309">
        <v>1</v>
      </c>
      <c r="AK184" s="302"/>
      <c r="AL184" s="303"/>
      <c r="AM184" s="305"/>
      <c r="AN184" s="301"/>
      <c r="AO184" s="305"/>
      <c r="AP184" s="301"/>
      <c r="AQ184" s="301"/>
      <c r="AR184" s="332"/>
    </row>
    <row r="185" spans="1:44">
      <c r="A185" s="299">
        <v>319464.11</v>
      </c>
      <c r="B185" s="300">
        <v>4016479110</v>
      </c>
      <c r="C185" s="300" t="s">
        <v>1935</v>
      </c>
      <c r="D185" s="300" t="s">
        <v>1936</v>
      </c>
      <c r="E185" s="300">
        <v>941</v>
      </c>
      <c r="F185" s="322">
        <v>1054955.3400000001</v>
      </c>
      <c r="G185" s="323">
        <v>2.4049999999999998</v>
      </c>
      <c r="H185" s="324">
        <f t="shared" si="4"/>
        <v>2.4049999999999998E-2</v>
      </c>
      <c r="I185" s="325">
        <v>44761</v>
      </c>
      <c r="J185" s="300">
        <v>6</v>
      </c>
      <c r="K185" s="325">
        <v>50267</v>
      </c>
      <c r="L185" s="300">
        <v>180</v>
      </c>
      <c r="M185" s="300">
        <v>175</v>
      </c>
      <c r="N185" s="326">
        <v>44899</v>
      </c>
      <c r="O185" s="323">
        <v>3.3</v>
      </c>
      <c r="P185" s="322">
        <v>83726.530559099992</v>
      </c>
      <c r="Q185" s="300" t="s">
        <v>1500</v>
      </c>
      <c r="R185" s="300" t="s">
        <v>2046</v>
      </c>
      <c r="S185" s="300" t="s">
        <v>2047</v>
      </c>
      <c r="T185" s="300">
        <v>621210</v>
      </c>
      <c r="U185" s="323">
        <v>1.75</v>
      </c>
      <c r="V185" s="327">
        <f t="shared" si="5"/>
        <v>1.7500000000000002E-2</v>
      </c>
      <c r="W185" s="323">
        <v>7.4999999999999997E-2</v>
      </c>
      <c r="X185" s="300" t="s">
        <v>26</v>
      </c>
      <c r="Y185" s="300" t="s">
        <v>1248</v>
      </c>
      <c r="Z185" s="300" t="s">
        <v>1251</v>
      </c>
      <c r="AA185" s="300" t="s">
        <v>1251</v>
      </c>
      <c r="AB185" s="300" t="s">
        <v>1556</v>
      </c>
      <c r="AC185" s="300"/>
      <c r="AD185" s="328" t="s">
        <v>1606</v>
      </c>
      <c r="AE185" s="328">
        <v>0</v>
      </c>
      <c r="AF185" s="328">
        <v>0</v>
      </c>
      <c r="AG185" s="29">
        <v>62</v>
      </c>
      <c r="AH185" s="329" t="s">
        <v>25</v>
      </c>
      <c r="AI185" s="330">
        <v>1</v>
      </c>
      <c r="AJ185" s="309">
        <v>1</v>
      </c>
      <c r="AK185" s="302"/>
      <c r="AL185" s="303"/>
      <c r="AM185" s="305"/>
      <c r="AN185" s="301"/>
      <c r="AO185" s="305"/>
      <c r="AP185" s="301"/>
      <c r="AQ185" s="301"/>
      <c r="AR185" s="332"/>
    </row>
    <row r="186" spans="1:44">
      <c r="A186" s="299">
        <v>319587.11</v>
      </c>
      <c r="B186" s="300">
        <v>1215599110</v>
      </c>
      <c r="C186" s="300" t="s">
        <v>1935</v>
      </c>
      <c r="D186" s="300" t="s">
        <v>1936</v>
      </c>
      <c r="E186" s="300">
        <v>966</v>
      </c>
      <c r="F186" s="322">
        <v>3555000</v>
      </c>
      <c r="G186" s="323">
        <v>2.7050000000000001</v>
      </c>
      <c r="H186" s="324">
        <f t="shared" si="4"/>
        <v>2.7050000000000001E-2</v>
      </c>
      <c r="I186" s="325">
        <v>44406</v>
      </c>
      <c r="J186" s="300">
        <v>18</v>
      </c>
      <c r="K186" s="325">
        <v>53919</v>
      </c>
      <c r="L186" s="300">
        <v>312</v>
      </c>
      <c r="M186" s="300">
        <v>295</v>
      </c>
      <c r="N186" s="326">
        <v>44894</v>
      </c>
      <c r="O186" s="323">
        <v>3.3</v>
      </c>
      <c r="P186" s="322">
        <v>317337.07500000001</v>
      </c>
      <c r="Q186" s="300" t="s">
        <v>1501</v>
      </c>
      <c r="R186" s="300" t="s">
        <v>2048</v>
      </c>
      <c r="S186" s="300" t="s">
        <v>2049</v>
      </c>
      <c r="T186" s="300">
        <v>811192</v>
      </c>
      <c r="U186" s="323">
        <v>1.5</v>
      </c>
      <c r="V186" s="327">
        <f t="shared" si="5"/>
        <v>1.4999999999999999E-2</v>
      </c>
      <c r="W186" s="323">
        <v>0.375</v>
      </c>
      <c r="X186" s="300" t="s">
        <v>26</v>
      </c>
      <c r="Y186" s="300" t="s">
        <v>1248</v>
      </c>
      <c r="Z186" s="300" t="s">
        <v>1251</v>
      </c>
      <c r="AA186" s="300" t="s">
        <v>1251</v>
      </c>
      <c r="AB186" s="300" t="s">
        <v>1556</v>
      </c>
      <c r="AC186" s="300"/>
      <c r="AD186" s="328" t="s">
        <v>1590</v>
      </c>
      <c r="AE186" s="328">
        <v>0</v>
      </c>
      <c r="AF186" s="328">
        <v>0</v>
      </c>
      <c r="AG186" s="29">
        <v>81</v>
      </c>
      <c r="AH186" s="329" t="s">
        <v>49</v>
      </c>
      <c r="AI186" s="330">
        <v>1</v>
      </c>
      <c r="AJ186" s="309">
        <v>1</v>
      </c>
      <c r="AK186" s="302"/>
      <c r="AL186" s="303"/>
      <c r="AM186" s="305"/>
      <c r="AN186" s="301"/>
      <c r="AO186" s="305"/>
      <c r="AP186" s="301"/>
      <c r="AQ186" s="301"/>
      <c r="AR186" s="332"/>
    </row>
    <row r="187" spans="1:44">
      <c r="A187" s="299">
        <v>320019.11</v>
      </c>
      <c r="B187" s="300">
        <v>1779219107</v>
      </c>
      <c r="C187" s="300" t="s">
        <v>1935</v>
      </c>
      <c r="D187" s="300" t="s">
        <v>1936</v>
      </c>
      <c r="E187" s="300">
        <v>966</v>
      </c>
      <c r="F187" s="322">
        <v>3659190.09</v>
      </c>
      <c r="G187" s="323">
        <v>2.7050000000000001</v>
      </c>
      <c r="H187" s="324">
        <f t="shared" si="4"/>
        <v>2.7050000000000001E-2</v>
      </c>
      <c r="I187" s="325">
        <v>44652</v>
      </c>
      <c r="J187" s="300">
        <v>9</v>
      </c>
      <c r="K187" s="325">
        <v>54011</v>
      </c>
      <c r="L187" s="300">
        <v>306</v>
      </c>
      <c r="M187" s="300">
        <v>298</v>
      </c>
      <c r="N187" s="326">
        <v>44923</v>
      </c>
      <c r="O187" s="323">
        <v>3.3</v>
      </c>
      <c r="P187" s="322">
        <v>326637.60338384996</v>
      </c>
      <c r="Q187" s="300" t="s">
        <v>1502</v>
      </c>
      <c r="R187" s="300" t="s">
        <v>2050</v>
      </c>
      <c r="S187" s="300" t="s">
        <v>2051</v>
      </c>
      <c r="T187" s="300">
        <v>722513</v>
      </c>
      <c r="U187" s="323">
        <v>1.5</v>
      </c>
      <c r="V187" s="327">
        <f t="shared" si="5"/>
        <v>1.4999999999999999E-2</v>
      </c>
      <c r="W187" s="323">
        <v>0.375</v>
      </c>
      <c r="X187" s="300" t="s">
        <v>26</v>
      </c>
      <c r="Y187" s="300" t="s">
        <v>1248</v>
      </c>
      <c r="Z187" s="300" t="s">
        <v>1251</v>
      </c>
      <c r="AA187" s="300" t="s">
        <v>1251</v>
      </c>
      <c r="AB187" s="300" t="s">
        <v>1556</v>
      </c>
      <c r="AC187" s="300"/>
      <c r="AD187" s="328" t="s">
        <v>1636</v>
      </c>
      <c r="AE187" s="328">
        <v>0</v>
      </c>
      <c r="AF187" s="328">
        <v>0</v>
      </c>
      <c r="AG187" s="29">
        <v>72</v>
      </c>
      <c r="AH187" s="329" t="s">
        <v>49</v>
      </c>
      <c r="AI187" s="330">
        <v>1</v>
      </c>
      <c r="AJ187" s="309">
        <v>1</v>
      </c>
      <c r="AK187" s="302"/>
      <c r="AL187" s="303"/>
      <c r="AM187" s="305"/>
      <c r="AN187" s="301"/>
      <c r="AO187" s="305"/>
      <c r="AP187" s="301"/>
      <c r="AQ187" s="301"/>
      <c r="AR187" s="332"/>
    </row>
    <row r="188" spans="1:44">
      <c r="A188" s="299">
        <v>319519.11</v>
      </c>
      <c r="B188" s="300">
        <v>4430958906</v>
      </c>
      <c r="C188" s="300" t="s">
        <v>1935</v>
      </c>
      <c r="D188" s="300" t="s">
        <v>1936</v>
      </c>
      <c r="E188" s="300">
        <v>966</v>
      </c>
      <c r="F188" s="322">
        <v>3083211.55</v>
      </c>
      <c r="G188" s="323">
        <v>2.9550000000000001</v>
      </c>
      <c r="H188" s="324">
        <f t="shared" si="4"/>
        <v>2.955E-2</v>
      </c>
      <c r="I188" s="325">
        <v>44351</v>
      </c>
      <c r="J188" s="300">
        <v>19</v>
      </c>
      <c r="K188" s="325">
        <v>53707</v>
      </c>
      <c r="L188" s="300">
        <v>306</v>
      </c>
      <c r="M188" s="300">
        <v>288</v>
      </c>
      <c r="N188" s="326">
        <v>44900</v>
      </c>
      <c r="O188" s="323">
        <v>3.3</v>
      </c>
      <c r="P188" s="322">
        <v>300659.37429824995</v>
      </c>
      <c r="Q188" s="300" t="s">
        <v>1503</v>
      </c>
      <c r="R188" s="300" t="s">
        <v>2052</v>
      </c>
      <c r="S188" s="300" t="s">
        <v>2053</v>
      </c>
      <c r="T188" s="300">
        <v>441210</v>
      </c>
      <c r="U188" s="323">
        <v>1.75</v>
      </c>
      <c r="V188" s="327">
        <f t="shared" si="5"/>
        <v>1.7500000000000002E-2</v>
      </c>
      <c r="W188" s="323">
        <v>0.625</v>
      </c>
      <c r="X188" s="300" t="s">
        <v>26</v>
      </c>
      <c r="Y188" s="300" t="s">
        <v>1248</v>
      </c>
      <c r="Z188" s="300" t="s">
        <v>1251</v>
      </c>
      <c r="AA188" s="300" t="s">
        <v>1251</v>
      </c>
      <c r="AB188" s="300" t="s">
        <v>1556</v>
      </c>
      <c r="AC188" s="300"/>
      <c r="AD188" s="328" t="s">
        <v>1637</v>
      </c>
      <c r="AE188" s="328">
        <v>0</v>
      </c>
      <c r="AF188" s="328">
        <v>0</v>
      </c>
      <c r="AG188" s="29">
        <v>44</v>
      </c>
      <c r="AH188" s="329" t="s">
        <v>42</v>
      </c>
      <c r="AI188" s="330">
        <v>1</v>
      </c>
      <c r="AJ188" s="309">
        <v>1</v>
      </c>
      <c r="AK188" s="302"/>
      <c r="AL188" s="303"/>
      <c r="AM188" s="305"/>
      <c r="AN188" s="301"/>
      <c r="AO188" s="305"/>
      <c r="AP188" s="301"/>
      <c r="AQ188" s="301"/>
      <c r="AR188" s="332"/>
    </row>
    <row r="189" spans="1:44">
      <c r="A189" s="299">
        <v>319257.11</v>
      </c>
      <c r="B189" s="300">
        <v>3372759102</v>
      </c>
      <c r="C189" s="300" t="s">
        <v>1935</v>
      </c>
      <c r="D189" s="300" t="s">
        <v>1936</v>
      </c>
      <c r="E189" s="300">
        <v>966</v>
      </c>
      <c r="F189" s="322">
        <v>119065.69</v>
      </c>
      <c r="G189" s="323">
        <v>3.7050000000000001</v>
      </c>
      <c r="H189" s="324">
        <f t="shared" si="4"/>
        <v>3.705E-2</v>
      </c>
      <c r="I189" s="325">
        <v>44622</v>
      </c>
      <c r="J189" s="300">
        <v>10</v>
      </c>
      <c r="K189" s="325">
        <v>53888</v>
      </c>
      <c r="L189" s="300">
        <v>303</v>
      </c>
      <c r="M189" s="300">
        <v>294</v>
      </c>
      <c r="N189" s="326">
        <v>44899</v>
      </c>
      <c r="O189" s="323">
        <v>3.3</v>
      </c>
      <c r="P189" s="322">
        <v>14557.56658785</v>
      </c>
      <c r="Q189" s="300" t="s">
        <v>1504</v>
      </c>
      <c r="R189" s="300" t="s">
        <v>2054</v>
      </c>
      <c r="S189" s="300" t="s">
        <v>2055</v>
      </c>
      <c r="T189" s="300">
        <v>811192</v>
      </c>
      <c r="U189" s="323">
        <v>2.5</v>
      </c>
      <c r="V189" s="327">
        <f t="shared" si="5"/>
        <v>2.5000000000000001E-2</v>
      </c>
      <c r="W189" s="323">
        <v>1.375</v>
      </c>
      <c r="X189" s="300" t="s">
        <v>26</v>
      </c>
      <c r="Y189" s="300" t="s">
        <v>1248</v>
      </c>
      <c r="Z189" s="300" t="s">
        <v>1251</v>
      </c>
      <c r="AA189" s="300" t="s">
        <v>1251</v>
      </c>
      <c r="AB189" s="300" t="s">
        <v>1556</v>
      </c>
      <c r="AC189" s="300"/>
      <c r="AD189" s="328" t="s">
        <v>1638</v>
      </c>
      <c r="AE189" s="328">
        <v>0</v>
      </c>
      <c r="AF189" s="328">
        <v>0</v>
      </c>
      <c r="AG189" s="29">
        <v>81</v>
      </c>
      <c r="AH189" s="329" t="s">
        <v>25</v>
      </c>
      <c r="AI189" s="330">
        <v>1</v>
      </c>
      <c r="AJ189" s="309">
        <v>1</v>
      </c>
      <c r="AK189" s="302"/>
      <c r="AL189" s="303"/>
      <c r="AM189" s="305"/>
      <c r="AN189" s="301"/>
      <c r="AO189" s="305"/>
      <c r="AP189" s="301"/>
      <c r="AQ189" s="301"/>
      <c r="AR189" s="332"/>
    </row>
    <row r="190" spans="1:44">
      <c r="A190" s="299">
        <v>320171.11</v>
      </c>
      <c r="B190" s="300">
        <v>4693879109</v>
      </c>
      <c r="C190" s="300" t="s">
        <v>1935</v>
      </c>
      <c r="D190" s="300" t="s">
        <v>1936</v>
      </c>
      <c r="E190" s="300">
        <v>966</v>
      </c>
      <c r="F190" s="322">
        <v>1131600</v>
      </c>
      <c r="G190" s="323">
        <v>2.9049999999999998</v>
      </c>
      <c r="H190" s="324">
        <f t="shared" si="4"/>
        <v>2.9049999999999999E-2</v>
      </c>
      <c r="I190" s="325">
        <v>44924</v>
      </c>
      <c r="J190" s="300">
        <v>1</v>
      </c>
      <c r="K190" s="325">
        <v>54072</v>
      </c>
      <c r="L190" s="300">
        <v>300</v>
      </c>
      <c r="M190" s="300">
        <v>300</v>
      </c>
      <c r="N190" s="326" t="s">
        <v>1251</v>
      </c>
      <c r="O190" s="323">
        <v>3.3</v>
      </c>
      <c r="P190" s="322">
        <v>108480.834</v>
      </c>
      <c r="Q190" s="300" t="s">
        <v>1505</v>
      </c>
      <c r="R190" s="300" t="s">
        <v>1251</v>
      </c>
      <c r="S190" s="300" t="s">
        <v>2056</v>
      </c>
      <c r="T190" s="300">
        <v>624410</v>
      </c>
      <c r="U190" s="323">
        <v>2.25</v>
      </c>
      <c r="V190" s="327">
        <f t="shared" si="5"/>
        <v>2.2499999999999999E-2</v>
      </c>
      <c r="W190" s="323">
        <v>0.57499999999999996</v>
      </c>
      <c r="X190" s="300" t="s">
        <v>26</v>
      </c>
      <c r="Y190" s="300" t="s">
        <v>1248</v>
      </c>
      <c r="Z190" s="300" t="s">
        <v>1251</v>
      </c>
      <c r="AA190" s="300" t="s">
        <v>1251</v>
      </c>
      <c r="AB190" s="300" t="s">
        <v>1</v>
      </c>
      <c r="AC190" s="300"/>
      <c r="AD190" s="328" t="s">
        <v>1582</v>
      </c>
      <c r="AE190" s="328">
        <v>0</v>
      </c>
      <c r="AF190" s="328">
        <v>0</v>
      </c>
      <c r="AG190" s="29">
        <v>62</v>
      </c>
      <c r="AH190" s="329" t="s">
        <v>74</v>
      </c>
      <c r="AI190" s="330">
        <v>1</v>
      </c>
      <c r="AJ190" s="309">
        <v>1</v>
      </c>
      <c r="AK190" s="302"/>
      <c r="AL190" s="303"/>
      <c r="AM190" s="305"/>
      <c r="AN190" s="301"/>
      <c r="AO190" s="305"/>
      <c r="AP190" s="301"/>
      <c r="AQ190" s="301"/>
      <c r="AR190" s="332"/>
    </row>
    <row r="191" spans="1:44">
      <c r="A191" s="299">
        <v>320175.11</v>
      </c>
      <c r="B191" s="300">
        <v>4546239105</v>
      </c>
      <c r="C191" s="300" t="s">
        <v>1935</v>
      </c>
      <c r="D191" s="300" t="s">
        <v>1936</v>
      </c>
      <c r="E191" s="300">
        <v>966</v>
      </c>
      <c r="F191" s="322">
        <v>648750</v>
      </c>
      <c r="G191" s="323">
        <v>2.6549999999999998</v>
      </c>
      <c r="H191" s="324">
        <f t="shared" si="4"/>
        <v>2.6549999999999997E-2</v>
      </c>
      <c r="I191" s="325">
        <v>44923</v>
      </c>
      <c r="J191" s="300">
        <v>1</v>
      </c>
      <c r="K191" s="325">
        <v>54072</v>
      </c>
      <c r="L191" s="300">
        <v>300</v>
      </c>
      <c r="M191" s="300">
        <v>300</v>
      </c>
      <c r="N191" s="326" t="s">
        <v>1251</v>
      </c>
      <c r="O191" s="323">
        <v>3.3</v>
      </c>
      <c r="P191" s="322">
        <v>56840.231249999997</v>
      </c>
      <c r="Q191" s="300" t="s">
        <v>1506</v>
      </c>
      <c r="R191" s="300" t="s">
        <v>1251</v>
      </c>
      <c r="S191" s="300" t="s">
        <v>2057</v>
      </c>
      <c r="T191" s="300">
        <v>445131</v>
      </c>
      <c r="U191" s="323">
        <v>2</v>
      </c>
      <c r="V191" s="327">
        <f t="shared" si="5"/>
        <v>0.02</v>
      </c>
      <c r="W191" s="323">
        <v>0.32500000000000001</v>
      </c>
      <c r="X191" s="300" t="s">
        <v>26</v>
      </c>
      <c r="Y191" s="300" t="s">
        <v>1248</v>
      </c>
      <c r="Z191" s="300" t="s">
        <v>1251</v>
      </c>
      <c r="AA191" s="300" t="s">
        <v>1251</v>
      </c>
      <c r="AB191" s="300" t="s">
        <v>1</v>
      </c>
      <c r="AC191" s="300"/>
      <c r="AD191" s="328" t="s">
        <v>1561</v>
      </c>
      <c r="AE191" s="328">
        <v>0</v>
      </c>
      <c r="AF191" s="328">
        <v>0</v>
      </c>
      <c r="AG191" s="29">
        <v>44</v>
      </c>
      <c r="AH191" s="329" t="s">
        <v>47</v>
      </c>
      <c r="AI191" s="330">
        <v>1</v>
      </c>
      <c r="AJ191" s="309">
        <v>1</v>
      </c>
      <c r="AK191" s="302"/>
      <c r="AL191" s="303"/>
      <c r="AM191" s="305"/>
      <c r="AN191" s="301"/>
      <c r="AO191" s="305"/>
      <c r="AP191" s="301"/>
      <c r="AQ191" s="301"/>
      <c r="AR191" s="332"/>
    </row>
    <row r="192" spans="1:44">
      <c r="A192" s="299">
        <v>320170.11</v>
      </c>
      <c r="B192" s="300">
        <v>4397729105</v>
      </c>
      <c r="C192" s="300" t="s">
        <v>1935</v>
      </c>
      <c r="D192" s="300" t="s">
        <v>1936</v>
      </c>
      <c r="E192" s="300">
        <v>966</v>
      </c>
      <c r="F192" s="322">
        <v>467550</v>
      </c>
      <c r="G192" s="323">
        <v>3.4049999999999998</v>
      </c>
      <c r="H192" s="324">
        <f t="shared" si="4"/>
        <v>3.4049999999999997E-2</v>
      </c>
      <c r="I192" s="325">
        <v>44924</v>
      </c>
      <c r="J192" s="300">
        <v>1</v>
      </c>
      <c r="K192" s="325">
        <v>54072</v>
      </c>
      <c r="L192" s="300">
        <v>300</v>
      </c>
      <c r="M192" s="300">
        <v>300</v>
      </c>
      <c r="N192" s="326" t="s">
        <v>1251</v>
      </c>
      <c r="O192" s="323">
        <v>3.3</v>
      </c>
      <c r="P192" s="322">
        <v>52536.255749999997</v>
      </c>
      <c r="Q192" s="300" t="s">
        <v>1507</v>
      </c>
      <c r="R192" s="300" t="s">
        <v>1251</v>
      </c>
      <c r="S192" s="300" t="s">
        <v>2058</v>
      </c>
      <c r="T192" s="300">
        <v>621210</v>
      </c>
      <c r="U192" s="323">
        <v>2.75</v>
      </c>
      <c r="V192" s="327">
        <f t="shared" si="5"/>
        <v>2.75E-2</v>
      </c>
      <c r="W192" s="323">
        <v>1.075</v>
      </c>
      <c r="X192" s="300" t="s">
        <v>26</v>
      </c>
      <c r="Y192" s="300" t="s">
        <v>1248</v>
      </c>
      <c r="Z192" s="300" t="s">
        <v>1251</v>
      </c>
      <c r="AA192" s="300" t="s">
        <v>1251</v>
      </c>
      <c r="AB192" s="300" t="s">
        <v>1</v>
      </c>
      <c r="AC192" s="300"/>
      <c r="AD192" s="328" t="s">
        <v>1582</v>
      </c>
      <c r="AE192" s="328">
        <v>0</v>
      </c>
      <c r="AF192" s="328">
        <v>0</v>
      </c>
      <c r="AG192" s="29">
        <v>62</v>
      </c>
      <c r="AH192" s="329" t="s">
        <v>49</v>
      </c>
      <c r="AI192" s="330">
        <v>1</v>
      </c>
      <c r="AJ192" s="309">
        <v>1</v>
      </c>
      <c r="AK192" s="302"/>
      <c r="AL192" s="303"/>
      <c r="AM192" s="305"/>
      <c r="AN192" s="301"/>
      <c r="AO192" s="305"/>
      <c r="AP192" s="301"/>
      <c r="AQ192" s="301"/>
      <c r="AR192" s="332"/>
    </row>
    <row r="193" spans="1:44">
      <c r="A193" s="299">
        <v>320008.11</v>
      </c>
      <c r="B193" s="300">
        <v>9551948510</v>
      </c>
      <c r="C193" s="300" t="s">
        <v>1935</v>
      </c>
      <c r="D193" s="300" t="s">
        <v>1936</v>
      </c>
      <c r="E193" s="300">
        <v>966</v>
      </c>
      <c r="F193" s="322">
        <v>3221180.08</v>
      </c>
      <c r="G193" s="323">
        <v>2.7050000000000001</v>
      </c>
      <c r="H193" s="324">
        <f t="shared" si="4"/>
        <v>2.7050000000000001E-2</v>
      </c>
      <c r="I193" s="325">
        <v>44886</v>
      </c>
      <c r="J193" s="300">
        <v>2</v>
      </c>
      <c r="K193" s="325">
        <v>54041</v>
      </c>
      <c r="L193" s="300">
        <v>300</v>
      </c>
      <c r="M193" s="300">
        <v>299</v>
      </c>
      <c r="N193" s="326">
        <v>44915</v>
      </c>
      <c r="O193" s="323">
        <v>3.3</v>
      </c>
      <c r="P193" s="322">
        <v>287538.63984120003</v>
      </c>
      <c r="Q193" s="300" t="s">
        <v>1508</v>
      </c>
      <c r="R193" s="300" t="s">
        <v>2059</v>
      </c>
      <c r="S193" s="300" t="s">
        <v>2060</v>
      </c>
      <c r="T193" s="300">
        <v>441120</v>
      </c>
      <c r="U193" s="323">
        <v>1.5</v>
      </c>
      <c r="V193" s="327">
        <f t="shared" si="5"/>
        <v>1.4999999999999999E-2</v>
      </c>
      <c r="W193" s="323">
        <v>0.375</v>
      </c>
      <c r="X193" s="300" t="s">
        <v>26</v>
      </c>
      <c r="Y193" s="300" t="s">
        <v>1248</v>
      </c>
      <c r="Z193" s="300" t="s">
        <v>1251</v>
      </c>
      <c r="AA193" s="300" t="s">
        <v>1251</v>
      </c>
      <c r="AB193" s="300" t="s">
        <v>1556</v>
      </c>
      <c r="AC193" s="300"/>
      <c r="AD193" s="328" t="s">
        <v>1603</v>
      </c>
      <c r="AE193" s="328">
        <v>0</v>
      </c>
      <c r="AF193" s="328">
        <v>0</v>
      </c>
      <c r="AG193" s="29">
        <v>44</v>
      </c>
      <c r="AH193" s="329" t="s">
        <v>29</v>
      </c>
      <c r="AI193" s="330">
        <v>1</v>
      </c>
      <c r="AJ193" s="309">
        <v>1</v>
      </c>
      <c r="AK193" s="302"/>
      <c r="AL193" s="303"/>
      <c r="AM193" s="305"/>
      <c r="AN193" s="301"/>
      <c r="AO193" s="305"/>
      <c r="AP193" s="301"/>
      <c r="AQ193" s="301"/>
      <c r="AR193" s="332"/>
    </row>
    <row r="194" spans="1:44">
      <c r="A194" s="299">
        <v>320092.11</v>
      </c>
      <c r="B194" s="300">
        <v>4314139100</v>
      </c>
      <c r="C194" s="300" t="s">
        <v>1935</v>
      </c>
      <c r="D194" s="300" t="s">
        <v>1936</v>
      </c>
      <c r="E194" s="300">
        <v>966</v>
      </c>
      <c r="F194" s="322">
        <v>2390250</v>
      </c>
      <c r="G194" s="323">
        <v>2.6549999999999998</v>
      </c>
      <c r="H194" s="324">
        <f t="shared" si="4"/>
        <v>2.6549999999999997E-2</v>
      </c>
      <c r="I194" s="325">
        <v>44895</v>
      </c>
      <c r="J194" s="300">
        <v>2</v>
      </c>
      <c r="K194" s="325">
        <v>54041</v>
      </c>
      <c r="L194" s="300">
        <v>300</v>
      </c>
      <c r="M194" s="300">
        <v>299</v>
      </c>
      <c r="N194" s="326">
        <v>44916</v>
      </c>
      <c r="O194" s="323">
        <v>3.3</v>
      </c>
      <c r="P194" s="322">
        <v>209421.75374999997</v>
      </c>
      <c r="Q194" s="300" t="s">
        <v>1509</v>
      </c>
      <c r="R194" s="300" t="s">
        <v>2061</v>
      </c>
      <c r="S194" s="300" t="s">
        <v>2062</v>
      </c>
      <c r="T194" s="300">
        <v>721110</v>
      </c>
      <c r="U194" s="323">
        <v>2</v>
      </c>
      <c r="V194" s="327">
        <f t="shared" si="5"/>
        <v>0.02</v>
      </c>
      <c r="W194" s="323">
        <v>0.32500000000000001</v>
      </c>
      <c r="X194" s="300" t="s">
        <v>26</v>
      </c>
      <c r="Y194" s="300" t="s">
        <v>1248</v>
      </c>
      <c r="Z194" s="300" t="s">
        <v>1251</v>
      </c>
      <c r="AA194" s="300" t="s">
        <v>1251</v>
      </c>
      <c r="AB194" s="300" t="s">
        <v>1556</v>
      </c>
      <c r="AC194" s="300"/>
      <c r="AD194" s="328" t="s">
        <v>1605</v>
      </c>
      <c r="AE194" s="328">
        <v>0</v>
      </c>
      <c r="AF194" s="328">
        <v>0</v>
      </c>
      <c r="AG194" s="29">
        <v>72</v>
      </c>
      <c r="AH194" s="329" t="s">
        <v>69</v>
      </c>
      <c r="AI194" s="330">
        <v>1</v>
      </c>
      <c r="AJ194" s="309">
        <v>1</v>
      </c>
      <c r="AK194" s="302"/>
      <c r="AL194" s="303"/>
      <c r="AM194" s="305"/>
      <c r="AN194" s="301"/>
      <c r="AO194" s="305"/>
      <c r="AP194" s="301"/>
      <c r="AQ194" s="301"/>
      <c r="AR194" s="332"/>
    </row>
    <row r="195" spans="1:44">
      <c r="A195" s="299">
        <v>320046.11</v>
      </c>
      <c r="B195" s="300">
        <v>4538559107</v>
      </c>
      <c r="C195" s="300" t="s">
        <v>1935</v>
      </c>
      <c r="D195" s="300" t="s">
        <v>1936</v>
      </c>
      <c r="E195" s="300">
        <v>966</v>
      </c>
      <c r="F195" s="322">
        <v>3037500</v>
      </c>
      <c r="G195" s="323">
        <v>2.1549999999999998</v>
      </c>
      <c r="H195" s="324">
        <f t="shared" si="4"/>
        <v>2.155E-2</v>
      </c>
      <c r="I195" s="325">
        <v>44886</v>
      </c>
      <c r="J195" s="300">
        <v>2</v>
      </c>
      <c r="K195" s="325">
        <v>54041</v>
      </c>
      <c r="L195" s="300">
        <v>300</v>
      </c>
      <c r="M195" s="300">
        <v>299</v>
      </c>
      <c r="N195" s="326">
        <v>44911</v>
      </c>
      <c r="O195" s="323">
        <v>3.3</v>
      </c>
      <c r="P195" s="322">
        <v>216011.8125</v>
      </c>
      <c r="Q195" s="300" t="s">
        <v>1510</v>
      </c>
      <c r="R195" s="300" t="s">
        <v>2063</v>
      </c>
      <c r="S195" s="300" t="s">
        <v>2064</v>
      </c>
      <c r="T195" s="300">
        <v>721110</v>
      </c>
      <c r="U195" s="323">
        <v>1.5</v>
      </c>
      <c r="V195" s="327">
        <f t="shared" si="5"/>
        <v>1.4999999999999999E-2</v>
      </c>
      <c r="W195" s="323">
        <v>-0.17499999999999999</v>
      </c>
      <c r="X195" s="300" t="s">
        <v>26</v>
      </c>
      <c r="Y195" s="300" t="s">
        <v>1248</v>
      </c>
      <c r="Z195" s="300" t="s">
        <v>1251</v>
      </c>
      <c r="AA195" s="300" t="s">
        <v>1251</v>
      </c>
      <c r="AB195" s="300" t="s">
        <v>1556</v>
      </c>
      <c r="AC195" s="300"/>
      <c r="AD195" s="328" t="s">
        <v>1587</v>
      </c>
      <c r="AE195" s="328">
        <v>0</v>
      </c>
      <c r="AF195" s="328">
        <v>0</v>
      </c>
      <c r="AG195" s="29">
        <v>72</v>
      </c>
      <c r="AH195" s="329" t="s">
        <v>40</v>
      </c>
      <c r="AI195" s="330">
        <v>1</v>
      </c>
      <c r="AJ195" s="309">
        <v>1</v>
      </c>
      <c r="AK195" s="302"/>
      <c r="AL195" s="303"/>
      <c r="AM195" s="305"/>
      <c r="AN195" s="301"/>
      <c r="AO195" s="305"/>
      <c r="AP195" s="301"/>
      <c r="AQ195" s="301"/>
      <c r="AR195" s="332"/>
    </row>
    <row r="196" spans="1:44">
      <c r="A196" s="299">
        <v>319806.11</v>
      </c>
      <c r="B196" s="300">
        <v>4304589102</v>
      </c>
      <c r="C196" s="300" t="s">
        <v>1935</v>
      </c>
      <c r="D196" s="300" t="s">
        <v>1936</v>
      </c>
      <c r="E196" s="300">
        <v>966</v>
      </c>
      <c r="F196" s="322">
        <v>3372969.13</v>
      </c>
      <c r="G196" s="323">
        <v>2.6549999999999998</v>
      </c>
      <c r="H196" s="324">
        <f t="shared" si="4"/>
        <v>2.6549999999999997E-2</v>
      </c>
      <c r="I196" s="325">
        <v>44837</v>
      </c>
      <c r="J196" s="300">
        <v>3</v>
      </c>
      <c r="K196" s="325">
        <v>54011</v>
      </c>
      <c r="L196" s="300">
        <v>300</v>
      </c>
      <c r="M196" s="300">
        <v>298</v>
      </c>
      <c r="N196" s="326">
        <v>44907</v>
      </c>
      <c r="O196" s="323">
        <v>3.3</v>
      </c>
      <c r="P196" s="322">
        <v>295522.69032494992</v>
      </c>
      <c r="Q196" s="300" t="s">
        <v>1511</v>
      </c>
      <c r="R196" s="300" t="s">
        <v>2065</v>
      </c>
      <c r="S196" s="300" t="s">
        <v>2066</v>
      </c>
      <c r="T196" s="300">
        <v>721110</v>
      </c>
      <c r="U196" s="323">
        <v>2</v>
      </c>
      <c r="V196" s="327">
        <f t="shared" si="5"/>
        <v>0.02</v>
      </c>
      <c r="W196" s="323">
        <v>0.32500000000000001</v>
      </c>
      <c r="X196" s="300" t="s">
        <v>26</v>
      </c>
      <c r="Y196" s="300" t="s">
        <v>1248</v>
      </c>
      <c r="Z196" s="300" t="s">
        <v>1251</v>
      </c>
      <c r="AA196" s="300" t="s">
        <v>1251</v>
      </c>
      <c r="AB196" s="300" t="s">
        <v>1556</v>
      </c>
      <c r="AC196" s="300"/>
      <c r="AD196" s="328" t="s">
        <v>1639</v>
      </c>
      <c r="AE196" s="328">
        <v>0</v>
      </c>
      <c r="AF196" s="328">
        <v>0</v>
      </c>
      <c r="AG196" s="29">
        <v>72</v>
      </c>
      <c r="AH196" s="329" t="s">
        <v>54</v>
      </c>
      <c r="AI196" s="330">
        <v>1</v>
      </c>
      <c r="AJ196" s="309">
        <v>1</v>
      </c>
      <c r="AK196" s="302"/>
      <c r="AL196" s="303"/>
      <c r="AM196" s="305"/>
      <c r="AN196" s="301"/>
      <c r="AO196" s="305"/>
      <c r="AP196" s="301"/>
      <c r="AQ196" s="301"/>
      <c r="AR196" s="332"/>
    </row>
    <row r="197" spans="1:44">
      <c r="A197" s="299">
        <v>319754.11</v>
      </c>
      <c r="B197" s="300">
        <v>4322309103</v>
      </c>
      <c r="C197" s="300" t="s">
        <v>1935</v>
      </c>
      <c r="D197" s="300" t="s">
        <v>1936</v>
      </c>
      <c r="E197" s="300">
        <v>966</v>
      </c>
      <c r="F197" s="322">
        <v>3746522.43</v>
      </c>
      <c r="G197" s="323">
        <v>2.9049999999999998</v>
      </c>
      <c r="H197" s="324">
        <f t="shared" si="4"/>
        <v>2.9049999999999999E-2</v>
      </c>
      <c r="I197" s="325">
        <v>44827</v>
      </c>
      <c r="J197" s="300">
        <v>4</v>
      </c>
      <c r="K197" s="325">
        <v>53980</v>
      </c>
      <c r="L197" s="300">
        <v>300</v>
      </c>
      <c r="M197" s="300">
        <v>297</v>
      </c>
      <c r="N197" s="326">
        <v>44905</v>
      </c>
      <c r="O197" s="323">
        <v>3.3</v>
      </c>
      <c r="P197" s="322">
        <v>359160.37275195</v>
      </c>
      <c r="Q197" s="300" t="s">
        <v>1512</v>
      </c>
      <c r="R197" s="300" t="s">
        <v>2067</v>
      </c>
      <c r="S197" s="300" t="s">
        <v>2068</v>
      </c>
      <c r="T197" s="300">
        <v>811121</v>
      </c>
      <c r="U197" s="323">
        <v>2.25</v>
      </c>
      <c r="V197" s="327">
        <f t="shared" si="5"/>
        <v>2.2499999999999999E-2</v>
      </c>
      <c r="W197" s="323">
        <v>0.57499999999999996</v>
      </c>
      <c r="X197" s="300" t="s">
        <v>26</v>
      </c>
      <c r="Y197" s="300" t="s">
        <v>1248</v>
      </c>
      <c r="Z197" s="300" t="s">
        <v>1251</v>
      </c>
      <c r="AA197" s="300" t="s">
        <v>1251</v>
      </c>
      <c r="AB197" s="300" t="s">
        <v>1556</v>
      </c>
      <c r="AC197" s="300"/>
      <c r="AD197" s="328" t="s">
        <v>1598</v>
      </c>
      <c r="AE197" s="328">
        <v>0</v>
      </c>
      <c r="AF197" s="328">
        <v>0</v>
      </c>
      <c r="AG197" s="29">
        <v>81</v>
      </c>
      <c r="AH197" s="329" t="s">
        <v>52</v>
      </c>
      <c r="AI197" s="330">
        <v>1</v>
      </c>
      <c r="AJ197" s="309">
        <v>1</v>
      </c>
      <c r="AK197" s="302"/>
      <c r="AL197" s="303"/>
      <c r="AM197" s="305"/>
      <c r="AN197" s="301"/>
      <c r="AO197" s="305"/>
      <c r="AP197" s="301"/>
      <c r="AQ197" s="301"/>
      <c r="AR197" s="332"/>
    </row>
    <row r="198" spans="1:44">
      <c r="A198" s="299">
        <v>319720.11</v>
      </c>
      <c r="B198" s="300">
        <v>4022319104</v>
      </c>
      <c r="C198" s="300" t="s">
        <v>1935</v>
      </c>
      <c r="D198" s="300" t="s">
        <v>1936</v>
      </c>
      <c r="E198" s="300">
        <v>966</v>
      </c>
      <c r="F198" s="322">
        <v>126797.73</v>
      </c>
      <c r="G198" s="323">
        <v>2.2050000000000001</v>
      </c>
      <c r="H198" s="324">
        <f t="shared" ref="H198:H237" si="6">G198/100</f>
        <v>2.205E-2</v>
      </c>
      <c r="I198" s="325">
        <v>44757</v>
      </c>
      <c r="J198" s="300">
        <v>6</v>
      </c>
      <c r="K198" s="325">
        <v>53919</v>
      </c>
      <c r="L198" s="300">
        <v>300</v>
      </c>
      <c r="M198" s="300">
        <v>295</v>
      </c>
      <c r="N198" s="326">
        <v>44895</v>
      </c>
      <c r="O198" s="323">
        <v>3.3</v>
      </c>
      <c r="P198" s="322">
        <v>9226.4368234499998</v>
      </c>
      <c r="Q198" s="300" t="s">
        <v>1513</v>
      </c>
      <c r="R198" s="300" t="s">
        <v>2069</v>
      </c>
      <c r="S198" s="300" t="s">
        <v>2070</v>
      </c>
      <c r="T198" s="300">
        <v>337212</v>
      </c>
      <c r="U198" s="323">
        <v>1</v>
      </c>
      <c r="V198" s="327">
        <f t="shared" ref="V198:V237" si="7">U198/100</f>
        <v>0.01</v>
      </c>
      <c r="W198" s="323">
        <v>-0.125</v>
      </c>
      <c r="X198" s="300" t="s">
        <v>26</v>
      </c>
      <c r="Y198" s="300" t="s">
        <v>1248</v>
      </c>
      <c r="Z198" s="300" t="s">
        <v>1251</v>
      </c>
      <c r="AA198" s="300" t="s">
        <v>1251</v>
      </c>
      <c r="AB198" s="300" t="s">
        <v>1556</v>
      </c>
      <c r="AC198" s="300"/>
      <c r="AD198" s="328" t="s">
        <v>1640</v>
      </c>
      <c r="AE198" s="328">
        <v>0</v>
      </c>
      <c r="AF198" s="328">
        <v>0</v>
      </c>
      <c r="AG198" s="29">
        <v>33</v>
      </c>
      <c r="AH198" s="329" t="s">
        <v>74</v>
      </c>
      <c r="AI198" s="330">
        <v>1</v>
      </c>
      <c r="AJ198" s="309">
        <v>1</v>
      </c>
      <c r="AK198" s="302"/>
      <c r="AL198" s="303"/>
      <c r="AM198" s="305"/>
      <c r="AN198" s="301"/>
      <c r="AO198" s="305"/>
      <c r="AP198" s="301"/>
      <c r="AQ198" s="301"/>
      <c r="AR198" s="332"/>
    </row>
    <row r="199" spans="1:44">
      <c r="A199" s="299">
        <v>320090.11</v>
      </c>
      <c r="B199" s="300">
        <v>1659819105</v>
      </c>
      <c r="C199" s="300" t="s">
        <v>1935</v>
      </c>
      <c r="D199" s="300" t="s">
        <v>1936</v>
      </c>
      <c r="E199" s="300">
        <v>966</v>
      </c>
      <c r="F199" s="322">
        <v>3718716.44</v>
      </c>
      <c r="G199" s="323">
        <v>2.2050000000000001</v>
      </c>
      <c r="H199" s="324">
        <f t="shared" si="6"/>
        <v>2.205E-2</v>
      </c>
      <c r="I199" s="325">
        <v>44740</v>
      </c>
      <c r="J199" s="300">
        <v>7</v>
      </c>
      <c r="K199" s="325">
        <v>53888</v>
      </c>
      <c r="L199" s="300">
        <v>300</v>
      </c>
      <c r="M199" s="300">
        <v>294</v>
      </c>
      <c r="N199" s="326">
        <v>44923</v>
      </c>
      <c r="O199" s="323">
        <v>3.3</v>
      </c>
      <c r="P199" s="322">
        <v>270592.40175659995</v>
      </c>
      <c r="Q199" s="300" t="s">
        <v>1514</v>
      </c>
      <c r="R199" s="300" t="s">
        <v>2071</v>
      </c>
      <c r="S199" s="300" t="s">
        <v>2072</v>
      </c>
      <c r="T199" s="300">
        <v>445110</v>
      </c>
      <c r="U199" s="323">
        <v>1</v>
      </c>
      <c r="V199" s="327">
        <f t="shared" si="7"/>
        <v>0.01</v>
      </c>
      <c r="W199" s="323">
        <v>-0.125</v>
      </c>
      <c r="X199" s="300" t="s">
        <v>26</v>
      </c>
      <c r="Y199" s="300" t="s">
        <v>1248</v>
      </c>
      <c r="Z199" s="300" t="s">
        <v>1251</v>
      </c>
      <c r="AA199" s="300" t="s">
        <v>1251</v>
      </c>
      <c r="AB199" s="300" t="s">
        <v>1556</v>
      </c>
      <c r="AC199" s="300"/>
      <c r="AD199" s="328" t="s">
        <v>1641</v>
      </c>
      <c r="AE199" s="328">
        <v>0</v>
      </c>
      <c r="AF199" s="328">
        <v>0</v>
      </c>
      <c r="AG199" s="29">
        <v>44</v>
      </c>
      <c r="AH199" s="329" t="s">
        <v>29</v>
      </c>
      <c r="AI199" s="330">
        <v>1</v>
      </c>
      <c r="AJ199" s="309">
        <v>1</v>
      </c>
      <c r="AK199" s="302"/>
      <c r="AL199" s="303"/>
      <c r="AM199" s="305"/>
      <c r="AN199" s="301"/>
      <c r="AO199" s="305"/>
      <c r="AP199" s="301"/>
      <c r="AQ199" s="301"/>
      <c r="AR199" s="332"/>
    </row>
    <row r="200" spans="1:44">
      <c r="A200" s="299">
        <v>320035.11</v>
      </c>
      <c r="B200" s="300">
        <v>4095439106</v>
      </c>
      <c r="C200" s="300" t="s">
        <v>1935</v>
      </c>
      <c r="D200" s="300" t="s">
        <v>1936</v>
      </c>
      <c r="E200" s="300">
        <v>966</v>
      </c>
      <c r="F200" s="322">
        <v>229355.27</v>
      </c>
      <c r="G200" s="323">
        <v>3.9550000000000001</v>
      </c>
      <c r="H200" s="324">
        <f t="shared" si="6"/>
        <v>3.9550000000000002E-2</v>
      </c>
      <c r="I200" s="325">
        <v>44714</v>
      </c>
      <c r="J200" s="300">
        <v>7</v>
      </c>
      <c r="K200" s="325">
        <v>53888</v>
      </c>
      <c r="L200" s="300">
        <v>300</v>
      </c>
      <c r="M200" s="300">
        <v>294</v>
      </c>
      <c r="N200" s="326">
        <v>44911</v>
      </c>
      <c r="O200" s="323">
        <v>3.3</v>
      </c>
      <c r="P200" s="322">
        <v>29934.30306405</v>
      </c>
      <c r="Q200" s="300" t="s">
        <v>1515</v>
      </c>
      <c r="R200" s="300" t="s">
        <v>2073</v>
      </c>
      <c r="S200" s="300" t="s">
        <v>2074</v>
      </c>
      <c r="T200" s="300">
        <v>485410</v>
      </c>
      <c r="U200" s="323">
        <v>2.75</v>
      </c>
      <c r="V200" s="327">
        <f t="shared" si="7"/>
        <v>2.75E-2</v>
      </c>
      <c r="W200" s="323">
        <v>1.625</v>
      </c>
      <c r="X200" s="300" t="s">
        <v>26</v>
      </c>
      <c r="Y200" s="300" t="s">
        <v>1248</v>
      </c>
      <c r="Z200" s="300" t="s">
        <v>1251</v>
      </c>
      <c r="AA200" s="300" t="s">
        <v>1251</v>
      </c>
      <c r="AB200" s="300" t="s">
        <v>1556</v>
      </c>
      <c r="AC200" s="300"/>
      <c r="AD200" s="328" t="s">
        <v>1635</v>
      </c>
      <c r="AE200" s="328">
        <v>0</v>
      </c>
      <c r="AF200" s="328">
        <v>0</v>
      </c>
      <c r="AG200" s="29">
        <v>48</v>
      </c>
      <c r="AH200" s="329" t="s">
        <v>76</v>
      </c>
      <c r="AI200" s="330">
        <v>1</v>
      </c>
      <c r="AJ200" s="309">
        <v>1</v>
      </c>
      <c r="AK200" s="302"/>
      <c r="AL200" s="303"/>
      <c r="AM200" s="305"/>
      <c r="AN200" s="301"/>
      <c r="AO200" s="305"/>
      <c r="AP200" s="301"/>
      <c r="AQ200" s="301"/>
      <c r="AR200" s="332"/>
    </row>
    <row r="201" spans="1:44">
      <c r="A201" s="299">
        <v>320127.11</v>
      </c>
      <c r="B201" s="300">
        <v>2714739103</v>
      </c>
      <c r="C201" s="300" t="s">
        <v>1935</v>
      </c>
      <c r="D201" s="300" t="s">
        <v>1936</v>
      </c>
      <c r="E201" s="300">
        <v>966</v>
      </c>
      <c r="F201" s="322">
        <v>762817.5</v>
      </c>
      <c r="G201" s="323">
        <v>2.9649999999999999</v>
      </c>
      <c r="H201" s="324">
        <f t="shared" si="6"/>
        <v>2.9649999999999999E-2</v>
      </c>
      <c r="I201" s="325">
        <v>44704</v>
      </c>
      <c r="J201" s="300">
        <v>8</v>
      </c>
      <c r="K201" s="325">
        <v>53858</v>
      </c>
      <c r="L201" s="300">
        <v>300</v>
      </c>
      <c r="M201" s="300">
        <v>293</v>
      </c>
      <c r="N201" s="326" t="s">
        <v>1251</v>
      </c>
      <c r="O201" s="323">
        <v>3.3</v>
      </c>
      <c r="P201" s="322">
        <v>74637.878287500003</v>
      </c>
      <c r="Q201" s="300" t="s">
        <v>1516</v>
      </c>
      <c r="R201" s="300" t="s">
        <v>2075</v>
      </c>
      <c r="S201" s="300" t="s">
        <v>2076</v>
      </c>
      <c r="T201" s="300">
        <v>722515</v>
      </c>
      <c r="U201" s="323">
        <v>2.25</v>
      </c>
      <c r="V201" s="327">
        <f t="shared" si="7"/>
        <v>2.2499999999999999E-2</v>
      </c>
      <c r="W201" s="323">
        <v>0.63500000000000001</v>
      </c>
      <c r="X201" s="300" t="s">
        <v>26</v>
      </c>
      <c r="Y201" s="300" t="s">
        <v>1248</v>
      </c>
      <c r="Z201" s="300" t="s">
        <v>1251</v>
      </c>
      <c r="AA201" s="300" t="s">
        <v>1251</v>
      </c>
      <c r="AB201" s="300" t="s">
        <v>1</v>
      </c>
      <c r="AC201" s="300"/>
      <c r="AD201" s="328" t="s">
        <v>1642</v>
      </c>
      <c r="AE201" s="328">
        <v>0</v>
      </c>
      <c r="AF201" s="328">
        <v>0</v>
      </c>
      <c r="AG201" s="29">
        <v>72</v>
      </c>
      <c r="AH201" s="329" t="s">
        <v>42</v>
      </c>
      <c r="AI201" s="330">
        <v>1</v>
      </c>
      <c r="AJ201" s="309">
        <v>1</v>
      </c>
      <c r="AK201" s="302"/>
      <c r="AL201" s="303"/>
      <c r="AM201" s="305"/>
      <c r="AN201" s="301"/>
      <c r="AO201" s="305"/>
      <c r="AP201" s="301"/>
      <c r="AQ201" s="301"/>
      <c r="AR201" s="332"/>
    </row>
    <row r="202" spans="1:44">
      <c r="A202" s="299">
        <v>320036.11</v>
      </c>
      <c r="B202" s="300">
        <v>4083729102</v>
      </c>
      <c r="C202" s="300" t="s">
        <v>1935</v>
      </c>
      <c r="D202" s="300" t="s">
        <v>1936</v>
      </c>
      <c r="E202" s="300">
        <v>966</v>
      </c>
      <c r="F202" s="322">
        <v>241641.26</v>
      </c>
      <c r="G202" s="323">
        <v>3.9550000000000001</v>
      </c>
      <c r="H202" s="324">
        <f t="shared" si="6"/>
        <v>3.9550000000000002E-2</v>
      </c>
      <c r="I202" s="325">
        <v>44712</v>
      </c>
      <c r="J202" s="300">
        <v>8</v>
      </c>
      <c r="K202" s="325">
        <v>53858</v>
      </c>
      <c r="L202" s="300">
        <v>300</v>
      </c>
      <c r="M202" s="300">
        <v>293</v>
      </c>
      <c r="N202" s="326">
        <v>44911</v>
      </c>
      <c r="O202" s="323">
        <v>3.3</v>
      </c>
      <c r="P202" s="322">
        <v>31537.809048899999</v>
      </c>
      <c r="Q202" s="300" t="s">
        <v>1517</v>
      </c>
      <c r="R202" s="300" t="s">
        <v>2077</v>
      </c>
      <c r="S202" s="300" t="s">
        <v>2078</v>
      </c>
      <c r="T202" s="300">
        <v>238990</v>
      </c>
      <c r="U202" s="323">
        <v>2.75</v>
      </c>
      <c r="V202" s="327">
        <f t="shared" si="7"/>
        <v>2.75E-2</v>
      </c>
      <c r="W202" s="323">
        <v>1.625</v>
      </c>
      <c r="X202" s="300" t="s">
        <v>26</v>
      </c>
      <c r="Y202" s="300" t="s">
        <v>1248</v>
      </c>
      <c r="Z202" s="300" t="s">
        <v>1251</v>
      </c>
      <c r="AA202" s="300" t="s">
        <v>1251</v>
      </c>
      <c r="AB202" s="300" t="s">
        <v>1556</v>
      </c>
      <c r="AC202" s="300"/>
      <c r="AD202" s="328" t="s">
        <v>1635</v>
      </c>
      <c r="AE202" s="328">
        <v>0</v>
      </c>
      <c r="AF202" s="328">
        <v>0</v>
      </c>
      <c r="AG202" s="29">
        <v>23</v>
      </c>
      <c r="AH202" s="329" t="s">
        <v>87</v>
      </c>
      <c r="AI202" s="330">
        <v>1</v>
      </c>
      <c r="AJ202" s="309">
        <v>1</v>
      </c>
      <c r="AK202" s="302"/>
      <c r="AL202" s="303"/>
      <c r="AM202" s="305"/>
      <c r="AN202" s="301"/>
      <c r="AO202" s="305"/>
      <c r="AP202" s="301"/>
      <c r="AQ202" s="301"/>
      <c r="AR202" s="332"/>
    </row>
    <row r="203" spans="1:44">
      <c r="A203" s="299">
        <v>318521.11</v>
      </c>
      <c r="B203" s="300">
        <v>3860019102</v>
      </c>
      <c r="C203" s="300" t="s">
        <v>1935</v>
      </c>
      <c r="D203" s="300" t="s">
        <v>1936</v>
      </c>
      <c r="E203" s="300">
        <v>966</v>
      </c>
      <c r="F203" s="322">
        <v>4467619.6100000003</v>
      </c>
      <c r="G203" s="323">
        <v>2.9049999999999998</v>
      </c>
      <c r="H203" s="324">
        <f t="shared" si="6"/>
        <v>2.9049999999999999E-2</v>
      </c>
      <c r="I203" s="325">
        <v>44671</v>
      </c>
      <c r="J203" s="300">
        <v>9</v>
      </c>
      <c r="K203" s="325">
        <v>53827</v>
      </c>
      <c r="L203" s="300">
        <v>300</v>
      </c>
      <c r="M203" s="300">
        <v>292</v>
      </c>
      <c r="N203" s="326">
        <v>44896</v>
      </c>
      <c r="O203" s="323">
        <v>3.3</v>
      </c>
      <c r="P203" s="322">
        <v>428288.35391264997</v>
      </c>
      <c r="Q203" s="300" t="s">
        <v>1518</v>
      </c>
      <c r="R203" s="300" t="s">
        <v>2079</v>
      </c>
      <c r="S203" s="300" t="s">
        <v>2080</v>
      </c>
      <c r="T203" s="300">
        <v>332215</v>
      </c>
      <c r="U203" s="323">
        <v>2.25</v>
      </c>
      <c r="V203" s="327">
        <f t="shared" si="7"/>
        <v>2.2499999999999999E-2</v>
      </c>
      <c r="W203" s="323">
        <v>0.57499999999999996</v>
      </c>
      <c r="X203" s="300" t="s">
        <v>26</v>
      </c>
      <c r="Y203" s="300" t="s">
        <v>1248</v>
      </c>
      <c r="Z203" s="300" t="s">
        <v>1251</v>
      </c>
      <c r="AA203" s="300" t="s">
        <v>1251</v>
      </c>
      <c r="AB203" s="300" t="s">
        <v>1556</v>
      </c>
      <c r="AC203" s="300"/>
      <c r="AD203" s="328" t="s">
        <v>1643</v>
      </c>
      <c r="AE203" s="328">
        <v>0</v>
      </c>
      <c r="AF203" s="328">
        <v>0</v>
      </c>
      <c r="AG203" s="29">
        <v>33</v>
      </c>
      <c r="AH203" s="329" t="s">
        <v>52</v>
      </c>
      <c r="AI203" s="330">
        <v>1</v>
      </c>
      <c r="AJ203" s="309">
        <v>1</v>
      </c>
      <c r="AK203" s="302"/>
      <c r="AL203" s="303"/>
      <c r="AM203" s="305"/>
      <c r="AN203" s="301"/>
      <c r="AO203" s="305"/>
      <c r="AP203" s="301"/>
      <c r="AQ203" s="301"/>
      <c r="AR203" s="332"/>
    </row>
    <row r="204" spans="1:44">
      <c r="A204" s="299">
        <v>318495.11</v>
      </c>
      <c r="B204" s="300">
        <v>3141589102</v>
      </c>
      <c r="C204" s="300" t="s">
        <v>1935</v>
      </c>
      <c r="D204" s="300" t="s">
        <v>1936</v>
      </c>
      <c r="E204" s="300">
        <v>966</v>
      </c>
      <c r="F204" s="322">
        <v>3624502.22</v>
      </c>
      <c r="G204" s="323">
        <v>2.9049999999999998</v>
      </c>
      <c r="H204" s="324">
        <f t="shared" si="6"/>
        <v>2.9049999999999999E-2</v>
      </c>
      <c r="I204" s="325">
        <v>44589</v>
      </c>
      <c r="J204" s="300">
        <v>12</v>
      </c>
      <c r="K204" s="325">
        <v>53738</v>
      </c>
      <c r="L204" s="300">
        <v>300</v>
      </c>
      <c r="M204" s="300">
        <v>289</v>
      </c>
      <c r="N204" s="326">
        <v>44896</v>
      </c>
      <c r="O204" s="323">
        <v>3.3</v>
      </c>
      <c r="P204" s="322">
        <v>347462.90532029996</v>
      </c>
      <c r="Q204" s="300" t="s">
        <v>1519</v>
      </c>
      <c r="R204" s="300" t="s">
        <v>2081</v>
      </c>
      <c r="S204" s="300" t="s">
        <v>2082</v>
      </c>
      <c r="T204" s="300">
        <v>445310</v>
      </c>
      <c r="U204" s="323">
        <v>2.25</v>
      </c>
      <c r="V204" s="327">
        <f t="shared" si="7"/>
        <v>2.2499999999999999E-2</v>
      </c>
      <c r="W204" s="323">
        <v>0.57499999999999996</v>
      </c>
      <c r="X204" s="300" t="s">
        <v>26</v>
      </c>
      <c r="Y204" s="300" t="s">
        <v>1248</v>
      </c>
      <c r="Z204" s="300" t="s">
        <v>1251</v>
      </c>
      <c r="AA204" s="300" t="s">
        <v>1251</v>
      </c>
      <c r="AB204" s="300" t="s">
        <v>1556</v>
      </c>
      <c r="AC204" s="300"/>
      <c r="AD204" s="328" t="s">
        <v>1594</v>
      </c>
      <c r="AE204" s="328">
        <v>0</v>
      </c>
      <c r="AF204" s="328">
        <v>0</v>
      </c>
      <c r="AG204" s="29">
        <v>44</v>
      </c>
      <c r="AH204" s="329" t="s">
        <v>74</v>
      </c>
      <c r="AI204" s="330">
        <v>1</v>
      </c>
      <c r="AJ204" s="309">
        <v>1</v>
      </c>
      <c r="AK204" s="302"/>
      <c r="AL204" s="303"/>
      <c r="AM204" s="305"/>
      <c r="AN204" s="301"/>
      <c r="AO204" s="305"/>
      <c r="AP204" s="301"/>
      <c r="AQ204" s="301"/>
      <c r="AR204" s="332"/>
    </row>
    <row r="205" spans="1:44">
      <c r="A205" s="299">
        <v>317730.11</v>
      </c>
      <c r="B205" s="300">
        <v>2869589100</v>
      </c>
      <c r="C205" s="300" t="s">
        <v>1935</v>
      </c>
      <c r="D205" s="300" t="s">
        <v>1936</v>
      </c>
      <c r="E205" s="300">
        <v>966</v>
      </c>
      <c r="F205" s="322">
        <v>3690814.14</v>
      </c>
      <c r="G205" s="323">
        <v>2.9049999999999998</v>
      </c>
      <c r="H205" s="324">
        <f t="shared" si="6"/>
        <v>2.9049999999999999E-2</v>
      </c>
      <c r="I205" s="325">
        <v>44560</v>
      </c>
      <c r="J205" s="300">
        <v>13</v>
      </c>
      <c r="K205" s="325">
        <v>53707</v>
      </c>
      <c r="L205" s="300">
        <v>300</v>
      </c>
      <c r="M205" s="300">
        <v>288</v>
      </c>
      <c r="N205" s="326">
        <v>44923</v>
      </c>
      <c r="O205" s="323">
        <v>3.3</v>
      </c>
      <c r="P205" s="322">
        <v>353819.89753110002</v>
      </c>
      <c r="Q205" s="300" t="s">
        <v>1520</v>
      </c>
      <c r="R205" s="300" t="s">
        <v>2083</v>
      </c>
      <c r="S205" s="300" t="s">
        <v>2084</v>
      </c>
      <c r="T205" s="300">
        <v>721110</v>
      </c>
      <c r="U205" s="323">
        <v>2.25</v>
      </c>
      <c r="V205" s="327">
        <f t="shared" si="7"/>
        <v>2.2499999999999999E-2</v>
      </c>
      <c r="W205" s="323">
        <v>0.57499999999999996</v>
      </c>
      <c r="X205" s="300" t="s">
        <v>26</v>
      </c>
      <c r="Y205" s="300" t="s">
        <v>1248</v>
      </c>
      <c r="Z205" s="300" t="s">
        <v>1251</v>
      </c>
      <c r="AA205" s="300" t="s">
        <v>1251</v>
      </c>
      <c r="AB205" s="300" t="s">
        <v>1556</v>
      </c>
      <c r="AC205" s="300"/>
      <c r="AD205" s="328" t="s">
        <v>1557</v>
      </c>
      <c r="AE205" s="328">
        <v>0</v>
      </c>
      <c r="AF205" s="328">
        <v>0</v>
      </c>
      <c r="AG205" s="29">
        <v>72</v>
      </c>
      <c r="AH205" s="329" t="s">
        <v>89</v>
      </c>
      <c r="AI205" s="330">
        <v>1</v>
      </c>
      <c r="AJ205" s="309">
        <v>1</v>
      </c>
      <c r="AK205" s="302"/>
      <c r="AL205" s="303"/>
      <c r="AM205" s="305"/>
      <c r="AN205" s="301"/>
      <c r="AO205" s="305"/>
      <c r="AP205" s="301"/>
      <c r="AQ205" s="301"/>
      <c r="AR205" s="332"/>
    </row>
    <row r="206" spans="1:44">
      <c r="A206" s="299">
        <v>319992.11</v>
      </c>
      <c r="B206" s="300">
        <v>2880759104</v>
      </c>
      <c r="C206" s="300" t="s">
        <v>1935</v>
      </c>
      <c r="D206" s="300" t="s">
        <v>1936</v>
      </c>
      <c r="E206" s="300">
        <v>966</v>
      </c>
      <c r="F206" s="322">
        <v>943974.03</v>
      </c>
      <c r="G206" s="323">
        <v>2.6549999999999998</v>
      </c>
      <c r="H206" s="324">
        <f t="shared" si="6"/>
        <v>2.6549999999999997E-2</v>
      </c>
      <c r="I206" s="325">
        <v>44559</v>
      </c>
      <c r="J206" s="300">
        <v>13</v>
      </c>
      <c r="K206" s="325">
        <v>53707</v>
      </c>
      <c r="L206" s="300">
        <v>300</v>
      </c>
      <c r="M206" s="300">
        <v>288</v>
      </c>
      <c r="N206" s="326">
        <v>44914</v>
      </c>
      <c r="O206" s="323">
        <v>3.3</v>
      </c>
      <c r="P206" s="322">
        <v>82706.284638450001</v>
      </c>
      <c r="Q206" s="300" t="s">
        <v>1521</v>
      </c>
      <c r="R206" s="300" t="s">
        <v>2085</v>
      </c>
      <c r="S206" s="300" t="s">
        <v>2086</v>
      </c>
      <c r="T206" s="300">
        <v>721110</v>
      </c>
      <c r="U206" s="323">
        <v>2</v>
      </c>
      <c r="V206" s="327">
        <f t="shared" si="7"/>
        <v>0.02</v>
      </c>
      <c r="W206" s="323">
        <v>0.32500000000000001</v>
      </c>
      <c r="X206" s="300" t="s">
        <v>26</v>
      </c>
      <c r="Y206" s="300" t="s">
        <v>1248</v>
      </c>
      <c r="Z206" s="300" t="s">
        <v>1251</v>
      </c>
      <c r="AA206" s="300" t="s">
        <v>1251</v>
      </c>
      <c r="AB206" s="300" t="s">
        <v>1556</v>
      </c>
      <c r="AC206" s="300"/>
      <c r="AD206" s="328" t="s">
        <v>1579</v>
      </c>
      <c r="AE206" s="328">
        <v>0</v>
      </c>
      <c r="AF206" s="328">
        <v>0</v>
      </c>
      <c r="AG206" s="29">
        <v>72</v>
      </c>
      <c r="AH206" s="329" t="s">
        <v>78</v>
      </c>
      <c r="AI206" s="330">
        <v>1</v>
      </c>
      <c r="AJ206" s="309">
        <v>1</v>
      </c>
      <c r="AK206" s="302"/>
      <c r="AL206" s="303"/>
      <c r="AM206" s="305"/>
      <c r="AN206" s="301"/>
      <c r="AO206" s="305"/>
      <c r="AP206" s="301"/>
      <c r="AQ206" s="301"/>
      <c r="AR206" s="332"/>
    </row>
    <row r="207" spans="1:44">
      <c r="A207" s="299">
        <v>319224.11</v>
      </c>
      <c r="B207" s="300">
        <v>1363429107</v>
      </c>
      <c r="C207" s="300" t="s">
        <v>1935</v>
      </c>
      <c r="D207" s="300" t="s">
        <v>1936</v>
      </c>
      <c r="E207" s="300">
        <v>966</v>
      </c>
      <c r="F207" s="322">
        <v>313020.34999999998</v>
      </c>
      <c r="G207" s="323">
        <v>3.4550000000000001</v>
      </c>
      <c r="H207" s="324">
        <f t="shared" si="6"/>
        <v>3.4549999999999997E-2</v>
      </c>
      <c r="I207" s="325">
        <v>44516</v>
      </c>
      <c r="J207" s="300">
        <v>14</v>
      </c>
      <c r="K207" s="325">
        <v>53676</v>
      </c>
      <c r="L207" s="300">
        <v>300</v>
      </c>
      <c r="M207" s="300">
        <v>287</v>
      </c>
      <c r="N207" s="326">
        <v>44900</v>
      </c>
      <c r="O207" s="323">
        <v>3.3</v>
      </c>
      <c r="P207" s="322">
        <v>35689.015205249991</v>
      </c>
      <c r="Q207" s="300" t="s">
        <v>1522</v>
      </c>
      <c r="R207" s="300" t="s">
        <v>2087</v>
      </c>
      <c r="S207" s="300" t="s">
        <v>2088</v>
      </c>
      <c r="T207" s="300">
        <v>811111</v>
      </c>
      <c r="U207" s="323">
        <v>2.25</v>
      </c>
      <c r="V207" s="327">
        <f t="shared" si="7"/>
        <v>2.2499999999999999E-2</v>
      </c>
      <c r="W207" s="323">
        <v>1.125</v>
      </c>
      <c r="X207" s="300" t="s">
        <v>26</v>
      </c>
      <c r="Y207" s="300" t="s">
        <v>1248</v>
      </c>
      <c r="Z207" s="300" t="s">
        <v>1251</v>
      </c>
      <c r="AA207" s="300" t="s">
        <v>1251</v>
      </c>
      <c r="AB207" s="300" t="s">
        <v>1556</v>
      </c>
      <c r="AC207" s="300"/>
      <c r="AD207" s="328" t="s">
        <v>1606</v>
      </c>
      <c r="AE207" s="328">
        <v>0</v>
      </c>
      <c r="AF207" s="328">
        <v>0</v>
      </c>
      <c r="AG207" s="29">
        <v>81</v>
      </c>
      <c r="AH207" s="329" t="s">
        <v>35</v>
      </c>
      <c r="AI207" s="330">
        <v>1</v>
      </c>
      <c r="AJ207" s="309">
        <v>1</v>
      </c>
      <c r="AK207" s="302"/>
      <c r="AL207" s="303"/>
      <c r="AM207" s="305"/>
      <c r="AN207" s="301"/>
      <c r="AO207" s="305"/>
      <c r="AP207" s="301"/>
      <c r="AQ207" s="301"/>
      <c r="AR207" s="332"/>
    </row>
    <row r="208" spans="1:44">
      <c r="A208" s="299">
        <v>319850.11</v>
      </c>
      <c r="B208" s="300">
        <v>1842879110</v>
      </c>
      <c r="C208" s="300" t="s">
        <v>1935</v>
      </c>
      <c r="D208" s="300" t="s">
        <v>1936</v>
      </c>
      <c r="E208" s="300">
        <v>966</v>
      </c>
      <c r="F208" s="322">
        <v>2771319.08</v>
      </c>
      <c r="G208" s="323">
        <v>2.7050000000000001</v>
      </c>
      <c r="H208" s="324">
        <f t="shared" si="6"/>
        <v>2.7050000000000001E-2</v>
      </c>
      <c r="I208" s="325">
        <v>44482</v>
      </c>
      <c r="J208" s="300">
        <v>15</v>
      </c>
      <c r="K208" s="325">
        <v>53646</v>
      </c>
      <c r="L208" s="300">
        <v>300</v>
      </c>
      <c r="M208" s="300">
        <v>286</v>
      </c>
      <c r="N208" s="326">
        <v>44896</v>
      </c>
      <c r="O208" s="323">
        <v>3.3</v>
      </c>
      <c r="P208" s="322">
        <v>247381.79767619999</v>
      </c>
      <c r="Q208" s="300" t="s">
        <v>1523</v>
      </c>
      <c r="R208" s="300" t="s">
        <v>2089</v>
      </c>
      <c r="S208" s="300" t="s">
        <v>2090</v>
      </c>
      <c r="T208" s="300">
        <v>721110</v>
      </c>
      <c r="U208" s="323">
        <v>1.5</v>
      </c>
      <c r="V208" s="327">
        <f t="shared" si="7"/>
        <v>1.4999999999999999E-2</v>
      </c>
      <c r="W208" s="323">
        <v>0.375</v>
      </c>
      <c r="X208" s="300" t="s">
        <v>26</v>
      </c>
      <c r="Y208" s="300" t="s">
        <v>1248</v>
      </c>
      <c r="Z208" s="300" t="s">
        <v>1251</v>
      </c>
      <c r="AA208" s="300" t="s">
        <v>1251</v>
      </c>
      <c r="AB208" s="300" t="s">
        <v>1556</v>
      </c>
      <c r="AC208" s="300"/>
      <c r="AD208" s="328" t="s">
        <v>1644</v>
      </c>
      <c r="AE208" s="328">
        <v>0</v>
      </c>
      <c r="AF208" s="328">
        <v>0</v>
      </c>
      <c r="AG208" s="29">
        <v>72</v>
      </c>
      <c r="AH208" s="329" t="s">
        <v>42</v>
      </c>
      <c r="AI208" s="330">
        <v>1</v>
      </c>
      <c r="AJ208" s="309">
        <v>1</v>
      </c>
      <c r="AK208" s="302"/>
      <c r="AL208" s="303"/>
      <c r="AM208" s="305"/>
      <c r="AN208" s="301"/>
      <c r="AO208" s="305"/>
      <c r="AP208" s="301"/>
      <c r="AQ208" s="301"/>
      <c r="AR208" s="332"/>
    </row>
    <row r="209" spans="1:44">
      <c r="A209" s="299">
        <v>319851.11</v>
      </c>
      <c r="B209" s="300">
        <v>1380999105</v>
      </c>
      <c r="C209" s="300" t="s">
        <v>1935</v>
      </c>
      <c r="D209" s="300" t="s">
        <v>1936</v>
      </c>
      <c r="E209" s="300">
        <v>966</v>
      </c>
      <c r="F209" s="322">
        <v>2260332.5</v>
      </c>
      <c r="G209" s="323">
        <v>2.9550000000000001</v>
      </c>
      <c r="H209" s="324">
        <f t="shared" si="6"/>
        <v>2.955E-2</v>
      </c>
      <c r="I209" s="325">
        <v>44469</v>
      </c>
      <c r="J209" s="300">
        <v>16</v>
      </c>
      <c r="K209" s="325">
        <v>53615</v>
      </c>
      <c r="L209" s="300">
        <v>300</v>
      </c>
      <c r="M209" s="300">
        <v>285</v>
      </c>
      <c r="N209" s="326">
        <v>44896</v>
      </c>
      <c r="O209" s="323">
        <v>3.3</v>
      </c>
      <c r="P209" s="322">
        <v>220416.3237375</v>
      </c>
      <c r="Q209" s="300" t="s">
        <v>1524</v>
      </c>
      <c r="R209" s="300" t="s">
        <v>2091</v>
      </c>
      <c r="S209" s="300" t="s">
        <v>2092</v>
      </c>
      <c r="T209" s="300">
        <v>721110</v>
      </c>
      <c r="U209" s="323">
        <v>1.75</v>
      </c>
      <c r="V209" s="327">
        <f t="shared" si="7"/>
        <v>1.7500000000000002E-2</v>
      </c>
      <c r="W209" s="323">
        <v>0.625</v>
      </c>
      <c r="X209" s="300" t="s">
        <v>26</v>
      </c>
      <c r="Y209" s="300" t="s">
        <v>1248</v>
      </c>
      <c r="Z209" s="300" t="s">
        <v>1251</v>
      </c>
      <c r="AA209" s="300" t="s">
        <v>1251</v>
      </c>
      <c r="AB209" s="300" t="s">
        <v>1556</v>
      </c>
      <c r="AC209" s="300"/>
      <c r="AD209" s="328" t="s">
        <v>1644</v>
      </c>
      <c r="AE209" s="328">
        <v>0</v>
      </c>
      <c r="AF209" s="328">
        <v>0</v>
      </c>
      <c r="AG209" s="29">
        <v>72</v>
      </c>
      <c r="AH209" s="329" t="s">
        <v>42</v>
      </c>
      <c r="AI209" s="330">
        <v>1</v>
      </c>
      <c r="AJ209" s="309">
        <v>1</v>
      </c>
      <c r="AK209" s="302"/>
      <c r="AL209" s="303"/>
      <c r="AM209" s="305"/>
      <c r="AN209" s="301"/>
      <c r="AO209" s="305"/>
      <c r="AP209" s="301"/>
      <c r="AQ209" s="301"/>
      <c r="AR209" s="332"/>
    </row>
    <row r="210" spans="1:44">
      <c r="A210" s="299">
        <v>318203.11</v>
      </c>
      <c r="B210" s="300">
        <v>1174649104</v>
      </c>
      <c r="C210" s="300" t="s">
        <v>1935</v>
      </c>
      <c r="D210" s="300" t="s">
        <v>1936</v>
      </c>
      <c r="E210" s="300">
        <v>966</v>
      </c>
      <c r="F210" s="322">
        <v>375389.3</v>
      </c>
      <c r="G210" s="323">
        <v>3.9550000000000001</v>
      </c>
      <c r="H210" s="324">
        <f t="shared" si="6"/>
        <v>3.9550000000000002E-2</v>
      </c>
      <c r="I210" s="325">
        <v>44386</v>
      </c>
      <c r="J210" s="300">
        <v>18</v>
      </c>
      <c r="K210" s="325">
        <v>53554</v>
      </c>
      <c r="L210" s="300">
        <v>300</v>
      </c>
      <c r="M210" s="300">
        <v>283</v>
      </c>
      <c r="N210" s="326">
        <v>44903</v>
      </c>
      <c r="O210" s="323">
        <v>3.3</v>
      </c>
      <c r="P210" s="322">
        <v>48993.934489500003</v>
      </c>
      <c r="Q210" s="300" t="s">
        <v>1525</v>
      </c>
      <c r="R210" s="300" t="s">
        <v>2093</v>
      </c>
      <c r="S210" s="300" t="s">
        <v>2094</v>
      </c>
      <c r="T210" s="300">
        <v>811490</v>
      </c>
      <c r="U210" s="323">
        <v>2.75</v>
      </c>
      <c r="V210" s="327">
        <f t="shared" si="7"/>
        <v>2.75E-2</v>
      </c>
      <c r="W210" s="323">
        <v>1.625</v>
      </c>
      <c r="X210" s="300" t="s">
        <v>26</v>
      </c>
      <c r="Y210" s="300" t="s">
        <v>1248</v>
      </c>
      <c r="Z210" s="300" t="s">
        <v>1251</v>
      </c>
      <c r="AA210" s="300" t="s">
        <v>1251</v>
      </c>
      <c r="AB210" s="300" t="s">
        <v>1</v>
      </c>
      <c r="AC210" s="300"/>
      <c r="AD210" s="328" t="s">
        <v>1645</v>
      </c>
      <c r="AE210" s="328">
        <v>0</v>
      </c>
      <c r="AF210" s="328">
        <v>0</v>
      </c>
      <c r="AG210" s="29">
        <v>81</v>
      </c>
      <c r="AH210" s="329" t="s">
        <v>84</v>
      </c>
      <c r="AI210" s="330">
        <v>1</v>
      </c>
      <c r="AJ210" s="309">
        <v>1</v>
      </c>
      <c r="AK210" s="302"/>
      <c r="AL210" s="303"/>
      <c r="AM210" s="305"/>
      <c r="AN210" s="301"/>
      <c r="AO210" s="305"/>
      <c r="AP210" s="301"/>
      <c r="AQ210" s="301"/>
      <c r="AR210" s="332"/>
    </row>
    <row r="211" spans="1:44">
      <c r="A211" s="299">
        <v>319385.11</v>
      </c>
      <c r="B211" s="300">
        <v>1146239102</v>
      </c>
      <c r="C211" s="300" t="s">
        <v>1935</v>
      </c>
      <c r="D211" s="300" t="s">
        <v>1936</v>
      </c>
      <c r="E211" s="300">
        <v>966</v>
      </c>
      <c r="F211" s="322">
        <v>211255.05</v>
      </c>
      <c r="G211" s="323">
        <v>3.855</v>
      </c>
      <c r="H211" s="324">
        <f t="shared" si="6"/>
        <v>3.8550000000000001E-2</v>
      </c>
      <c r="I211" s="325">
        <v>44377</v>
      </c>
      <c r="J211" s="300">
        <v>19</v>
      </c>
      <c r="K211" s="325">
        <v>53523</v>
      </c>
      <c r="L211" s="300">
        <v>300</v>
      </c>
      <c r="M211" s="300">
        <v>282</v>
      </c>
      <c r="N211" s="326">
        <v>44900</v>
      </c>
      <c r="O211" s="323">
        <v>3.3</v>
      </c>
      <c r="P211" s="322">
        <v>26874.811185749997</v>
      </c>
      <c r="Q211" s="300" t="s">
        <v>1526</v>
      </c>
      <c r="R211" s="300" t="s">
        <v>2095</v>
      </c>
      <c r="S211" s="300" t="s">
        <v>2096</v>
      </c>
      <c r="T211" s="300">
        <v>541211</v>
      </c>
      <c r="U211" s="323">
        <v>2.65</v>
      </c>
      <c r="V211" s="327">
        <f t="shared" si="7"/>
        <v>2.6499999999999999E-2</v>
      </c>
      <c r="W211" s="323">
        <v>1.5249999999999999</v>
      </c>
      <c r="X211" s="300" t="s">
        <v>26</v>
      </c>
      <c r="Y211" s="300" t="s">
        <v>1248</v>
      </c>
      <c r="Z211" s="300" t="s">
        <v>1251</v>
      </c>
      <c r="AA211" s="300" t="s">
        <v>1251</v>
      </c>
      <c r="AB211" s="300" t="s">
        <v>1556</v>
      </c>
      <c r="AC211" s="300"/>
      <c r="AD211" s="328" t="s">
        <v>1570</v>
      </c>
      <c r="AE211" s="328">
        <v>0</v>
      </c>
      <c r="AF211" s="328">
        <v>0</v>
      </c>
      <c r="AG211" s="29">
        <v>54</v>
      </c>
      <c r="AH211" s="329" t="s">
        <v>82</v>
      </c>
      <c r="AI211" s="330">
        <v>1</v>
      </c>
      <c r="AJ211" s="309">
        <v>1</v>
      </c>
      <c r="AK211" s="302"/>
      <c r="AL211" s="303"/>
      <c r="AM211" s="305"/>
      <c r="AN211" s="301"/>
      <c r="AO211" s="305"/>
      <c r="AP211" s="301"/>
      <c r="AQ211" s="301"/>
      <c r="AR211" s="332"/>
    </row>
    <row r="212" spans="1:44">
      <c r="A212" s="299">
        <v>310067.11</v>
      </c>
      <c r="B212" s="300">
        <v>3086437009</v>
      </c>
      <c r="C212" s="300" t="s">
        <v>1935</v>
      </c>
      <c r="D212" s="300" t="s">
        <v>1936</v>
      </c>
      <c r="E212" s="300">
        <v>969</v>
      </c>
      <c r="F212" s="322">
        <v>3149041.63</v>
      </c>
      <c r="G212" s="323">
        <v>2.9049999999999998</v>
      </c>
      <c r="H212" s="324">
        <f t="shared" si="6"/>
        <v>2.9049999999999999E-2</v>
      </c>
      <c r="I212" s="325">
        <v>43440</v>
      </c>
      <c r="J212" s="300">
        <v>49</v>
      </c>
      <c r="K212" s="325">
        <v>52611</v>
      </c>
      <c r="L212" s="300">
        <v>300</v>
      </c>
      <c r="M212" s="300">
        <v>252</v>
      </c>
      <c r="N212" s="326">
        <v>44908</v>
      </c>
      <c r="O212" s="323">
        <v>3.3</v>
      </c>
      <c r="P212" s="322">
        <v>301882.87585994997</v>
      </c>
      <c r="Q212" s="300" t="s">
        <v>1527</v>
      </c>
      <c r="R212" s="300" t="s">
        <v>2097</v>
      </c>
      <c r="S212" s="300" t="s">
        <v>2098</v>
      </c>
      <c r="T212" s="300">
        <v>722511</v>
      </c>
      <c r="U212" s="323">
        <v>2.25</v>
      </c>
      <c r="V212" s="327">
        <f t="shared" si="7"/>
        <v>2.2499999999999999E-2</v>
      </c>
      <c r="W212" s="323">
        <v>0.57499999999999996</v>
      </c>
      <c r="X212" s="300" t="s">
        <v>26</v>
      </c>
      <c r="Y212" s="300" t="s">
        <v>1248</v>
      </c>
      <c r="Z212" s="300" t="s">
        <v>1251</v>
      </c>
      <c r="AA212" s="300" t="s">
        <v>1251</v>
      </c>
      <c r="AB212" s="300" t="s">
        <v>1</v>
      </c>
      <c r="AC212" s="300"/>
      <c r="AD212" s="328" t="s">
        <v>1607</v>
      </c>
      <c r="AE212" s="328">
        <v>0</v>
      </c>
      <c r="AF212" s="328">
        <v>0</v>
      </c>
      <c r="AG212" s="29">
        <v>72</v>
      </c>
      <c r="AH212" s="329" t="s">
        <v>74</v>
      </c>
      <c r="AI212" s="330">
        <v>1</v>
      </c>
      <c r="AJ212" s="309">
        <v>1</v>
      </c>
      <c r="AK212" s="302"/>
      <c r="AL212" s="303"/>
      <c r="AM212" s="305"/>
      <c r="AN212" s="301"/>
      <c r="AO212" s="305"/>
      <c r="AP212" s="301"/>
      <c r="AQ212" s="301"/>
      <c r="AR212" s="332"/>
    </row>
    <row r="213" spans="1:44">
      <c r="A213" s="299">
        <v>319831.11</v>
      </c>
      <c r="B213" s="300">
        <v>4434349109</v>
      </c>
      <c r="C213" s="300" t="s">
        <v>1935</v>
      </c>
      <c r="D213" s="300" t="s">
        <v>1936</v>
      </c>
      <c r="E213" s="300">
        <v>969</v>
      </c>
      <c r="F213" s="322">
        <v>1422420.52</v>
      </c>
      <c r="G213" s="323">
        <v>3.1549999999999998</v>
      </c>
      <c r="H213" s="324">
        <f t="shared" si="6"/>
        <v>3.1549999999999995E-2</v>
      </c>
      <c r="I213" s="325">
        <v>44867</v>
      </c>
      <c r="J213" s="300">
        <v>2</v>
      </c>
      <c r="K213" s="325">
        <v>52580</v>
      </c>
      <c r="L213" s="300">
        <v>252</v>
      </c>
      <c r="M213" s="300">
        <v>251</v>
      </c>
      <c r="N213" s="326">
        <v>44905</v>
      </c>
      <c r="O213" s="323">
        <v>3.3</v>
      </c>
      <c r="P213" s="322">
        <v>148095.31243979998</v>
      </c>
      <c r="Q213" s="300" t="s">
        <v>1528</v>
      </c>
      <c r="R213" s="300" t="s">
        <v>2099</v>
      </c>
      <c r="S213" s="300" t="s">
        <v>2100</v>
      </c>
      <c r="T213" s="300">
        <v>444180</v>
      </c>
      <c r="U213" s="323">
        <v>2.5</v>
      </c>
      <c r="V213" s="327">
        <f t="shared" si="7"/>
        <v>2.5000000000000001E-2</v>
      </c>
      <c r="W213" s="323">
        <v>0.82499999999999996</v>
      </c>
      <c r="X213" s="300" t="s">
        <v>26</v>
      </c>
      <c r="Y213" s="300" t="s">
        <v>1248</v>
      </c>
      <c r="Z213" s="300" t="s">
        <v>1251</v>
      </c>
      <c r="AA213" s="300" t="s">
        <v>1251</v>
      </c>
      <c r="AB213" s="300" t="s">
        <v>1556</v>
      </c>
      <c r="AC213" s="300"/>
      <c r="AD213" s="328" t="s">
        <v>1646</v>
      </c>
      <c r="AE213" s="328">
        <v>0</v>
      </c>
      <c r="AF213" s="328">
        <v>0</v>
      </c>
      <c r="AG213" s="29">
        <v>44</v>
      </c>
      <c r="AH213" s="329" t="s">
        <v>116</v>
      </c>
      <c r="AI213" s="330">
        <v>1</v>
      </c>
      <c r="AJ213" s="309">
        <v>1</v>
      </c>
      <c r="AK213" s="302"/>
      <c r="AL213" s="303"/>
      <c r="AM213" s="305"/>
      <c r="AN213" s="301"/>
      <c r="AO213" s="305"/>
      <c r="AP213" s="301"/>
      <c r="AQ213" s="301"/>
      <c r="AR213" s="332"/>
    </row>
    <row r="214" spans="1:44">
      <c r="A214" s="299">
        <v>319578.11</v>
      </c>
      <c r="B214" s="300">
        <v>3951829104</v>
      </c>
      <c r="C214" s="300" t="s">
        <v>1935</v>
      </c>
      <c r="D214" s="300" t="s">
        <v>1936</v>
      </c>
      <c r="E214" s="300">
        <v>969</v>
      </c>
      <c r="F214" s="322">
        <v>624675</v>
      </c>
      <c r="G214" s="323">
        <v>3.4649999999999999</v>
      </c>
      <c r="H214" s="324">
        <f t="shared" si="6"/>
        <v>3.465E-2</v>
      </c>
      <c r="I214" s="325">
        <v>44683</v>
      </c>
      <c r="J214" s="300">
        <v>8</v>
      </c>
      <c r="K214" s="325">
        <v>52397</v>
      </c>
      <c r="L214" s="300">
        <v>252</v>
      </c>
      <c r="M214" s="300">
        <v>245</v>
      </c>
      <c r="N214" s="326">
        <v>44896</v>
      </c>
      <c r="O214" s="323">
        <v>3.3</v>
      </c>
      <c r="P214" s="322">
        <v>71428.462874999997</v>
      </c>
      <c r="Q214" s="300" t="s">
        <v>1529</v>
      </c>
      <c r="R214" s="300" t="s">
        <v>2101</v>
      </c>
      <c r="S214" s="300" t="s">
        <v>2102</v>
      </c>
      <c r="T214" s="300">
        <v>722511</v>
      </c>
      <c r="U214" s="323">
        <v>2.75</v>
      </c>
      <c r="V214" s="327">
        <f t="shared" si="7"/>
        <v>2.75E-2</v>
      </c>
      <c r="W214" s="323">
        <v>1.135</v>
      </c>
      <c r="X214" s="300" t="s">
        <v>26</v>
      </c>
      <c r="Y214" s="300" t="s">
        <v>1248</v>
      </c>
      <c r="Z214" s="300" t="s">
        <v>1251</v>
      </c>
      <c r="AA214" s="300" t="s">
        <v>1251</v>
      </c>
      <c r="AB214" s="300" t="s">
        <v>1556</v>
      </c>
      <c r="AC214" s="300"/>
      <c r="AD214" s="328" t="s">
        <v>1602</v>
      </c>
      <c r="AE214" s="328">
        <v>0</v>
      </c>
      <c r="AF214" s="328">
        <v>0</v>
      </c>
      <c r="AG214" s="29">
        <v>72</v>
      </c>
      <c r="AH214" s="329" t="s">
        <v>189</v>
      </c>
      <c r="AI214" s="330">
        <v>1</v>
      </c>
      <c r="AJ214" s="309">
        <v>1</v>
      </c>
      <c r="AK214" s="302"/>
      <c r="AL214" s="303"/>
      <c r="AM214" s="305"/>
      <c r="AN214" s="301"/>
      <c r="AO214" s="305"/>
      <c r="AP214" s="301"/>
      <c r="AQ214" s="301"/>
      <c r="AR214" s="332"/>
    </row>
    <row r="215" spans="1:44">
      <c r="A215" s="299">
        <v>319475.11</v>
      </c>
      <c r="B215" s="300">
        <v>8371098709</v>
      </c>
      <c r="C215" s="300" t="s">
        <v>1935</v>
      </c>
      <c r="D215" s="300" t="s">
        <v>1936</v>
      </c>
      <c r="E215" s="300">
        <v>969</v>
      </c>
      <c r="F215" s="322">
        <v>1446774.33</v>
      </c>
      <c r="G215" s="323">
        <v>2.7050000000000001</v>
      </c>
      <c r="H215" s="324">
        <f t="shared" si="6"/>
        <v>2.7050000000000001E-2</v>
      </c>
      <c r="I215" s="325">
        <v>44398</v>
      </c>
      <c r="J215" s="300">
        <v>18</v>
      </c>
      <c r="K215" s="325">
        <v>52001</v>
      </c>
      <c r="L215" s="300">
        <v>249</v>
      </c>
      <c r="M215" s="300">
        <v>232</v>
      </c>
      <c r="N215" s="326">
        <v>44900</v>
      </c>
      <c r="O215" s="323">
        <v>3.3</v>
      </c>
      <c r="P215" s="322">
        <v>129146.31056745</v>
      </c>
      <c r="Q215" s="300" t="s">
        <v>1530</v>
      </c>
      <c r="R215" s="300" t="s">
        <v>2103</v>
      </c>
      <c r="S215" s="300" t="s">
        <v>2104</v>
      </c>
      <c r="T215" s="300">
        <v>722513</v>
      </c>
      <c r="U215" s="323">
        <v>1.5</v>
      </c>
      <c r="V215" s="327">
        <f t="shared" si="7"/>
        <v>1.4999999999999999E-2</v>
      </c>
      <c r="W215" s="323">
        <v>0.375</v>
      </c>
      <c r="X215" s="300" t="s">
        <v>26</v>
      </c>
      <c r="Y215" s="300" t="s">
        <v>1248</v>
      </c>
      <c r="Z215" s="300" t="s">
        <v>1251</v>
      </c>
      <c r="AA215" s="300" t="s">
        <v>1251</v>
      </c>
      <c r="AB215" s="300" t="s">
        <v>1556</v>
      </c>
      <c r="AC215" s="300"/>
      <c r="AD215" s="328" t="s">
        <v>1647</v>
      </c>
      <c r="AE215" s="328">
        <v>0</v>
      </c>
      <c r="AF215" s="328">
        <v>0</v>
      </c>
      <c r="AG215" s="29">
        <v>72</v>
      </c>
      <c r="AH215" s="329" t="s">
        <v>42</v>
      </c>
      <c r="AI215" s="330">
        <v>1</v>
      </c>
      <c r="AJ215" s="309">
        <v>1</v>
      </c>
      <c r="AK215" s="302"/>
      <c r="AL215" s="303"/>
      <c r="AM215" s="305"/>
      <c r="AN215" s="301"/>
      <c r="AO215" s="305"/>
      <c r="AP215" s="301"/>
      <c r="AQ215" s="301"/>
      <c r="AR215" s="332"/>
    </row>
    <row r="216" spans="1:44">
      <c r="A216" s="299">
        <v>320096.11</v>
      </c>
      <c r="B216" s="300">
        <v>3240859106</v>
      </c>
      <c r="C216" s="300" t="s">
        <v>1935</v>
      </c>
      <c r="D216" s="300" t="s">
        <v>1936</v>
      </c>
      <c r="E216" s="300">
        <v>969</v>
      </c>
      <c r="F216" s="322">
        <v>835677.37</v>
      </c>
      <c r="G216" s="323">
        <v>2.6549999999999998</v>
      </c>
      <c r="H216" s="324">
        <f t="shared" si="6"/>
        <v>2.6549999999999997E-2</v>
      </c>
      <c r="I216" s="325">
        <v>44602</v>
      </c>
      <c r="J216" s="300">
        <v>11</v>
      </c>
      <c r="K216" s="325">
        <v>52154</v>
      </c>
      <c r="L216" s="300">
        <v>247</v>
      </c>
      <c r="M216" s="300">
        <v>237</v>
      </c>
      <c r="N216" s="326">
        <v>44923</v>
      </c>
      <c r="O216" s="323">
        <v>3.3</v>
      </c>
      <c r="P216" s="322">
        <v>73217.872772549992</v>
      </c>
      <c r="Q216" s="300" t="s">
        <v>1531</v>
      </c>
      <c r="R216" s="300" t="s">
        <v>2105</v>
      </c>
      <c r="S216" s="300" t="s">
        <v>2106</v>
      </c>
      <c r="T216" s="300">
        <v>721110</v>
      </c>
      <c r="U216" s="323">
        <v>2</v>
      </c>
      <c r="V216" s="327">
        <f t="shared" si="7"/>
        <v>0.02</v>
      </c>
      <c r="W216" s="323">
        <v>0.32500000000000001</v>
      </c>
      <c r="X216" s="300" t="s">
        <v>26</v>
      </c>
      <c r="Y216" s="300" t="s">
        <v>1248</v>
      </c>
      <c r="Z216" s="300" t="s">
        <v>1251</v>
      </c>
      <c r="AA216" s="300" t="s">
        <v>1251</v>
      </c>
      <c r="AB216" s="300" t="s">
        <v>1556</v>
      </c>
      <c r="AC216" s="300"/>
      <c r="AD216" s="328" t="s">
        <v>1648</v>
      </c>
      <c r="AE216" s="328">
        <v>0</v>
      </c>
      <c r="AF216" s="328">
        <v>0</v>
      </c>
      <c r="AG216" s="29">
        <v>72</v>
      </c>
      <c r="AH216" s="329" t="s">
        <v>35</v>
      </c>
      <c r="AI216" s="330">
        <v>1</v>
      </c>
      <c r="AJ216" s="309">
        <v>1</v>
      </c>
      <c r="AK216" s="302"/>
      <c r="AL216" s="303"/>
      <c r="AM216" s="305"/>
      <c r="AN216" s="301"/>
      <c r="AO216" s="305"/>
      <c r="AP216" s="301"/>
      <c r="AQ216" s="301"/>
      <c r="AR216" s="332"/>
    </row>
    <row r="217" spans="1:44">
      <c r="A217" s="299">
        <v>319966.11</v>
      </c>
      <c r="B217" s="300">
        <v>3857269106</v>
      </c>
      <c r="C217" s="300" t="s">
        <v>1935</v>
      </c>
      <c r="D217" s="300" t="s">
        <v>1936</v>
      </c>
      <c r="E217" s="300">
        <v>969</v>
      </c>
      <c r="F217" s="322">
        <v>621000</v>
      </c>
      <c r="G217" s="323">
        <v>3.4649999999999999</v>
      </c>
      <c r="H217" s="324">
        <f t="shared" si="6"/>
        <v>3.465E-2</v>
      </c>
      <c r="I217" s="325">
        <v>44691</v>
      </c>
      <c r="J217" s="300">
        <v>8</v>
      </c>
      <c r="K217" s="325">
        <v>52215</v>
      </c>
      <c r="L217" s="300">
        <v>246</v>
      </c>
      <c r="M217" s="300">
        <v>239</v>
      </c>
      <c r="N217" s="326">
        <v>44925</v>
      </c>
      <c r="O217" s="323">
        <v>3.3</v>
      </c>
      <c r="P217" s="322">
        <v>71008.244999999995</v>
      </c>
      <c r="Q217" s="300" t="s">
        <v>1532</v>
      </c>
      <c r="R217" s="300" t="s">
        <v>2107</v>
      </c>
      <c r="S217" s="300" t="s">
        <v>2108</v>
      </c>
      <c r="T217" s="300">
        <v>524210</v>
      </c>
      <c r="U217" s="323">
        <v>2.75</v>
      </c>
      <c r="V217" s="327">
        <f t="shared" si="7"/>
        <v>2.75E-2</v>
      </c>
      <c r="W217" s="323">
        <v>1.135</v>
      </c>
      <c r="X217" s="300" t="s">
        <v>26</v>
      </c>
      <c r="Y217" s="300" t="s">
        <v>1248</v>
      </c>
      <c r="Z217" s="300" t="s">
        <v>1251</v>
      </c>
      <c r="AA217" s="300" t="s">
        <v>1251</v>
      </c>
      <c r="AB217" s="300" t="s">
        <v>1556</v>
      </c>
      <c r="AC217" s="300"/>
      <c r="AD217" s="328" t="s">
        <v>1602</v>
      </c>
      <c r="AE217" s="328">
        <v>0</v>
      </c>
      <c r="AF217" s="328">
        <v>0</v>
      </c>
      <c r="AG217" s="29">
        <v>52</v>
      </c>
      <c r="AH217" s="329" t="s">
        <v>189</v>
      </c>
      <c r="AI217" s="330">
        <v>1</v>
      </c>
      <c r="AJ217" s="309">
        <v>1</v>
      </c>
      <c r="AK217" s="302"/>
      <c r="AL217" s="303"/>
      <c r="AM217" s="305"/>
      <c r="AN217" s="301"/>
      <c r="AO217" s="305"/>
      <c r="AP217" s="301"/>
      <c r="AQ217" s="301"/>
      <c r="AR217" s="332"/>
    </row>
    <row r="218" spans="1:44">
      <c r="A218" s="299">
        <v>319967.11</v>
      </c>
      <c r="B218" s="300">
        <v>2716739107</v>
      </c>
      <c r="C218" s="300" t="s">
        <v>1935</v>
      </c>
      <c r="D218" s="300" t="s">
        <v>1936</v>
      </c>
      <c r="E218" s="300">
        <v>969</v>
      </c>
      <c r="F218" s="322">
        <v>1745861.47</v>
      </c>
      <c r="G218" s="323">
        <v>2.1549999999999998</v>
      </c>
      <c r="H218" s="324">
        <f t="shared" si="6"/>
        <v>2.155E-2</v>
      </c>
      <c r="I218" s="325">
        <v>44568</v>
      </c>
      <c r="J218" s="300">
        <v>12</v>
      </c>
      <c r="K218" s="325">
        <v>52093</v>
      </c>
      <c r="L218" s="300">
        <v>246</v>
      </c>
      <c r="M218" s="300">
        <v>235</v>
      </c>
      <c r="N218" s="326">
        <v>44932</v>
      </c>
      <c r="O218" s="323">
        <v>3.3</v>
      </c>
      <c r="P218" s="322">
        <v>124156.93843904999</v>
      </c>
      <c r="Q218" s="300" t="s">
        <v>1533</v>
      </c>
      <c r="R218" s="300" t="s">
        <v>2109</v>
      </c>
      <c r="S218" s="300" t="s">
        <v>2110</v>
      </c>
      <c r="T218" s="300">
        <v>332322</v>
      </c>
      <c r="U218" s="323">
        <v>1.5</v>
      </c>
      <c r="V218" s="327">
        <f t="shared" si="7"/>
        <v>1.4999999999999999E-2</v>
      </c>
      <c r="W218" s="323">
        <v>-0.17499999999999999</v>
      </c>
      <c r="X218" s="300" t="s">
        <v>26</v>
      </c>
      <c r="Y218" s="300" t="s">
        <v>1248</v>
      </c>
      <c r="Z218" s="300" t="s">
        <v>1251</v>
      </c>
      <c r="AA218" s="300" t="s">
        <v>1251</v>
      </c>
      <c r="AB218" s="300" t="s">
        <v>1556</v>
      </c>
      <c r="AC218" s="300"/>
      <c r="AD218" s="328" t="s">
        <v>1602</v>
      </c>
      <c r="AE218" s="328">
        <v>0</v>
      </c>
      <c r="AF218" s="328">
        <v>0</v>
      </c>
      <c r="AG218" s="29">
        <v>33</v>
      </c>
      <c r="AH218" s="329" t="s">
        <v>29</v>
      </c>
      <c r="AI218" s="330">
        <v>1</v>
      </c>
      <c r="AJ218" s="309">
        <v>1</v>
      </c>
      <c r="AK218" s="302"/>
      <c r="AL218" s="303"/>
      <c r="AM218" s="305"/>
      <c r="AN218" s="301"/>
      <c r="AO218" s="305"/>
      <c r="AP218" s="301"/>
      <c r="AQ218" s="301"/>
      <c r="AR218" s="332"/>
    </row>
    <row r="219" spans="1:44">
      <c r="A219" s="299">
        <v>320104.11</v>
      </c>
      <c r="B219" s="300">
        <v>4550569102</v>
      </c>
      <c r="C219" s="300" t="s">
        <v>1935</v>
      </c>
      <c r="D219" s="300" t="s">
        <v>1936</v>
      </c>
      <c r="E219" s="300">
        <v>969</v>
      </c>
      <c r="F219" s="322">
        <v>2702700</v>
      </c>
      <c r="G219" s="323">
        <v>2.6549999999999998</v>
      </c>
      <c r="H219" s="324">
        <f t="shared" si="6"/>
        <v>2.6549999999999997E-2</v>
      </c>
      <c r="I219" s="325">
        <v>44902</v>
      </c>
      <c r="J219" s="300">
        <v>1</v>
      </c>
      <c r="K219" s="325">
        <v>52246</v>
      </c>
      <c r="L219" s="300">
        <v>240</v>
      </c>
      <c r="M219" s="300">
        <v>240</v>
      </c>
      <c r="N219" s="326">
        <v>44925</v>
      </c>
      <c r="O219" s="323">
        <v>3.3</v>
      </c>
      <c r="P219" s="322">
        <v>236797.06049999996</v>
      </c>
      <c r="Q219" s="300" t="s">
        <v>1534</v>
      </c>
      <c r="R219" s="300" t="s">
        <v>2111</v>
      </c>
      <c r="S219" s="300" t="s">
        <v>2112</v>
      </c>
      <c r="T219" s="300">
        <v>112390</v>
      </c>
      <c r="U219" s="323">
        <v>2</v>
      </c>
      <c r="V219" s="327">
        <f t="shared" si="7"/>
        <v>0.02</v>
      </c>
      <c r="W219" s="323">
        <v>0.32500000000000001</v>
      </c>
      <c r="X219" s="300" t="s">
        <v>26</v>
      </c>
      <c r="Y219" s="300" t="s">
        <v>1248</v>
      </c>
      <c r="Z219" s="300" t="s">
        <v>1251</v>
      </c>
      <c r="AA219" s="300" t="s">
        <v>1251</v>
      </c>
      <c r="AB219" s="300" t="s">
        <v>1556</v>
      </c>
      <c r="AC219" s="300"/>
      <c r="AD219" s="328" t="s">
        <v>1649</v>
      </c>
      <c r="AE219" s="328">
        <v>0</v>
      </c>
      <c r="AF219" s="328">
        <v>0</v>
      </c>
      <c r="AG219" s="29">
        <v>11</v>
      </c>
      <c r="AH219" s="329" t="s">
        <v>40</v>
      </c>
      <c r="AI219" s="330">
        <v>1</v>
      </c>
      <c r="AJ219" s="309">
        <v>1</v>
      </c>
      <c r="AK219" s="302"/>
      <c r="AL219" s="303"/>
      <c r="AM219" s="305"/>
      <c r="AN219" s="301"/>
      <c r="AO219" s="305"/>
      <c r="AP219" s="301"/>
      <c r="AQ219" s="301"/>
      <c r="AR219" s="332"/>
    </row>
    <row r="220" spans="1:44">
      <c r="A220" s="299">
        <v>320163.11</v>
      </c>
      <c r="B220" s="300">
        <v>4419699100</v>
      </c>
      <c r="C220" s="300" t="s">
        <v>1935</v>
      </c>
      <c r="D220" s="300" t="s">
        <v>1936</v>
      </c>
      <c r="E220" s="300">
        <v>969</v>
      </c>
      <c r="F220" s="322">
        <v>499268.18</v>
      </c>
      <c r="G220" s="323">
        <v>2.6549999999999998</v>
      </c>
      <c r="H220" s="324">
        <f t="shared" si="6"/>
        <v>2.6549999999999997E-2</v>
      </c>
      <c r="I220" s="325">
        <v>44896</v>
      </c>
      <c r="J220" s="300">
        <v>1</v>
      </c>
      <c r="K220" s="325">
        <v>52246</v>
      </c>
      <c r="L220" s="300">
        <v>240</v>
      </c>
      <c r="M220" s="300">
        <v>240</v>
      </c>
      <c r="N220" s="326" t="s">
        <v>1251</v>
      </c>
      <c r="O220" s="323">
        <v>3.3</v>
      </c>
      <c r="P220" s="322">
        <v>43743.381590699995</v>
      </c>
      <c r="Q220" s="300" t="s">
        <v>1535</v>
      </c>
      <c r="R220" s="300" t="s">
        <v>2113</v>
      </c>
      <c r="S220" s="300" t="s">
        <v>2114</v>
      </c>
      <c r="T220" s="300">
        <v>445131</v>
      </c>
      <c r="U220" s="323">
        <v>2</v>
      </c>
      <c r="V220" s="327">
        <f t="shared" si="7"/>
        <v>0.02</v>
      </c>
      <c r="W220" s="323">
        <v>0.32500000000000001</v>
      </c>
      <c r="X220" s="300" t="s">
        <v>26</v>
      </c>
      <c r="Y220" s="300" t="s">
        <v>1248</v>
      </c>
      <c r="Z220" s="300" t="s">
        <v>1251</v>
      </c>
      <c r="AA220" s="300" t="s">
        <v>1251</v>
      </c>
      <c r="AB220" s="300" t="s">
        <v>1556</v>
      </c>
      <c r="AC220" s="300"/>
      <c r="AD220" s="328" t="s">
        <v>1603</v>
      </c>
      <c r="AE220" s="328">
        <v>0</v>
      </c>
      <c r="AF220" s="328">
        <v>0</v>
      </c>
      <c r="AG220" s="29">
        <v>44</v>
      </c>
      <c r="AH220" s="329" t="s">
        <v>35</v>
      </c>
      <c r="AI220" s="330">
        <v>1</v>
      </c>
      <c r="AJ220" s="309">
        <v>1</v>
      </c>
      <c r="AK220" s="302"/>
      <c r="AL220" s="303"/>
      <c r="AM220" s="305"/>
      <c r="AN220" s="301"/>
      <c r="AO220" s="305"/>
      <c r="AP220" s="301"/>
      <c r="AQ220" s="301"/>
      <c r="AR220" s="332"/>
    </row>
    <row r="221" spans="1:44">
      <c r="A221" s="299">
        <v>319978.11</v>
      </c>
      <c r="B221" s="300">
        <v>1392849103</v>
      </c>
      <c r="C221" s="300" t="s">
        <v>1935</v>
      </c>
      <c r="D221" s="300" t="s">
        <v>1936</v>
      </c>
      <c r="E221" s="300">
        <v>969</v>
      </c>
      <c r="F221" s="322">
        <v>605349.35</v>
      </c>
      <c r="G221" s="323">
        <v>3.4550000000000001</v>
      </c>
      <c r="H221" s="324">
        <f t="shared" si="6"/>
        <v>3.4549999999999997E-2</v>
      </c>
      <c r="I221" s="325">
        <v>44875</v>
      </c>
      <c r="J221" s="300">
        <v>2</v>
      </c>
      <c r="K221" s="325">
        <v>52215</v>
      </c>
      <c r="L221" s="300">
        <v>240</v>
      </c>
      <c r="M221" s="300">
        <v>239</v>
      </c>
      <c r="N221" s="326">
        <v>44905</v>
      </c>
      <c r="O221" s="323">
        <v>3.3</v>
      </c>
      <c r="P221" s="322">
        <v>69018.906140249979</v>
      </c>
      <c r="Q221" s="300" t="s">
        <v>1536</v>
      </c>
      <c r="R221" s="300" t="s">
        <v>2115</v>
      </c>
      <c r="S221" s="300" t="s">
        <v>2116</v>
      </c>
      <c r="T221" s="300">
        <v>722513</v>
      </c>
      <c r="U221" s="323">
        <v>2.25</v>
      </c>
      <c r="V221" s="327">
        <f t="shared" si="7"/>
        <v>2.2499999999999999E-2</v>
      </c>
      <c r="W221" s="323">
        <v>1.125</v>
      </c>
      <c r="X221" s="300" t="s">
        <v>26</v>
      </c>
      <c r="Y221" s="300" t="s">
        <v>1248</v>
      </c>
      <c r="Z221" s="300" t="s">
        <v>1251</v>
      </c>
      <c r="AA221" s="300" t="s">
        <v>1251</v>
      </c>
      <c r="AB221" s="300" t="s">
        <v>1556</v>
      </c>
      <c r="AC221" s="300"/>
      <c r="AD221" s="328" t="s">
        <v>1603</v>
      </c>
      <c r="AE221" s="328">
        <v>0</v>
      </c>
      <c r="AF221" s="328">
        <v>0</v>
      </c>
      <c r="AG221" s="29">
        <v>72</v>
      </c>
      <c r="AH221" s="329" t="s">
        <v>42</v>
      </c>
      <c r="AI221" s="330">
        <v>1</v>
      </c>
      <c r="AJ221" s="309">
        <v>1</v>
      </c>
      <c r="AK221" s="302"/>
      <c r="AL221" s="303"/>
      <c r="AM221" s="305"/>
      <c r="AN221" s="301"/>
      <c r="AO221" s="305"/>
      <c r="AP221" s="301"/>
      <c r="AQ221" s="301"/>
      <c r="AR221" s="332"/>
    </row>
    <row r="222" spans="1:44">
      <c r="A222" s="299">
        <v>320001.11</v>
      </c>
      <c r="B222" s="300">
        <v>4264099102</v>
      </c>
      <c r="C222" s="300" t="s">
        <v>1935</v>
      </c>
      <c r="D222" s="300" t="s">
        <v>1936</v>
      </c>
      <c r="E222" s="300">
        <v>969</v>
      </c>
      <c r="F222" s="322">
        <v>375487.98</v>
      </c>
      <c r="G222" s="323">
        <v>2.7149999999999999</v>
      </c>
      <c r="H222" s="324">
        <f t="shared" si="6"/>
        <v>2.7149999999999997E-2</v>
      </c>
      <c r="I222" s="325">
        <v>44873</v>
      </c>
      <c r="J222" s="300">
        <v>2</v>
      </c>
      <c r="K222" s="325">
        <v>52215</v>
      </c>
      <c r="L222" s="300">
        <v>240</v>
      </c>
      <c r="M222" s="300">
        <v>239</v>
      </c>
      <c r="N222" s="326">
        <v>44908</v>
      </c>
      <c r="O222" s="323">
        <v>3.3</v>
      </c>
      <c r="P222" s="322">
        <v>33641.84556809999</v>
      </c>
      <c r="Q222" s="300" t="s">
        <v>1537</v>
      </c>
      <c r="R222" s="300" t="s">
        <v>2117</v>
      </c>
      <c r="S222" s="300" t="s">
        <v>2118</v>
      </c>
      <c r="T222" s="300">
        <v>811310</v>
      </c>
      <c r="U222" s="323">
        <v>2</v>
      </c>
      <c r="V222" s="327">
        <f t="shared" si="7"/>
        <v>0.02</v>
      </c>
      <c r="W222" s="323">
        <v>0.38500000000000001</v>
      </c>
      <c r="X222" s="300" t="s">
        <v>26</v>
      </c>
      <c r="Y222" s="300" t="s">
        <v>1248</v>
      </c>
      <c r="Z222" s="300" t="s">
        <v>1251</v>
      </c>
      <c r="AA222" s="300" t="s">
        <v>1251</v>
      </c>
      <c r="AB222" s="300" t="s">
        <v>1556</v>
      </c>
      <c r="AC222" s="300"/>
      <c r="AD222" s="328" t="s">
        <v>1603</v>
      </c>
      <c r="AE222" s="328">
        <v>0</v>
      </c>
      <c r="AF222" s="328">
        <v>0</v>
      </c>
      <c r="AG222" s="29">
        <v>81</v>
      </c>
      <c r="AH222" s="329" t="s">
        <v>35</v>
      </c>
      <c r="AI222" s="330">
        <v>1</v>
      </c>
      <c r="AJ222" s="309">
        <v>1</v>
      </c>
      <c r="AK222" s="302"/>
      <c r="AL222" s="303"/>
      <c r="AM222" s="305"/>
      <c r="AN222" s="301"/>
      <c r="AO222" s="305"/>
      <c r="AP222" s="301"/>
      <c r="AQ222" s="301"/>
      <c r="AR222" s="332"/>
    </row>
    <row r="223" spans="1:44">
      <c r="A223" s="299">
        <v>319982.11</v>
      </c>
      <c r="B223" s="300">
        <v>4248259102</v>
      </c>
      <c r="C223" s="300" t="s">
        <v>1935</v>
      </c>
      <c r="D223" s="300" t="s">
        <v>1936</v>
      </c>
      <c r="E223" s="300">
        <v>969</v>
      </c>
      <c r="F223" s="322">
        <v>171420.24</v>
      </c>
      <c r="G223" s="323">
        <v>3.7050000000000001</v>
      </c>
      <c r="H223" s="324">
        <f t="shared" si="6"/>
        <v>3.705E-2</v>
      </c>
      <c r="I223" s="325">
        <v>44888</v>
      </c>
      <c r="J223" s="300">
        <v>2</v>
      </c>
      <c r="K223" s="325">
        <v>52215</v>
      </c>
      <c r="L223" s="300">
        <v>240</v>
      </c>
      <c r="M223" s="300">
        <v>239</v>
      </c>
      <c r="N223" s="326">
        <v>44917</v>
      </c>
      <c r="O223" s="323">
        <v>3.3</v>
      </c>
      <c r="P223" s="322">
        <v>20958.695643599996</v>
      </c>
      <c r="Q223" s="300" t="s">
        <v>1538</v>
      </c>
      <c r="R223" s="300" t="s">
        <v>2119</v>
      </c>
      <c r="S223" s="300" t="s">
        <v>2120</v>
      </c>
      <c r="T223" s="300">
        <v>323113</v>
      </c>
      <c r="U223" s="323">
        <v>2.5</v>
      </c>
      <c r="V223" s="327">
        <f t="shared" si="7"/>
        <v>2.5000000000000001E-2</v>
      </c>
      <c r="W223" s="323">
        <v>1.375</v>
      </c>
      <c r="X223" s="300" t="s">
        <v>26</v>
      </c>
      <c r="Y223" s="300" t="s">
        <v>1248</v>
      </c>
      <c r="Z223" s="300" t="s">
        <v>1251</v>
      </c>
      <c r="AA223" s="300" t="s">
        <v>1251</v>
      </c>
      <c r="AB223" s="300" t="s">
        <v>1</v>
      </c>
      <c r="AC223" s="300"/>
      <c r="AD223" s="328" t="s">
        <v>1650</v>
      </c>
      <c r="AE223" s="328">
        <v>0</v>
      </c>
      <c r="AF223" s="328">
        <v>0</v>
      </c>
      <c r="AG223" s="29">
        <v>32</v>
      </c>
      <c r="AH223" s="329" t="s">
        <v>25</v>
      </c>
      <c r="AI223" s="330">
        <v>1</v>
      </c>
      <c r="AJ223" s="309">
        <v>1</v>
      </c>
      <c r="AK223" s="302"/>
      <c r="AL223" s="303"/>
      <c r="AM223" s="305"/>
      <c r="AN223" s="301"/>
      <c r="AO223" s="305"/>
      <c r="AP223" s="301"/>
      <c r="AQ223" s="301"/>
      <c r="AR223" s="332"/>
    </row>
    <row r="224" spans="1:44">
      <c r="A224" s="299">
        <v>320150.11</v>
      </c>
      <c r="B224" s="300">
        <v>4349269104</v>
      </c>
      <c r="C224" s="300" t="s">
        <v>1935</v>
      </c>
      <c r="D224" s="300" t="s">
        <v>1936</v>
      </c>
      <c r="E224" s="300">
        <v>969</v>
      </c>
      <c r="F224" s="322">
        <v>185176.81</v>
      </c>
      <c r="G224" s="323">
        <v>3.4049999999999998</v>
      </c>
      <c r="H224" s="324">
        <f t="shared" si="6"/>
        <v>3.4049999999999997E-2</v>
      </c>
      <c r="I224" s="325">
        <v>44883</v>
      </c>
      <c r="J224" s="300">
        <v>2</v>
      </c>
      <c r="K224" s="325">
        <v>52215</v>
      </c>
      <c r="L224" s="300">
        <v>240</v>
      </c>
      <c r="M224" s="300">
        <v>239</v>
      </c>
      <c r="N224" s="326" t="s">
        <v>1251</v>
      </c>
      <c r="O224" s="323">
        <v>3.3</v>
      </c>
      <c r="P224" s="322">
        <v>20807.392255649997</v>
      </c>
      <c r="Q224" s="300" t="s">
        <v>1539</v>
      </c>
      <c r="R224" s="300" t="s">
        <v>2121</v>
      </c>
      <c r="S224" s="300" t="s">
        <v>2122</v>
      </c>
      <c r="T224" s="300">
        <v>445120</v>
      </c>
      <c r="U224" s="323">
        <v>2.75</v>
      </c>
      <c r="V224" s="327">
        <f t="shared" si="7"/>
        <v>2.75E-2</v>
      </c>
      <c r="W224" s="323">
        <v>1.075</v>
      </c>
      <c r="X224" s="300" t="s">
        <v>26</v>
      </c>
      <c r="Y224" s="300" t="s">
        <v>1248</v>
      </c>
      <c r="Z224" s="300" t="s">
        <v>1251</v>
      </c>
      <c r="AA224" s="300" t="s">
        <v>1251</v>
      </c>
      <c r="AB224" s="300" t="s">
        <v>1</v>
      </c>
      <c r="AC224" s="300"/>
      <c r="AD224" s="328" t="s">
        <v>1651</v>
      </c>
      <c r="AE224" s="328">
        <v>0</v>
      </c>
      <c r="AF224" s="328">
        <v>0</v>
      </c>
      <c r="AG224" s="29">
        <v>44</v>
      </c>
      <c r="AH224" s="329" t="s">
        <v>89</v>
      </c>
      <c r="AI224" s="330">
        <v>1</v>
      </c>
      <c r="AJ224" s="309">
        <v>1</v>
      </c>
      <c r="AK224" s="302"/>
      <c r="AL224" s="303"/>
      <c r="AM224" s="305"/>
      <c r="AN224" s="301"/>
      <c r="AO224" s="305"/>
      <c r="AP224" s="301"/>
      <c r="AQ224" s="301"/>
      <c r="AR224" s="332"/>
    </row>
    <row r="225" spans="1:44">
      <c r="A225" s="299">
        <v>319977.11</v>
      </c>
      <c r="B225" s="300">
        <v>2816269105</v>
      </c>
      <c r="C225" s="300" t="s">
        <v>1935</v>
      </c>
      <c r="D225" s="300" t="s">
        <v>1936</v>
      </c>
      <c r="E225" s="300">
        <v>969</v>
      </c>
      <c r="F225" s="322">
        <v>81662.009999999995</v>
      </c>
      <c r="G225" s="323">
        <v>3.4550000000000001</v>
      </c>
      <c r="H225" s="324">
        <f t="shared" si="6"/>
        <v>3.4549999999999997E-2</v>
      </c>
      <c r="I225" s="325">
        <v>44875</v>
      </c>
      <c r="J225" s="300">
        <v>2</v>
      </c>
      <c r="K225" s="325">
        <v>52215</v>
      </c>
      <c r="L225" s="300">
        <v>240</v>
      </c>
      <c r="M225" s="300">
        <v>239</v>
      </c>
      <c r="N225" s="326">
        <v>44905</v>
      </c>
      <c r="O225" s="323">
        <v>3.3</v>
      </c>
      <c r="P225" s="322">
        <v>9310.6940701499989</v>
      </c>
      <c r="Q225" s="300" t="s">
        <v>1536</v>
      </c>
      <c r="R225" s="300" t="s">
        <v>2115</v>
      </c>
      <c r="S225" s="300" t="s">
        <v>2116</v>
      </c>
      <c r="T225" s="300">
        <v>722513</v>
      </c>
      <c r="U225" s="323">
        <v>2.25</v>
      </c>
      <c r="V225" s="327">
        <f t="shared" si="7"/>
        <v>2.2499999999999999E-2</v>
      </c>
      <c r="W225" s="323">
        <v>1.125</v>
      </c>
      <c r="X225" s="300" t="s">
        <v>26</v>
      </c>
      <c r="Y225" s="300" t="s">
        <v>1248</v>
      </c>
      <c r="Z225" s="300" t="s">
        <v>1251</v>
      </c>
      <c r="AA225" s="300" t="s">
        <v>1251</v>
      </c>
      <c r="AB225" s="300" t="s">
        <v>1556</v>
      </c>
      <c r="AC225" s="300"/>
      <c r="AD225" s="328" t="s">
        <v>1603</v>
      </c>
      <c r="AE225" s="328">
        <v>0</v>
      </c>
      <c r="AF225" s="328">
        <v>0</v>
      </c>
      <c r="AG225" s="29">
        <v>72</v>
      </c>
      <c r="AH225" s="329" t="s">
        <v>42</v>
      </c>
      <c r="AI225" s="330">
        <v>1</v>
      </c>
      <c r="AJ225" s="309">
        <v>1</v>
      </c>
      <c r="AK225" s="302"/>
      <c r="AL225" s="303"/>
      <c r="AM225" s="305"/>
      <c r="AN225" s="301"/>
      <c r="AO225" s="305"/>
      <c r="AP225" s="301"/>
      <c r="AQ225" s="301"/>
      <c r="AR225" s="332"/>
    </row>
    <row r="226" spans="1:44">
      <c r="A226" s="299">
        <v>319601.11</v>
      </c>
      <c r="B226" s="300">
        <v>4334069100</v>
      </c>
      <c r="C226" s="300" t="s">
        <v>1935</v>
      </c>
      <c r="D226" s="300" t="s">
        <v>1936</v>
      </c>
      <c r="E226" s="300">
        <v>969</v>
      </c>
      <c r="F226" s="322">
        <v>1430788.19</v>
      </c>
      <c r="G226" s="323">
        <v>2.9049999999999998</v>
      </c>
      <c r="H226" s="324">
        <f t="shared" si="6"/>
        <v>2.9049999999999999E-2</v>
      </c>
      <c r="I226" s="325">
        <v>44833</v>
      </c>
      <c r="J226" s="300">
        <v>4</v>
      </c>
      <c r="K226" s="325">
        <v>52154</v>
      </c>
      <c r="L226" s="300">
        <v>240</v>
      </c>
      <c r="M226" s="300">
        <v>237</v>
      </c>
      <c r="N226" s="326">
        <v>44891</v>
      </c>
      <c r="O226" s="323">
        <v>3.3</v>
      </c>
      <c r="P226" s="322">
        <v>137162.50983435</v>
      </c>
      <c r="Q226" s="300" t="s">
        <v>1540</v>
      </c>
      <c r="R226" s="300" t="s">
        <v>2123</v>
      </c>
      <c r="S226" s="300" t="s">
        <v>2124</v>
      </c>
      <c r="T226" s="300">
        <v>112310</v>
      </c>
      <c r="U226" s="323">
        <v>2.25</v>
      </c>
      <c r="V226" s="327">
        <f t="shared" si="7"/>
        <v>2.2499999999999999E-2</v>
      </c>
      <c r="W226" s="323">
        <v>0.57499999999999996</v>
      </c>
      <c r="X226" s="300" t="s">
        <v>26</v>
      </c>
      <c r="Y226" s="300" t="s">
        <v>1248</v>
      </c>
      <c r="Z226" s="300" t="s">
        <v>1251</v>
      </c>
      <c r="AA226" s="300" t="s">
        <v>1251</v>
      </c>
      <c r="AB226" s="300" t="s">
        <v>1556</v>
      </c>
      <c r="AC226" s="300"/>
      <c r="AD226" s="328" t="s">
        <v>1569</v>
      </c>
      <c r="AE226" s="328">
        <v>0</v>
      </c>
      <c r="AF226" s="328">
        <v>0</v>
      </c>
      <c r="AG226" s="29">
        <v>11</v>
      </c>
      <c r="AH226" s="329" t="s">
        <v>40</v>
      </c>
      <c r="AI226" s="330">
        <v>1</v>
      </c>
      <c r="AJ226" s="309">
        <v>1</v>
      </c>
      <c r="AK226" s="302"/>
      <c r="AL226" s="303"/>
      <c r="AM226" s="305"/>
      <c r="AN226" s="301"/>
      <c r="AO226" s="305"/>
      <c r="AP226" s="301"/>
      <c r="AQ226" s="301"/>
      <c r="AR226" s="332"/>
    </row>
    <row r="227" spans="1:44">
      <c r="A227" s="299">
        <v>319339.11</v>
      </c>
      <c r="B227" s="300">
        <v>4142789110</v>
      </c>
      <c r="C227" s="300" t="s">
        <v>1935</v>
      </c>
      <c r="D227" s="300" t="s">
        <v>1936</v>
      </c>
      <c r="E227" s="300">
        <v>969</v>
      </c>
      <c r="F227" s="322">
        <v>796570.49</v>
      </c>
      <c r="G227" s="323">
        <v>2.1549999999999998</v>
      </c>
      <c r="H227" s="324">
        <f t="shared" si="6"/>
        <v>2.155E-2</v>
      </c>
      <c r="I227" s="325">
        <v>44797</v>
      </c>
      <c r="J227" s="300">
        <v>5</v>
      </c>
      <c r="K227" s="325">
        <v>52124</v>
      </c>
      <c r="L227" s="300">
        <v>240</v>
      </c>
      <c r="M227" s="300">
        <v>236</v>
      </c>
      <c r="N227" s="326">
        <v>44922</v>
      </c>
      <c r="O227" s="323">
        <v>3.3</v>
      </c>
      <c r="P227" s="322">
        <v>56648.110396349992</v>
      </c>
      <c r="Q227" s="300" t="s">
        <v>1541</v>
      </c>
      <c r="R227" s="300" t="s">
        <v>2125</v>
      </c>
      <c r="S227" s="300" t="s">
        <v>2126</v>
      </c>
      <c r="T227" s="300">
        <v>112320</v>
      </c>
      <c r="U227" s="323">
        <v>1.5</v>
      </c>
      <c r="V227" s="327">
        <f t="shared" si="7"/>
        <v>1.4999999999999999E-2</v>
      </c>
      <c r="W227" s="323">
        <v>-0.17499999999999999</v>
      </c>
      <c r="X227" s="300" t="s">
        <v>26</v>
      </c>
      <c r="Y227" s="300" t="s">
        <v>1248</v>
      </c>
      <c r="Z227" s="300" t="s">
        <v>1251</v>
      </c>
      <c r="AA227" s="300" t="s">
        <v>1251</v>
      </c>
      <c r="AB227" s="300" t="s">
        <v>1556</v>
      </c>
      <c r="AC227" s="300"/>
      <c r="AD227" s="328" t="s">
        <v>1634</v>
      </c>
      <c r="AE227" s="328">
        <v>0</v>
      </c>
      <c r="AF227" s="328">
        <v>0</v>
      </c>
      <c r="AG227" s="29">
        <v>11</v>
      </c>
      <c r="AH227" s="329" t="s">
        <v>40</v>
      </c>
      <c r="AI227" s="330">
        <v>1</v>
      </c>
      <c r="AJ227" s="309">
        <v>1</v>
      </c>
      <c r="AK227" s="302"/>
      <c r="AL227" s="303"/>
      <c r="AM227" s="305"/>
      <c r="AN227" s="301"/>
      <c r="AO227" s="305"/>
      <c r="AP227" s="301"/>
      <c r="AQ227" s="301"/>
      <c r="AR227" s="332"/>
    </row>
    <row r="228" spans="1:44">
      <c r="A228" s="299">
        <v>319048.11</v>
      </c>
      <c r="B228" s="300">
        <v>4177089101</v>
      </c>
      <c r="C228" s="300" t="s">
        <v>1935</v>
      </c>
      <c r="D228" s="300" t="s">
        <v>1936</v>
      </c>
      <c r="E228" s="300">
        <v>969</v>
      </c>
      <c r="F228" s="322">
        <v>1393772.9</v>
      </c>
      <c r="G228" s="323">
        <v>2.6549999999999998</v>
      </c>
      <c r="H228" s="324">
        <f t="shared" si="6"/>
        <v>2.6549999999999997E-2</v>
      </c>
      <c r="I228" s="325">
        <v>44756</v>
      </c>
      <c r="J228" s="300">
        <v>6</v>
      </c>
      <c r="K228" s="325">
        <v>52093</v>
      </c>
      <c r="L228" s="300">
        <v>240</v>
      </c>
      <c r="M228" s="300">
        <v>235</v>
      </c>
      <c r="N228" s="326">
        <v>44896</v>
      </c>
      <c r="O228" s="323">
        <v>3.3</v>
      </c>
      <c r="P228" s="322">
        <v>122115.41263349997</v>
      </c>
      <c r="Q228" s="300" t="s">
        <v>1542</v>
      </c>
      <c r="R228" s="300" t="s">
        <v>2127</v>
      </c>
      <c r="S228" s="300" t="s">
        <v>2128</v>
      </c>
      <c r="T228" s="300">
        <v>112310</v>
      </c>
      <c r="U228" s="323">
        <v>2</v>
      </c>
      <c r="V228" s="327">
        <f t="shared" si="7"/>
        <v>0.02</v>
      </c>
      <c r="W228" s="323">
        <v>0.32500000000000001</v>
      </c>
      <c r="X228" s="300" t="s">
        <v>26</v>
      </c>
      <c r="Y228" s="300" t="s">
        <v>1248</v>
      </c>
      <c r="Z228" s="300" t="s">
        <v>1251</v>
      </c>
      <c r="AA228" s="300" t="s">
        <v>1251</v>
      </c>
      <c r="AB228" s="300" t="s">
        <v>1556</v>
      </c>
      <c r="AC228" s="300"/>
      <c r="AD228" s="328" t="s">
        <v>1569</v>
      </c>
      <c r="AE228" s="328">
        <v>0</v>
      </c>
      <c r="AF228" s="328">
        <v>0</v>
      </c>
      <c r="AG228" s="29">
        <v>11</v>
      </c>
      <c r="AH228" s="329" t="s">
        <v>40</v>
      </c>
      <c r="AI228" s="330">
        <v>1</v>
      </c>
      <c r="AJ228" s="309">
        <v>1</v>
      </c>
      <c r="AK228" s="302"/>
      <c r="AL228" s="303"/>
      <c r="AM228" s="305"/>
      <c r="AN228" s="301"/>
      <c r="AO228" s="305"/>
      <c r="AP228" s="301"/>
      <c r="AQ228" s="301"/>
      <c r="AR228" s="332"/>
    </row>
    <row r="229" spans="1:44">
      <c r="A229" s="299">
        <v>319131.11</v>
      </c>
      <c r="B229" s="300">
        <v>4181009102</v>
      </c>
      <c r="C229" s="300" t="s">
        <v>1935</v>
      </c>
      <c r="D229" s="300" t="s">
        <v>1936</v>
      </c>
      <c r="E229" s="300">
        <v>969</v>
      </c>
      <c r="F229" s="322">
        <v>998786.64</v>
      </c>
      <c r="G229" s="323">
        <v>2.9049999999999998</v>
      </c>
      <c r="H229" s="324">
        <f t="shared" si="6"/>
        <v>2.9049999999999999E-2</v>
      </c>
      <c r="I229" s="325">
        <v>44768</v>
      </c>
      <c r="J229" s="300">
        <v>6</v>
      </c>
      <c r="K229" s="325">
        <v>52093</v>
      </c>
      <c r="L229" s="300">
        <v>240</v>
      </c>
      <c r="M229" s="300">
        <v>235</v>
      </c>
      <c r="N229" s="326">
        <v>44896</v>
      </c>
      <c r="O229" s="323">
        <v>3.3</v>
      </c>
      <c r="P229" s="322">
        <v>95748.681243600004</v>
      </c>
      <c r="Q229" s="300" t="s">
        <v>1543</v>
      </c>
      <c r="R229" s="300" t="s">
        <v>2129</v>
      </c>
      <c r="S229" s="300" t="s">
        <v>2130</v>
      </c>
      <c r="T229" s="300">
        <v>112320</v>
      </c>
      <c r="U229" s="323">
        <v>2.25</v>
      </c>
      <c r="V229" s="327">
        <f t="shared" si="7"/>
        <v>2.2499999999999999E-2</v>
      </c>
      <c r="W229" s="323">
        <v>0.57499999999999996</v>
      </c>
      <c r="X229" s="300" t="s">
        <v>26</v>
      </c>
      <c r="Y229" s="300" t="s">
        <v>1248</v>
      </c>
      <c r="Z229" s="300" t="s">
        <v>1251</v>
      </c>
      <c r="AA229" s="300" t="s">
        <v>1251</v>
      </c>
      <c r="AB229" s="300" t="s">
        <v>1556</v>
      </c>
      <c r="AC229" s="300"/>
      <c r="AD229" s="328" t="s">
        <v>1572</v>
      </c>
      <c r="AE229" s="328">
        <v>0</v>
      </c>
      <c r="AF229" s="328">
        <v>0</v>
      </c>
      <c r="AG229" s="29">
        <v>11</v>
      </c>
      <c r="AH229" s="329" t="s">
        <v>40</v>
      </c>
      <c r="AI229" s="330">
        <v>1</v>
      </c>
      <c r="AJ229" s="309">
        <v>1</v>
      </c>
      <c r="AK229" s="302"/>
      <c r="AL229" s="303"/>
      <c r="AM229" s="305"/>
      <c r="AN229" s="301"/>
      <c r="AO229" s="305"/>
      <c r="AP229" s="301"/>
      <c r="AQ229" s="301"/>
      <c r="AR229" s="332"/>
    </row>
    <row r="230" spans="1:44">
      <c r="A230" s="299">
        <v>319190.11</v>
      </c>
      <c r="B230" s="300">
        <v>4156959103</v>
      </c>
      <c r="C230" s="300" t="s">
        <v>1935</v>
      </c>
      <c r="D230" s="300" t="s">
        <v>1936</v>
      </c>
      <c r="E230" s="300">
        <v>969</v>
      </c>
      <c r="F230" s="322">
        <v>953806.69</v>
      </c>
      <c r="G230" s="323">
        <v>1.905</v>
      </c>
      <c r="H230" s="324">
        <f t="shared" si="6"/>
        <v>1.9050000000000001E-2</v>
      </c>
      <c r="I230" s="325">
        <v>44760</v>
      </c>
      <c r="J230" s="300">
        <v>6</v>
      </c>
      <c r="K230" s="325">
        <v>52093</v>
      </c>
      <c r="L230" s="300">
        <v>240</v>
      </c>
      <c r="M230" s="300">
        <v>235</v>
      </c>
      <c r="N230" s="326">
        <v>44907</v>
      </c>
      <c r="O230" s="323">
        <v>3.3</v>
      </c>
      <c r="P230" s="322">
        <v>59961.057566849995</v>
      </c>
      <c r="Q230" s="300" t="s">
        <v>1544</v>
      </c>
      <c r="R230" s="300" t="s">
        <v>2131</v>
      </c>
      <c r="S230" s="300" t="s">
        <v>2132</v>
      </c>
      <c r="T230" s="300">
        <v>112320</v>
      </c>
      <c r="U230" s="323">
        <v>1.25</v>
      </c>
      <c r="V230" s="327">
        <f t="shared" si="7"/>
        <v>1.2500000000000001E-2</v>
      </c>
      <c r="W230" s="323">
        <v>-0.42499999999999999</v>
      </c>
      <c r="X230" s="300" t="s">
        <v>26</v>
      </c>
      <c r="Y230" s="300" t="s">
        <v>1248</v>
      </c>
      <c r="Z230" s="300" t="s">
        <v>1251</v>
      </c>
      <c r="AA230" s="300" t="s">
        <v>1251</v>
      </c>
      <c r="AB230" s="300" t="s">
        <v>1556</v>
      </c>
      <c r="AC230" s="300"/>
      <c r="AD230" s="328" t="s">
        <v>1619</v>
      </c>
      <c r="AE230" s="328">
        <v>0</v>
      </c>
      <c r="AF230" s="328">
        <v>0</v>
      </c>
      <c r="AG230" s="29">
        <v>11</v>
      </c>
      <c r="AH230" s="329" t="s">
        <v>40</v>
      </c>
      <c r="AI230" s="330">
        <v>1</v>
      </c>
      <c r="AJ230" s="309">
        <v>1</v>
      </c>
      <c r="AK230" s="302"/>
      <c r="AL230" s="303"/>
      <c r="AM230" s="305"/>
      <c r="AN230" s="301"/>
      <c r="AO230" s="305"/>
      <c r="AP230" s="301"/>
      <c r="AQ230" s="301"/>
      <c r="AR230" s="332"/>
    </row>
    <row r="231" spans="1:44">
      <c r="A231" s="299">
        <v>319577.11</v>
      </c>
      <c r="B231" s="300">
        <v>4095019109</v>
      </c>
      <c r="C231" s="300" t="s">
        <v>1935</v>
      </c>
      <c r="D231" s="300" t="s">
        <v>1936</v>
      </c>
      <c r="E231" s="300">
        <v>969</v>
      </c>
      <c r="F231" s="322">
        <v>2301422.91</v>
      </c>
      <c r="G231" s="323">
        <v>3.4049999999999998</v>
      </c>
      <c r="H231" s="324">
        <f t="shared" si="6"/>
        <v>3.4049999999999997E-2</v>
      </c>
      <c r="I231" s="325">
        <v>44741</v>
      </c>
      <c r="J231" s="300">
        <v>7</v>
      </c>
      <c r="K231" s="325">
        <v>52062</v>
      </c>
      <c r="L231" s="300">
        <v>240</v>
      </c>
      <c r="M231" s="300">
        <v>234</v>
      </c>
      <c r="N231" s="326">
        <v>44896</v>
      </c>
      <c r="O231" s="323">
        <v>3.3</v>
      </c>
      <c r="P231" s="322">
        <v>258599.38528214997</v>
      </c>
      <c r="Q231" s="300" t="s">
        <v>1545</v>
      </c>
      <c r="R231" s="300" t="s">
        <v>2133</v>
      </c>
      <c r="S231" s="300" t="s">
        <v>2134</v>
      </c>
      <c r="T231" s="300">
        <v>312140</v>
      </c>
      <c r="U231" s="323">
        <v>2.75</v>
      </c>
      <c r="V231" s="327">
        <f t="shared" si="7"/>
        <v>2.75E-2</v>
      </c>
      <c r="W231" s="323">
        <v>1.075</v>
      </c>
      <c r="X231" s="300" t="s">
        <v>26</v>
      </c>
      <c r="Y231" s="300" t="s">
        <v>1248</v>
      </c>
      <c r="Z231" s="300" t="s">
        <v>1251</v>
      </c>
      <c r="AA231" s="300" t="s">
        <v>1251</v>
      </c>
      <c r="AB231" s="300" t="s">
        <v>1556</v>
      </c>
      <c r="AC231" s="300"/>
      <c r="AD231" s="328" t="s">
        <v>1602</v>
      </c>
      <c r="AE231" s="328">
        <v>0</v>
      </c>
      <c r="AF231" s="328">
        <v>0</v>
      </c>
      <c r="AG231" s="29">
        <v>31</v>
      </c>
      <c r="AH231" s="329" t="s">
        <v>29</v>
      </c>
      <c r="AI231" s="330">
        <v>1</v>
      </c>
      <c r="AJ231" s="309">
        <v>1</v>
      </c>
      <c r="AK231" s="302"/>
      <c r="AL231" s="303"/>
      <c r="AM231" s="305"/>
      <c r="AN231" s="301"/>
      <c r="AO231" s="305"/>
      <c r="AP231" s="301"/>
      <c r="AQ231" s="301"/>
      <c r="AR231" s="332"/>
    </row>
    <row r="232" spans="1:44">
      <c r="A232" s="299">
        <v>319968.11</v>
      </c>
      <c r="B232" s="300">
        <v>3620269108</v>
      </c>
      <c r="C232" s="300" t="s">
        <v>1935</v>
      </c>
      <c r="D232" s="300" t="s">
        <v>1936</v>
      </c>
      <c r="E232" s="300">
        <v>969</v>
      </c>
      <c r="F232" s="322">
        <v>774014.87</v>
      </c>
      <c r="G232" s="323">
        <v>2.6549999999999998</v>
      </c>
      <c r="H232" s="324">
        <f t="shared" si="6"/>
        <v>2.6549999999999997E-2</v>
      </c>
      <c r="I232" s="325">
        <v>44678</v>
      </c>
      <c r="J232" s="300">
        <v>9</v>
      </c>
      <c r="K232" s="325">
        <v>52001</v>
      </c>
      <c r="L232" s="300">
        <v>240</v>
      </c>
      <c r="M232" s="300">
        <v>232</v>
      </c>
      <c r="N232" s="326">
        <v>44925</v>
      </c>
      <c r="O232" s="323">
        <v>3.3</v>
      </c>
      <c r="P232" s="322">
        <v>67815.31283504999</v>
      </c>
      <c r="Q232" s="300" t="s">
        <v>1546</v>
      </c>
      <c r="R232" s="300" t="s">
        <v>2135</v>
      </c>
      <c r="S232" s="300" t="s">
        <v>2136</v>
      </c>
      <c r="T232" s="300">
        <v>541613</v>
      </c>
      <c r="U232" s="323">
        <v>2</v>
      </c>
      <c r="V232" s="327">
        <f t="shared" si="7"/>
        <v>0.02</v>
      </c>
      <c r="W232" s="323">
        <v>0.32500000000000001</v>
      </c>
      <c r="X232" s="300" t="s">
        <v>26</v>
      </c>
      <c r="Y232" s="300" t="s">
        <v>1248</v>
      </c>
      <c r="Z232" s="300" t="s">
        <v>1251</v>
      </c>
      <c r="AA232" s="300" t="s">
        <v>1251</v>
      </c>
      <c r="AB232" s="300" t="s">
        <v>1556</v>
      </c>
      <c r="AC232" s="300"/>
      <c r="AD232" s="328" t="s">
        <v>1602</v>
      </c>
      <c r="AE232" s="328">
        <v>0</v>
      </c>
      <c r="AF232" s="328">
        <v>0</v>
      </c>
      <c r="AG232" s="29">
        <v>54</v>
      </c>
      <c r="AH232" s="329" t="s">
        <v>208</v>
      </c>
      <c r="AI232" s="330">
        <v>1</v>
      </c>
      <c r="AJ232" s="309">
        <v>1</v>
      </c>
      <c r="AK232" s="302"/>
      <c r="AL232" s="303"/>
      <c r="AM232" s="305"/>
      <c r="AN232" s="301"/>
      <c r="AO232" s="305"/>
      <c r="AP232" s="301"/>
      <c r="AQ232" s="301"/>
      <c r="AR232" s="332"/>
    </row>
    <row r="233" spans="1:44">
      <c r="A233" s="299">
        <v>319397.11</v>
      </c>
      <c r="B233" s="300">
        <v>3086119108</v>
      </c>
      <c r="C233" s="300" t="s">
        <v>1935</v>
      </c>
      <c r="D233" s="300" t="s">
        <v>1936</v>
      </c>
      <c r="E233" s="300">
        <v>969</v>
      </c>
      <c r="F233" s="322">
        <v>262500</v>
      </c>
      <c r="G233" s="323">
        <v>3.4550000000000001</v>
      </c>
      <c r="H233" s="324">
        <f t="shared" si="6"/>
        <v>3.4549999999999997E-2</v>
      </c>
      <c r="I233" s="325">
        <v>44658</v>
      </c>
      <c r="J233" s="300">
        <v>9</v>
      </c>
      <c r="K233" s="325">
        <v>52001</v>
      </c>
      <c r="L233" s="300">
        <v>240</v>
      </c>
      <c r="M233" s="300">
        <v>232</v>
      </c>
      <c r="N233" s="326">
        <v>44901</v>
      </c>
      <c r="O233" s="323">
        <v>3.3</v>
      </c>
      <c r="P233" s="322">
        <v>29928.937499999996</v>
      </c>
      <c r="Q233" s="300" t="s">
        <v>1547</v>
      </c>
      <c r="R233" s="300" t="s">
        <v>2137</v>
      </c>
      <c r="S233" s="300" t="s">
        <v>2138</v>
      </c>
      <c r="T233" s="300">
        <v>531120</v>
      </c>
      <c r="U233" s="323">
        <v>2.25</v>
      </c>
      <c r="V233" s="327">
        <f t="shared" si="7"/>
        <v>2.2499999999999999E-2</v>
      </c>
      <c r="W233" s="323">
        <v>1.125</v>
      </c>
      <c r="X233" s="300" t="s">
        <v>26</v>
      </c>
      <c r="Y233" s="300" t="s">
        <v>1248</v>
      </c>
      <c r="Z233" s="300" t="s">
        <v>1251</v>
      </c>
      <c r="AA233" s="300" t="s">
        <v>1251</v>
      </c>
      <c r="AB233" s="300" t="s">
        <v>1556</v>
      </c>
      <c r="AC233" s="300"/>
      <c r="AD233" s="328" t="s">
        <v>1652</v>
      </c>
      <c r="AE233" s="328">
        <v>0</v>
      </c>
      <c r="AF233" s="328">
        <v>0</v>
      </c>
      <c r="AG233" s="29">
        <v>53</v>
      </c>
      <c r="AH233" s="329" t="s">
        <v>25</v>
      </c>
      <c r="AI233" s="330">
        <v>1</v>
      </c>
      <c r="AJ233" s="309">
        <v>1</v>
      </c>
      <c r="AK233" s="302"/>
      <c r="AL233" s="303"/>
      <c r="AM233" s="305"/>
      <c r="AN233" s="301"/>
      <c r="AO233" s="305"/>
      <c r="AP233" s="301"/>
      <c r="AQ233" s="301"/>
      <c r="AR233" s="332"/>
    </row>
    <row r="234" spans="1:44">
      <c r="A234" s="299">
        <v>319386.11</v>
      </c>
      <c r="B234" s="300">
        <v>3052938810</v>
      </c>
      <c r="C234" s="300" t="s">
        <v>1935</v>
      </c>
      <c r="D234" s="300" t="s">
        <v>1936</v>
      </c>
      <c r="E234" s="300">
        <v>966</v>
      </c>
      <c r="F234" s="322">
        <v>181782.48</v>
      </c>
      <c r="G234" s="323">
        <v>3.8050000000000002</v>
      </c>
      <c r="H234" s="324">
        <f t="shared" si="6"/>
        <v>3.805E-2</v>
      </c>
      <c r="I234" s="325">
        <v>44344</v>
      </c>
      <c r="J234" s="300">
        <v>20</v>
      </c>
      <c r="K234" s="325">
        <v>53493</v>
      </c>
      <c r="L234" s="300">
        <v>300</v>
      </c>
      <c r="M234" s="300">
        <v>281</v>
      </c>
      <c r="N234" s="326">
        <v>44900</v>
      </c>
      <c r="O234" s="323">
        <v>3.3</v>
      </c>
      <c r="P234" s="322">
        <v>22825.517101199999</v>
      </c>
      <c r="Q234" s="300" t="s">
        <v>1548</v>
      </c>
      <c r="R234" s="300" t="s">
        <v>2139</v>
      </c>
      <c r="S234" s="300" t="s">
        <v>2140</v>
      </c>
      <c r="T234" s="300">
        <v>524210</v>
      </c>
      <c r="U234" s="323">
        <v>2.6</v>
      </c>
      <c r="V234" s="327">
        <f t="shared" si="7"/>
        <v>2.6000000000000002E-2</v>
      </c>
      <c r="W234" s="323">
        <v>1.4750000000000001</v>
      </c>
      <c r="X234" s="300" t="s">
        <v>26</v>
      </c>
      <c r="Y234" s="300" t="s">
        <v>1248</v>
      </c>
      <c r="Z234" s="300" t="s">
        <v>1251</v>
      </c>
      <c r="AA234" s="300" t="s">
        <v>1251</v>
      </c>
      <c r="AB234" s="300" t="s">
        <v>1556</v>
      </c>
      <c r="AC234" s="300"/>
      <c r="AD234" s="328" t="s">
        <v>1570</v>
      </c>
      <c r="AE234" s="328">
        <v>0</v>
      </c>
      <c r="AF234" s="328">
        <v>0</v>
      </c>
      <c r="AG234" s="29">
        <v>52</v>
      </c>
      <c r="AH234" s="329" t="s">
        <v>82</v>
      </c>
      <c r="AI234" s="330">
        <v>1</v>
      </c>
      <c r="AJ234" s="309">
        <v>1</v>
      </c>
      <c r="AK234" s="302"/>
      <c r="AL234" s="303"/>
      <c r="AM234" s="305"/>
      <c r="AN234" s="301"/>
      <c r="AO234" s="305"/>
      <c r="AP234" s="301"/>
      <c r="AQ234" s="301"/>
      <c r="AR234" s="332"/>
    </row>
    <row r="235" spans="1:44">
      <c r="A235" s="299">
        <v>319076.11</v>
      </c>
      <c r="B235" s="300">
        <v>8791528202</v>
      </c>
      <c r="C235" s="300" t="s">
        <v>1935</v>
      </c>
      <c r="D235" s="300" t="s">
        <v>1936</v>
      </c>
      <c r="E235" s="300">
        <v>966</v>
      </c>
      <c r="F235" s="322">
        <v>2103421.21</v>
      </c>
      <c r="G235" s="323">
        <v>3.1549999999999998</v>
      </c>
      <c r="H235" s="324">
        <f t="shared" si="6"/>
        <v>3.1549999999999995E-2</v>
      </c>
      <c r="I235" s="325">
        <v>44231</v>
      </c>
      <c r="J235" s="300">
        <v>23</v>
      </c>
      <c r="K235" s="325">
        <v>53585</v>
      </c>
      <c r="L235" s="300">
        <v>306</v>
      </c>
      <c r="M235" s="300">
        <v>284</v>
      </c>
      <c r="N235" s="326">
        <v>44896</v>
      </c>
      <c r="O235" s="323">
        <v>3.3</v>
      </c>
      <c r="P235" s="322">
        <v>218997.69927914997</v>
      </c>
      <c r="Q235" s="300" t="s">
        <v>1549</v>
      </c>
      <c r="R235" s="300" t="s">
        <v>2141</v>
      </c>
      <c r="S235" s="300" t="s">
        <v>2142</v>
      </c>
      <c r="T235" s="300">
        <v>312140</v>
      </c>
      <c r="U235" s="323">
        <v>2.5</v>
      </c>
      <c r="V235" s="327">
        <f t="shared" si="7"/>
        <v>2.5000000000000001E-2</v>
      </c>
      <c r="W235" s="323">
        <v>0.82499999999999996</v>
      </c>
      <c r="X235" s="300" t="s">
        <v>26</v>
      </c>
      <c r="Y235" s="300" t="s">
        <v>1248</v>
      </c>
      <c r="Z235" s="300" t="s">
        <v>1251</v>
      </c>
      <c r="AA235" s="300" t="s">
        <v>1251</v>
      </c>
      <c r="AB235" s="300" t="s">
        <v>1556</v>
      </c>
      <c r="AC235" s="300"/>
      <c r="AD235" s="328" t="s">
        <v>1648</v>
      </c>
      <c r="AE235" s="328">
        <v>0</v>
      </c>
      <c r="AF235" s="328">
        <v>0</v>
      </c>
      <c r="AG235" s="29">
        <v>31</v>
      </c>
      <c r="AH235" s="329" t="s">
        <v>1554</v>
      </c>
      <c r="AI235" s="330">
        <v>1</v>
      </c>
      <c r="AJ235" s="309">
        <v>1</v>
      </c>
      <c r="AK235" s="302"/>
      <c r="AL235" s="303"/>
      <c r="AM235" s="305"/>
      <c r="AN235" s="301"/>
      <c r="AO235" s="305"/>
      <c r="AP235" s="301"/>
      <c r="AQ235" s="301"/>
      <c r="AR235" s="332"/>
    </row>
    <row r="236" spans="1:44">
      <c r="A236" s="299">
        <v>319795.11</v>
      </c>
      <c r="B236" s="300">
        <v>3365637002</v>
      </c>
      <c r="C236" s="300" t="s">
        <v>1935</v>
      </c>
      <c r="D236" s="300" t="s">
        <v>1936</v>
      </c>
      <c r="E236" s="300">
        <v>969</v>
      </c>
      <c r="F236" s="322">
        <v>216195.97</v>
      </c>
      <c r="G236" s="323">
        <v>1.405</v>
      </c>
      <c r="H236" s="324">
        <f t="shared" si="6"/>
        <v>1.405E-2</v>
      </c>
      <c r="I236" s="325">
        <v>43460</v>
      </c>
      <c r="J236" s="300">
        <v>49</v>
      </c>
      <c r="K236" s="325">
        <v>52611</v>
      </c>
      <c r="L236" s="300">
        <v>300</v>
      </c>
      <c r="M236" s="300">
        <v>252</v>
      </c>
      <c r="N236" s="326">
        <v>44921</v>
      </c>
      <c r="O236" s="323">
        <v>3.3</v>
      </c>
      <c r="P236" s="322">
        <v>10023.926149049999</v>
      </c>
      <c r="Q236" s="300" t="s">
        <v>1550</v>
      </c>
      <c r="R236" s="300" t="s">
        <v>2143</v>
      </c>
      <c r="S236" s="300" t="s">
        <v>2144</v>
      </c>
      <c r="T236" s="300">
        <v>311812</v>
      </c>
      <c r="U236" s="323">
        <v>0.75</v>
      </c>
      <c r="V236" s="327">
        <f t="shared" si="7"/>
        <v>7.4999999999999997E-3</v>
      </c>
      <c r="W236" s="323">
        <v>-0.92500000000000004</v>
      </c>
      <c r="X236" s="300" t="s">
        <v>26</v>
      </c>
      <c r="Y236" s="300" t="s">
        <v>1248</v>
      </c>
      <c r="Z236" s="300" t="s">
        <v>1251</v>
      </c>
      <c r="AA236" s="300" t="s">
        <v>1251</v>
      </c>
      <c r="AB236" s="300" t="s">
        <v>1</v>
      </c>
      <c r="AC236" s="300"/>
      <c r="AD236" s="328" t="s">
        <v>1609</v>
      </c>
      <c r="AE236" s="328">
        <v>0</v>
      </c>
      <c r="AF236" s="328">
        <v>0</v>
      </c>
      <c r="AG236" s="29">
        <v>31</v>
      </c>
      <c r="AH236" s="329" t="s">
        <v>31</v>
      </c>
      <c r="AI236" s="330">
        <v>1</v>
      </c>
      <c r="AJ236" s="309">
        <v>1</v>
      </c>
      <c r="AK236" s="302"/>
      <c r="AL236" s="303"/>
      <c r="AM236" s="305"/>
      <c r="AN236" s="301"/>
      <c r="AO236" s="305"/>
      <c r="AP236" s="301"/>
      <c r="AQ236" s="301"/>
      <c r="AR236" s="332"/>
    </row>
    <row r="237" spans="1:44">
      <c r="A237" s="299">
        <v>320160.11</v>
      </c>
      <c r="B237" s="300">
        <v>1572677007</v>
      </c>
      <c r="C237" s="300" t="s">
        <v>1935</v>
      </c>
      <c r="D237" s="300" t="s">
        <v>1936</v>
      </c>
      <c r="E237" s="300">
        <v>969</v>
      </c>
      <c r="F237" s="322">
        <v>3044945.6</v>
      </c>
      <c r="G237" s="323">
        <v>1.655</v>
      </c>
      <c r="H237" s="324">
        <f t="shared" si="6"/>
        <v>1.6549999999999999E-2</v>
      </c>
      <c r="I237" s="325">
        <v>43118</v>
      </c>
      <c r="J237" s="300">
        <v>60</v>
      </c>
      <c r="K237" s="325">
        <v>52277</v>
      </c>
      <c r="L237" s="300">
        <v>300</v>
      </c>
      <c r="M237" s="300">
        <v>241</v>
      </c>
      <c r="N237" s="326" t="s">
        <v>1251</v>
      </c>
      <c r="O237" s="323">
        <v>3.3</v>
      </c>
      <c r="P237" s="322">
        <v>166299.70394400001</v>
      </c>
      <c r="Q237" s="300" t="s">
        <v>1551</v>
      </c>
      <c r="R237" s="300" t="s">
        <v>2145</v>
      </c>
      <c r="S237" s="300" t="s">
        <v>2146</v>
      </c>
      <c r="T237" s="300">
        <v>721110</v>
      </c>
      <c r="U237" s="323">
        <v>1</v>
      </c>
      <c r="V237" s="327">
        <f t="shared" si="7"/>
        <v>0.01</v>
      </c>
      <c r="W237" s="323">
        <v>-0.67500000000000004</v>
      </c>
      <c r="X237" s="300" t="s">
        <v>26</v>
      </c>
      <c r="Y237" s="300" t="s">
        <v>1248</v>
      </c>
      <c r="Z237" s="300" t="s">
        <v>1251</v>
      </c>
      <c r="AA237" s="300" t="s">
        <v>1251</v>
      </c>
      <c r="AB237" s="300" t="s">
        <v>1</v>
      </c>
      <c r="AC237" s="300"/>
      <c r="AD237" s="328" t="s">
        <v>1653</v>
      </c>
      <c r="AE237" s="328">
        <v>0</v>
      </c>
      <c r="AF237" s="328">
        <v>0</v>
      </c>
      <c r="AG237" s="29">
        <v>72</v>
      </c>
      <c r="AH237" s="329" t="s">
        <v>1555</v>
      </c>
      <c r="AI237" s="330">
        <v>1</v>
      </c>
      <c r="AJ237" s="309">
        <v>1</v>
      </c>
      <c r="AK237" s="302"/>
      <c r="AL237" s="303"/>
      <c r="AM237" s="305"/>
      <c r="AN237" s="301"/>
      <c r="AO237" s="305"/>
      <c r="AP237" s="301"/>
      <c r="AQ237" s="301"/>
      <c r="AR237" s="332"/>
    </row>
    <row r="238" spans="1:44">
      <c r="B238" s="299"/>
      <c r="C238" s="299"/>
      <c r="D238" s="299"/>
      <c r="E238" s="299"/>
      <c r="F238" s="299"/>
      <c r="G238" s="299"/>
      <c r="H238" s="299"/>
      <c r="J238" s="299"/>
      <c r="L238" s="299"/>
      <c r="M238" s="299"/>
      <c r="N238" s="299"/>
      <c r="O238" s="299"/>
      <c r="P238" s="299"/>
      <c r="Q238" s="299"/>
      <c r="R238" s="299"/>
      <c r="S238" s="299"/>
      <c r="T238" s="299"/>
      <c r="U238" s="299"/>
      <c r="V238" s="299"/>
      <c r="W238" s="299"/>
      <c r="X238" s="299"/>
      <c r="Y238" s="299"/>
      <c r="Z238" s="299"/>
      <c r="AA238" s="299"/>
      <c r="AB238" s="299"/>
      <c r="AC238" s="299"/>
      <c r="AD238" s="299"/>
      <c r="AE238" s="299"/>
      <c r="AF238" s="299"/>
      <c r="AG238" s="299"/>
      <c r="AH238" s="299"/>
      <c r="AI238" s="299"/>
    </row>
  </sheetData>
  <conditionalFormatting sqref="T239:T1239">
    <cfRule type="expression" dxfId="2" priority="2">
      <formula>COUNTIF(#REF!,T239)=0</formula>
    </cfRule>
    <cfRule type="expression" dxfId="1" priority="3">
      <formula>ISBLANK(T239)</formula>
    </cfRule>
  </conditionalFormatting>
  <conditionalFormatting sqref="AH5:AH237 AH239:AH1239">
    <cfRule type="expression" dxfId="0" priority="1">
      <formula>COUNTIF(#REF!,AH5)=0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00c413-c1d1-464b-b96f-fae58c08b3d2" xsi:nil="true"/>
    <lcf76f155ced4ddcb4097134ff3c332f xmlns="ebbfa112-1fea-49d0-85e2-f732ffdc945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C6A04DC27E343A7A6FA0F4E841234" ma:contentTypeVersion="12" ma:contentTypeDescription="Create a new document." ma:contentTypeScope="" ma:versionID="e4b80595e40f1e25dff183c183f15387">
  <xsd:schema xmlns:xsd="http://www.w3.org/2001/XMLSchema" xmlns:xs="http://www.w3.org/2001/XMLSchema" xmlns:p="http://schemas.microsoft.com/office/2006/metadata/properties" xmlns:ns2="ebbfa112-1fea-49d0-85e2-f732ffdc9459" xmlns:ns3="e700c413-c1d1-464b-b96f-fae58c08b3d2" targetNamespace="http://schemas.microsoft.com/office/2006/metadata/properties" ma:root="true" ma:fieldsID="3cabdcae375794b3869140241799634e" ns2:_="" ns3:_="">
    <xsd:import namespace="ebbfa112-1fea-49d0-85e2-f732ffdc9459"/>
    <xsd:import namespace="e700c413-c1d1-464b-b96f-fae58c08b3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a112-1fea-49d0-85e2-f732ffdc9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d0694d-0928-4dff-82e2-00a89938ea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0c413-c1d1-464b-b96f-fae58c08b3d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0ca3e3-13e2-40cd-8bda-dfd88653ea39}" ma:internalName="TaxCatchAll" ma:showField="CatchAllData" ma:web="e700c413-c1d1-464b-b96f-fae58c08b3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637187-EE4E-4FB0-B989-1AC605C7734F}">
  <ds:schemaRefs>
    <ds:schemaRef ds:uri="http://schemas.microsoft.com/office/2006/metadata/properties"/>
    <ds:schemaRef ds:uri="http://schemas.microsoft.com/office/infopath/2007/PartnerControls"/>
    <ds:schemaRef ds:uri="e700c413-c1d1-464b-b96f-fae58c08b3d2"/>
    <ds:schemaRef ds:uri="ebbfa112-1fea-49d0-85e2-f732ffdc9459"/>
  </ds:schemaRefs>
</ds:datastoreItem>
</file>

<file path=customXml/itemProps2.xml><?xml version="1.0" encoding="utf-8"?>
<ds:datastoreItem xmlns:ds="http://schemas.openxmlformats.org/officeDocument/2006/customXml" ds:itemID="{408B7E64-6981-44EB-83BF-0EADD4D59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bfa112-1fea-49d0-85e2-f732ffdc9459"/>
    <ds:schemaRef ds:uri="e700c413-c1d1-464b-b96f-fae58c08b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F3CE4D-A7B1-4ED3-9221-D84C682A78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Tape</vt:lpstr>
      <vt:lpstr>Summary</vt:lpstr>
      <vt:lpstr>Strats</vt:lpstr>
      <vt:lpstr>NAICS</vt:lpstr>
      <vt:lpstr>FHN 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Ergkys Alizoti</dc:creator>
  <cp:lastModifiedBy>REVLuser2</cp:lastModifiedBy>
  <cp:lastPrinted>2022-09-01T01:00:11Z</cp:lastPrinted>
  <dcterms:created xsi:type="dcterms:W3CDTF">2022-07-05T14:47:10Z</dcterms:created>
  <dcterms:modified xsi:type="dcterms:W3CDTF">2023-05-25T13:11:06Z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0x01010020EC6A04DC27E343A7A6FA0F4E841234</vt:lpwstr>
  </property>
  <property fmtid="{D5CDD505-2E9C-101B-9397-08002B2CF9AE}" pid="3" name="Order">
    <vt:r8>1589000</vt:r8>
  </property>
</Properties>
</file>