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Volumes/WD2T/GitCodes/AVR/avr-datasheets/AVR_Instruction/"/>
    </mc:Choice>
  </mc:AlternateContent>
  <xr:revisionPtr revIDLastSave="0" documentId="13_ncr:1_{47D25362-2893-5F49-B9DC-6EE4263D7921}" xr6:coauthVersionLast="45" xr6:coauthVersionMax="45" xr10:uidLastSave="{00000000-0000-0000-0000-000000000000}"/>
  <bookViews>
    <workbookView xWindow="0" yWindow="460" windowWidth="38400" windowHeight="21140" tabRatio="500" xr2:uid="{00000000-000D-0000-FFFF-FFFF00000000}"/>
  </bookViews>
  <sheets>
    <sheet name="Nomenclature" sheetId="13" r:id="rId1"/>
    <sheet name="AVR-INST" sheetId="1" r:id="rId2"/>
    <sheet name="Macros" sheetId="22" r:id="rId3"/>
    <sheet name="MacroGAS" sheetId="21" r:id="rId4"/>
    <sheet name="BIT" sheetId="6" r:id="rId5"/>
    <sheet name="Sheet1" sheetId="4" r:id="rId6"/>
    <sheet name="macro1" sheetId="5" r:id="rId7"/>
    <sheet name="TCNT" sheetId="16" r:id="rId8"/>
    <sheet name="Delay" sheetId="15" r:id="rId9"/>
    <sheet name="TimerCNT" sheetId="7" r:id="rId10"/>
    <sheet name="SerialDatarateCalculator" sheetId="14" r:id="rId11"/>
    <sheet name="BaudRate1" sheetId="8" r:id="rId12"/>
    <sheet name="BaudRate2" sheetId="9" r:id="rId13"/>
    <sheet name="ICP" sheetId="10" r:id="rId14"/>
    <sheet name="ASK" sheetId="12" r:id="rId15"/>
    <sheet name="ASK_Frame" sheetId="17" r:id="rId16"/>
    <sheet name="SamplingRate&amp;PWM" sheetId="18" r:id="rId17"/>
    <sheet name="Sampling Rate Calculator" sheetId="19" r:id="rId18"/>
    <sheet name="Baud Rate Calculator" sheetId="20" r:id="rId19"/>
  </sheets>
  <externalReferences>
    <externalReference r:id="rId20"/>
  </externalReferences>
  <definedNames>
    <definedName name="_xlnm._FilterDatabase" localSheetId="5" hidden="1">Sheet1!$A$1:$H$5</definedName>
    <definedName name="DataPacketSize">SerialDatarateCalculator!$B$16</definedName>
    <definedName name="DesiredPacketRate">SerialDatarateCalculator!$D$14</definedName>
    <definedName name="FrameDatabits">SerialDatarateCalculator!$E$4</definedName>
    <definedName name="FramedPacketSize">SerialDatarateCalculator!$B$18</definedName>
    <definedName name="FrameSize">SerialDatarateCalculator!$E$9</definedName>
    <definedName name="PClock" localSheetId="18">'[1]Sampling Rate Calculator'!$B$7</definedName>
    <definedName name="PClock">'Sampling Rate Calculator'!$B$7</definedName>
    <definedName name="_xlnm.Print_Area" localSheetId="6">macro1!$C$5:$I$54</definedName>
    <definedName name="_xlnm.Print_Area" localSheetId="16">'SamplingRate&amp;PWM'!$A$1:$H$27</definedName>
    <definedName name="SR" localSheetId="18">'[1]Sampling Rate Calculator'!$A$6</definedName>
    <definedName name="SR">'Sampling Rate Calculator'!$A$6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6" l="1"/>
  <c r="C9" i="16" s="1"/>
  <c r="A2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A3" i="20"/>
  <c r="B49" i="19"/>
  <c r="E49" i="19" s="1"/>
  <c r="B41" i="19"/>
  <c r="E41" i="19" s="1"/>
  <c r="B33" i="19"/>
  <c r="E33" i="19" s="1"/>
  <c r="B15" i="19"/>
  <c r="E15" i="19" s="1"/>
  <c r="H15" i="19" s="1"/>
  <c r="J15" i="19" s="1"/>
  <c r="B7" i="19"/>
  <c r="F35" i="18"/>
  <c r="G35" i="18" s="1"/>
  <c r="E33" i="18"/>
  <c r="C31" i="18"/>
  <c r="E35" i="18" s="1"/>
  <c r="H25" i="18"/>
  <c r="I25" i="18" s="1"/>
  <c r="H24" i="18"/>
  <c r="I24" i="18" s="1"/>
  <c r="H23" i="18"/>
  <c r="I23" i="18" s="1"/>
  <c r="H22" i="18"/>
  <c r="I22" i="18" s="1"/>
  <c r="H21" i="18"/>
  <c r="I21" i="18" s="1"/>
  <c r="H20" i="18"/>
  <c r="I20" i="18" s="1"/>
  <c r="E16" i="18"/>
  <c r="H12" i="18"/>
  <c r="I12" i="18" s="1"/>
  <c r="H11" i="18"/>
  <c r="I11" i="18" s="1"/>
  <c r="I10" i="18"/>
  <c r="H10" i="18"/>
  <c r="I9" i="18"/>
  <c r="H9" i="18"/>
  <c r="H8" i="18"/>
  <c r="I8" i="18" s="1"/>
  <c r="H7" i="18"/>
  <c r="I7" i="18" s="1"/>
  <c r="E3" i="18"/>
  <c r="N9" i="17"/>
  <c r="F9" i="17"/>
  <c r="E9" i="17"/>
  <c r="N8" i="17"/>
  <c r="F8" i="17"/>
  <c r="E8" i="17"/>
  <c r="N7" i="17"/>
  <c r="F7" i="17"/>
  <c r="E7" i="17"/>
  <c r="N6" i="17"/>
  <c r="N5" i="17"/>
  <c r="B5" i="17"/>
  <c r="B13" i="17" s="1"/>
  <c r="N4" i="17"/>
  <c r="N3" i="17"/>
  <c r="B3" i="17"/>
  <c r="N2" i="17"/>
  <c r="C39" i="16"/>
  <c r="C38" i="16"/>
  <c r="C35" i="16"/>
  <c r="C34" i="16"/>
  <c r="G263" i="15"/>
  <c r="G262" i="15"/>
  <c r="G261" i="15"/>
  <c r="G260" i="15"/>
  <c r="G259" i="15"/>
  <c r="G258" i="15"/>
  <c r="G257" i="15"/>
  <c r="G256" i="15"/>
  <c r="G255" i="15"/>
  <c r="G254" i="15"/>
  <c r="G253" i="15"/>
  <c r="G252" i="15"/>
  <c r="G251" i="15"/>
  <c r="G250" i="15"/>
  <c r="G249" i="15"/>
  <c r="G248" i="15"/>
  <c r="G247" i="15"/>
  <c r="G246" i="15"/>
  <c r="G245" i="15"/>
  <c r="G244" i="15"/>
  <c r="G243" i="15"/>
  <c r="G242" i="15"/>
  <c r="G241" i="15"/>
  <c r="G240" i="15"/>
  <c r="G239" i="15"/>
  <c r="G238" i="15"/>
  <c r="G237" i="15"/>
  <c r="G236" i="15"/>
  <c r="G235" i="15"/>
  <c r="G234" i="15"/>
  <c r="G233" i="15"/>
  <c r="G232" i="15"/>
  <c r="G231" i="15"/>
  <c r="G230" i="15"/>
  <c r="G229" i="15"/>
  <c r="G228" i="15"/>
  <c r="G227" i="15"/>
  <c r="G226" i="15"/>
  <c r="G225" i="15"/>
  <c r="G224" i="15"/>
  <c r="G223" i="15"/>
  <c r="G222" i="15"/>
  <c r="G221" i="15"/>
  <c r="G220" i="15"/>
  <c r="G219" i="15"/>
  <c r="G218" i="15"/>
  <c r="G217" i="15"/>
  <c r="G216" i="15"/>
  <c r="G215" i="15"/>
  <c r="G214" i="15"/>
  <c r="G213" i="15"/>
  <c r="G212" i="15"/>
  <c r="G211" i="15"/>
  <c r="G210" i="15"/>
  <c r="G209" i="15"/>
  <c r="G208" i="15"/>
  <c r="G207" i="15"/>
  <c r="G206" i="15"/>
  <c r="G205" i="15"/>
  <c r="G204" i="15"/>
  <c r="G203" i="15"/>
  <c r="G202" i="15"/>
  <c r="G201" i="15"/>
  <c r="G200" i="15"/>
  <c r="G199" i="15"/>
  <c r="G198" i="15"/>
  <c r="G197" i="15"/>
  <c r="G196" i="15"/>
  <c r="G195" i="15"/>
  <c r="G194" i="15"/>
  <c r="G193" i="15"/>
  <c r="G192" i="15"/>
  <c r="G191" i="15"/>
  <c r="G190" i="15"/>
  <c r="G189" i="15"/>
  <c r="G188" i="15"/>
  <c r="G187" i="15"/>
  <c r="G186" i="15"/>
  <c r="G185" i="15"/>
  <c r="G184" i="15"/>
  <c r="G183" i="15"/>
  <c r="G182" i="15"/>
  <c r="G181" i="15"/>
  <c r="G180" i="15"/>
  <c r="G179" i="15"/>
  <c r="G178" i="15"/>
  <c r="G177" i="15"/>
  <c r="G176" i="15"/>
  <c r="G175" i="15"/>
  <c r="G174" i="15"/>
  <c r="G173" i="15"/>
  <c r="G172" i="15"/>
  <c r="G171" i="15"/>
  <c r="G170" i="15"/>
  <c r="G169" i="15"/>
  <c r="G168" i="15"/>
  <c r="G167" i="15"/>
  <c r="G166" i="15"/>
  <c r="G165" i="15"/>
  <c r="G164" i="15"/>
  <c r="G163" i="15"/>
  <c r="G162" i="15"/>
  <c r="G161" i="15"/>
  <c r="G160" i="15"/>
  <c r="G159" i="15"/>
  <c r="G158" i="15"/>
  <c r="G157" i="15"/>
  <c r="G156" i="15"/>
  <c r="G155" i="15"/>
  <c r="G154" i="15"/>
  <c r="G153" i="15"/>
  <c r="G152" i="15"/>
  <c r="G151" i="15"/>
  <c r="G150" i="15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C6" i="15"/>
  <c r="C4" i="15"/>
  <c r="H263" i="15" s="1"/>
  <c r="B16" i="14"/>
  <c r="E9" i="14"/>
  <c r="D17" i="14" s="1"/>
  <c r="C16" i="16" l="1"/>
  <c r="C25" i="16" s="1"/>
  <c r="C26" i="16" s="1"/>
  <c r="C30" i="16" s="1"/>
  <c r="C10" i="16"/>
  <c r="B18" i="14"/>
  <c r="D14" i="20"/>
  <c r="E14" i="20" s="1"/>
  <c r="D17" i="20"/>
  <c r="E17" i="20" s="1"/>
  <c r="F17" i="20" s="1"/>
  <c r="G17" i="20" s="1"/>
  <c r="D12" i="20"/>
  <c r="E12" i="20" s="1"/>
  <c r="F12" i="20" s="1"/>
  <c r="G12" i="20" s="1"/>
  <c r="D19" i="20"/>
  <c r="E19" i="20" s="1"/>
  <c r="F19" i="20" s="1"/>
  <c r="G19" i="20" s="1"/>
  <c r="D23" i="20"/>
  <c r="E23" i="20" s="1"/>
  <c r="F23" i="20" s="1"/>
  <c r="G23" i="20" s="1"/>
  <c r="D21" i="20"/>
  <c r="E21" i="20" s="1"/>
  <c r="F21" i="20" s="1"/>
  <c r="G21" i="20" s="1"/>
  <c r="D15" i="20"/>
  <c r="E15" i="20" s="1"/>
  <c r="F15" i="20" s="1"/>
  <c r="G15" i="20" s="1"/>
  <c r="D13" i="20"/>
  <c r="E13" i="20" s="1"/>
  <c r="F13" i="20" s="1"/>
  <c r="G13" i="20" s="1"/>
  <c r="D11" i="20"/>
  <c r="E11" i="20" s="1"/>
  <c r="F11" i="20" s="1"/>
  <c r="G11" i="20" s="1"/>
  <c r="D9" i="20"/>
  <c r="E9" i="20" s="1"/>
  <c r="F9" i="20" s="1"/>
  <c r="G9" i="20" s="1"/>
  <c r="D7" i="20"/>
  <c r="E7" i="20" s="1"/>
  <c r="F7" i="20" s="1"/>
  <c r="G7" i="20" s="1"/>
  <c r="D16" i="20"/>
  <c r="E16" i="20" s="1"/>
  <c r="F16" i="20" s="1"/>
  <c r="G16" i="20" s="1"/>
  <c r="D22" i="20"/>
  <c r="E22" i="20" s="1"/>
  <c r="F22" i="20" s="1"/>
  <c r="G22" i="20" s="1"/>
  <c r="D10" i="20"/>
  <c r="E10" i="20" s="1"/>
  <c r="F10" i="20" s="1"/>
  <c r="G10" i="20" s="1"/>
  <c r="F14" i="20"/>
  <c r="G14" i="20" s="1"/>
  <c r="D18" i="20"/>
  <c r="E18" i="20" s="1"/>
  <c r="F18" i="20" s="1"/>
  <c r="G18" i="20" s="1"/>
  <c r="D8" i="20"/>
  <c r="E8" i="20" s="1"/>
  <c r="F8" i="20" s="1"/>
  <c r="G8" i="20" s="1"/>
  <c r="D20" i="20"/>
  <c r="E20" i="20" s="1"/>
  <c r="F20" i="20" s="1"/>
  <c r="G20" i="20" s="1"/>
  <c r="C15" i="19"/>
  <c r="G15" i="19" s="1"/>
  <c r="I15" i="19" s="1"/>
  <c r="B16" i="19"/>
  <c r="B30" i="19"/>
  <c r="C33" i="19"/>
  <c r="D33" i="19" s="1"/>
  <c r="B38" i="19"/>
  <c r="C41" i="19"/>
  <c r="D41" i="19" s="1"/>
  <c r="B46" i="19"/>
  <c r="C49" i="19"/>
  <c r="D49" i="19" s="1"/>
  <c r="B54" i="19"/>
  <c r="D15" i="19"/>
  <c r="B17" i="19"/>
  <c r="B35" i="19"/>
  <c r="B43" i="19"/>
  <c r="B51" i="19"/>
  <c r="B18" i="19"/>
  <c r="B32" i="19"/>
  <c r="B40" i="19"/>
  <c r="B48" i="19"/>
  <c r="B56" i="19"/>
  <c r="B29" i="19"/>
  <c r="B37" i="19"/>
  <c r="F41" i="19"/>
  <c r="B45" i="19"/>
  <c r="F49" i="19"/>
  <c r="B53" i="19"/>
  <c r="F33" i="19"/>
  <c r="B12" i="19"/>
  <c r="B34" i="19"/>
  <c r="B42" i="19"/>
  <c r="B50" i="19"/>
  <c r="B13" i="19"/>
  <c r="B31" i="19"/>
  <c r="B39" i="19"/>
  <c r="B47" i="19"/>
  <c r="B55" i="19"/>
  <c r="F15" i="19"/>
  <c r="B14" i="19"/>
  <c r="B36" i="19"/>
  <c r="B44" i="19"/>
  <c r="B52" i="19"/>
  <c r="E36" i="18"/>
  <c r="F34" i="18"/>
  <c r="G34" i="18" s="1"/>
  <c r="E37" i="18"/>
  <c r="F36" i="18"/>
  <c r="G36" i="18" s="1"/>
  <c r="F31" i="18"/>
  <c r="G31" i="18" s="1"/>
  <c r="E34" i="18"/>
  <c r="E32" i="18"/>
  <c r="F37" i="18"/>
  <c r="G37" i="18" s="1"/>
  <c r="F33" i="18"/>
  <c r="G33" i="18" s="1"/>
  <c r="E31" i="18"/>
  <c r="F32" i="18"/>
  <c r="G32" i="18" s="1"/>
  <c r="B11" i="17"/>
  <c r="B7" i="17"/>
  <c r="B9" i="17"/>
  <c r="B6" i="17"/>
  <c r="B8" i="17"/>
  <c r="B10" i="17"/>
  <c r="B12" i="17"/>
  <c r="H8" i="15"/>
  <c r="H12" i="15"/>
  <c r="H16" i="15"/>
  <c r="H20" i="15"/>
  <c r="H24" i="15"/>
  <c r="H28" i="15"/>
  <c r="H32" i="15"/>
  <c r="H36" i="15"/>
  <c r="H40" i="15"/>
  <c r="H44" i="15"/>
  <c r="H48" i="15"/>
  <c r="H52" i="15"/>
  <c r="H56" i="15"/>
  <c r="H60" i="15"/>
  <c r="H64" i="15"/>
  <c r="H68" i="15"/>
  <c r="H72" i="15"/>
  <c r="H76" i="15"/>
  <c r="H80" i="15"/>
  <c r="H84" i="15"/>
  <c r="H88" i="15"/>
  <c r="H92" i="15"/>
  <c r="H96" i="15"/>
  <c r="H100" i="15"/>
  <c r="H104" i="15"/>
  <c r="H108" i="15"/>
  <c r="H112" i="15"/>
  <c r="H116" i="15"/>
  <c r="H120" i="15"/>
  <c r="H124" i="15"/>
  <c r="H128" i="15"/>
  <c r="H132" i="15"/>
  <c r="H136" i="15"/>
  <c r="H140" i="15"/>
  <c r="H144" i="15"/>
  <c r="H148" i="15"/>
  <c r="H152" i="15"/>
  <c r="H156" i="15"/>
  <c r="H160" i="15"/>
  <c r="H164" i="15"/>
  <c r="H168" i="15"/>
  <c r="H172" i="15"/>
  <c r="H176" i="15"/>
  <c r="H180" i="15"/>
  <c r="H184" i="15"/>
  <c r="H188" i="15"/>
  <c r="H192" i="15"/>
  <c r="H196" i="15"/>
  <c r="H200" i="15"/>
  <c r="H204" i="15"/>
  <c r="H208" i="15"/>
  <c r="H212" i="15"/>
  <c r="H216" i="15"/>
  <c r="H220" i="15"/>
  <c r="H224" i="15"/>
  <c r="H228" i="15"/>
  <c r="H232" i="15"/>
  <c r="H236" i="15"/>
  <c r="H240" i="15"/>
  <c r="H244" i="15"/>
  <c r="H248" i="15"/>
  <c r="H252" i="15"/>
  <c r="H256" i="15"/>
  <c r="H260" i="15"/>
  <c r="H9" i="15"/>
  <c r="H13" i="15"/>
  <c r="H17" i="15"/>
  <c r="H21" i="15"/>
  <c r="H25" i="15"/>
  <c r="H29" i="15"/>
  <c r="H33" i="15"/>
  <c r="H37" i="15"/>
  <c r="H41" i="15"/>
  <c r="H45" i="15"/>
  <c r="H49" i="15"/>
  <c r="H53" i="15"/>
  <c r="H57" i="15"/>
  <c r="H61" i="15"/>
  <c r="H65" i="15"/>
  <c r="H69" i="15"/>
  <c r="H73" i="15"/>
  <c r="H77" i="15"/>
  <c r="H81" i="15"/>
  <c r="H85" i="15"/>
  <c r="H89" i="15"/>
  <c r="H93" i="15"/>
  <c r="H97" i="15"/>
  <c r="H101" i="15"/>
  <c r="H105" i="15"/>
  <c r="H109" i="15"/>
  <c r="H113" i="15"/>
  <c r="H117" i="15"/>
  <c r="H121" i="15"/>
  <c r="H125" i="15"/>
  <c r="H129" i="15"/>
  <c r="H133" i="15"/>
  <c r="H137" i="15"/>
  <c r="H141" i="15"/>
  <c r="H145" i="15"/>
  <c r="H149" i="15"/>
  <c r="H153" i="15"/>
  <c r="H157" i="15"/>
  <c r="H161" i="15"/>
  <c r="H165" i="15"/>
  <c r="H169" i="15"/>
  <c r="H173" i="15"/>
  <c r="H177" i="15"/>
  <c r="H181" i="15"/>
  <c r="H185" i="15"/>
  <c r="H189" i="15"/>
  <c r="H193" i="15"/>
  <c r="H197" i="15"/>
  <c r="H201" i="15"/>
  <c r="H205" i="15"/>
  <c r="H209" i="15"/>
  <c r="H213" i="15"/>
  <c r="H217" i="15"/>
  <c r="H221" i="15"/>
  <c r="H225" i="15"/>
  <c r="H229" i="15"/>
  <c r="H233" i="15"/>
  <c r="H237" i="15"/>
  <c r="H241" i="15"/>
  <c r="H245" i="15"/>
  <c r="H249" i="15"/>
  <c r="H253" i="15"/>
  <c r="H257" i="15"/>
  <c r="H261" i="15"/>
  <c r="H10" i="15"/>
  <c r="H14" i="15"/>
  <c r="H18" i="15"/>
  <c r="H22" i="15"/>
  <c r="H26" i="15"/>
  <c r="H30" i="15"/>
  <c r="H34" i="15"/>
  <c r="H38" i="15"/>
  <c r="H42" i="15"/>
  <c r="H46" i="15"/>
  <c r="H50" i="15"/>
  <c r="H54" i="15"/>
  <c r="H58" i="15"/>
  <c r="H62" i="15"/>
  <c r="H66" i="15"/>
  <c r="H70" i="15"/>
  <c r="H74" i="15"/>
  <c r="H78" i="15"/>
  <c r="H82" i="15"/>
  <c r="H86" i="15"/>
  <c r="H90" i="15"/>
  <c r="H94" i="15"/>
  <c r="H98" i="15"/>
  <c r="H102" i="15"/>
  <c r="H106" i="15"/>
  <c r="H110" i="15"/>
  <c r="H114" i="15"/>
  <c r="H118" i="15"/>
  <c r="H122" i="15"/>
  <c r="H126" i="15"/>
  <c r="H130" i="15"/>
  <c r="H134" i="15"/>
  <c r="H138" i="15"/>
  <c r="H142" i="15"/>
  <c r="H146" i="15"/>
  <c r="H150" i="15"/>
  <c r="H154" i="15"/>
  <c r="H158" i="15"/>
  <c r="H162" i="15"/>
  <c r="H166" i="15"/>
  <c r="H170" i="15"/>
  <c r="H174" i="15"/>
  <c r="H178" i="15"/>
  <c r="H182" i="15"/>
  <c r="H186" i="15"/>
  <c r="H190" i="15"/>
  <c r="H194" i="15"/>
  <c r="H198" i="15"/>
  <c r="H202" i="15"/>
  <c r="H206" i="15"/>
  <c r="H210" i="15"/>
  <c r="H214" i="15"/>
  <c r="H218" i="15"/>
  <c r="H222" i="15"/>
  <c r="H226" i="15"/>
  <c r="H230" i="15"/>
  <c r="H234" i="15"/>
  <c r="H238" i="15"/>
  <c r="H242" i="15"/>
  <c r="H246" i="15"/>
  <c r="H250" i="15"/>
  <c r="H254" i="15"/>
  <c r="H258" i="15"/>
  <c r="H262" i="15"/>
  <c r="H11" i="15"/>
  <c r="H15" i="15"/>
  <c r="H19" i="15"/>
  <c r="H23" i="15"/>
  <c r="H27" i="15"/>
  <c r="H31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H163" i="15"/>
  <c r="H167" i="15"/>
  <c r="H171" i="15"/>
  <c r="H175" i="15"/>
  <c r="H179" i="15"/>
  <c r="H183" i="15"/>
  <c r="H187" i="15"/>
  <c r="H191" i="15"/>
  <c r="H195" i="15"/>
  <c r="H199" i="15"/>
  <c r="H203" i="15"/>
  <c r="H207" i="15"/>
  <c r="H211" i="15"/>
  <c r="H215" i="15"/>
  <c r="H219" i="15"/>
  <c r="H223" i="15"/>
  <c r="H227" i="15"/>
  <c r="H231" i="15"/>
  <c r="H235" i="15"/>
  <c r="H239" i="15"/>
  <c r="H243" i="15"/>
  <c r="H247" i="15"/>
  <c r="H251" i="15"/>
  <c r="H255" i="15"/>
  <c r="H259" i="15"/>
  <c r="B40" i="14"/>
  <c r="B32" i="14"/>
  <c r="B24" i="14"/>
  <c r="B35" i="14"/>
  <c r="B39" i="14"/>
  <c r="B31" i="14"/>
  <c r="B23" i="14"/>
  <c r="B34" i="14"/>
  <c r="B25" i="14"/>
  <c r="B38" i="14"/>
  <c r="B30" i="14"/>
  <c r="B22" i="14"/>
  <c r="B28" i="14"/>
  <c r="B37" i="14"/>
  <c r="B29" i="14"/>
  <c r="B21" i="14"/>
  <c r="B36" i="14"/>
  <c r="B27" i="14"/>
  <c r="B26" i="14"/>
  <c r="B33" i="14"/>
  <c r="C17" i="16" l="1"/>
  <c r="E17" i="16" s="1"/>
  <c r="G17" i="16" s="1"/>
  <c r="E30" i="16"/>
  <c r="G30" i="16" s="1"/>
  <c r="C31" i="16"/>
  <c r="C47" i="19"/>
  <c r="D47" i="19" s="1"/>
  <c r="E47" i="19"/>
  <c r="F47" i="19" s="1"/>
  <c r="E35" i="19"/>
  <c r="F35" i="19" s="1"/>
  <c r="C35" i="19"/>
  <c r="D35" i="19" s="1"/>
  <c r="E37" i="19"/>
  <c r="F37" i="19" s="1"/>
  <c r="C37" i="19"/>
  <c r="D37" i="19" s="1"/>
  <c r="C13" i="19"/>
  <c r="E13" i="19"/>
  <c r="E53" i="19"/>
  <c r="F53" i="19" s="1"/>
  <c r="C53" i="19"/>
  <c r="D53" i="19" s="1"/>
  <c r="E29" i="19"/>
  <c r="F29" i="19" s="1"/>
  <c r="C29" i="19"/>
  <c r="D29" i="19" s="1"/>
  <c r="E40" i="19"/>
  <c r="F40" i="19" s="1"/>
  <c r="C40" i="19"/>
  <c r="D40" i="19" s="1"/>
  <c r="C12" i="19"/>
  <c r="E12" i="19"/>
  <c r="C14" i="19"/>
  <c r="E14" i="19"/>
  <c r="E51" i="19"/>
  <c r="F51" i="19" s="1"/>
  <c r="C51" i="19"/>
  <c r="D51" i="19" s="1"/>
  <c r="E46" i="19"/>
  <c r="F46" i="19" s="1"/>
  <c r="C46" i="19"/>
  <c r="D46" i="19" s="1"/>
  <c r="E30" i="19"/>
  <c r="F30" i="19" s="1"/>
  <c r="C30" i="19"/>
  <c r="D30" i="19" s="1"/>
  <c r="C52" i="19"/>
  <c r="D52" i="19" s="1"/>
  <c r="E52" i="19"/>
  <c r="F52" i="19" s="1"/>
  <c r="C44" i="19"/>
  <c r="D44" i="19" s="1"/>
  <c r="E44" i="19"/>
  <c r="F44" i="19" s="1"/>
  <c r="C39" i="19"/>
  <c r="D39" i="19" s="1"/>
  <c r="E39" i="19"/>
  <c r="F39" i="19" s="1"/>
  <c r="E56" i="19"/>
  <c r="F56" i="19" s="1"/>
  <c r="C56" i="19"/>
  <c r="D56" i="19" s="1"/>
  <c r="E17" i="19"/>
  <c r="C17" i="19"/>
  <c r="E16" i="19"/>
  <c r="C16" i="19"/>
  <c r="C42" i="19"/>
  <c r="D42" i="19" s="1"/>
  <c r="E42" i="19"/>
  <c r="F42" i="19" s="1"/>
  <c r="E45" i="19"/>
  <c r="F45" i="19" s="1"/>
  <c r="C45" i="19"/>
  <c r="D45" i="19" s="1"/>
  <c r="C34" i="19"/>
  <c r="D34" i="19" s="1"/>
  <c r="E34" i="19"/>
  <c r="F34" i="19" s="1"/>
  <c r="C50" i="19"/>
  <c r="D50" i="19" s="1"/>
  <c r="E50" i="19"/>
  <c r="F50" i="19" s="1"/>
  <c r="E32" i="19"/>
  <c r="F32" i="19" s="1"/>
  <c r="C32" i="19"/>
  <c r="D32" i="19" s="1"/>
  <c r="E43" i="19"/>
  <c r="F43" i="19" s="1"/>
  <c r="C43" i="19"/>
  <c r="D43" i="19" s="1"/>
  <c r="C55" i="19"/>
  <c r="D55" i="19" s="1"/>
  <c r="E55" i="19"/>
  <c r="F55" i="19" s="1"/>
  <c r="C36" i="19"/>
  <c r="D36" i="19" s="1"/>
  <c r="E36" i="19"/>
  <c r="F36" i="19" s="1"/>
  <c r="C31" i="19"/>
  <c r="D31" i="19" s="1"/>
  <c r="E31" i="19"/>
  <c r="F31" i="19" s="1"/>
  <c r="E48" i="19"/>
  <c r="F48" i="19" s="1"/>
  <c r="C48" i="19"/>
  <c r="D48" i="19" s="1"/>
  <c r="E18" i="19"/>
  <c r="C18" i="19"/>
  <c r="E54" i="19"/>
  <c r="F54" i="19" s="1"/>
  <c r="C54" i="19"/>
  <c r="D54" i="19" s="1"/>
  <c r="E38" i="19"/>
  <c r="F38" i="19" s="1"/>
  <c r="C38" i="19"/>
  <c r="D38" i="19" s="1"/>
  <c r="D8" i="17"/>
  <c r="C8" i="17"/>
  <c r="C10" i="17"/>
  <c r="D10" i="17"/>
  <c r="E11" i="17" s="1"/>
  <c r="F11" i="17" s="1"/>
  <c r="D11" i="17" s="1"/>
  <c r="E12" i="17" s="1"/>
  <c r="D9" i="17"/>
  <c r="C9" i="17"/>
  <c r="D7" i="17"/>
  <c r="C7" i="17"/>
  <c r="D31" i="16"/>
  <c r="C27" i="16"/>
  <c r="E26" i="16"/>
  <c r="G26" i="16" s="1"/>
  <c r="C18" i="16" l="1"/>
  <c r="C21" i="16"/>
  <c r="E21" i="16" s="1"/>
  <c r="G21" i="16" s="1"/>
  <c r="H13" i="19"/>
  <c r="J13" i="19" s="1"/>
  <c r="F13" i="19"/>
  <c r="G12" i="19"/>
  <c r="I12" i="19" s="1"/>
  <c r="D12" i="19"/>
  <c r="D13" i="19"/>
  <c r="G13" i="19"/>
  <c r="I13" i="19" s="1"/>
  <c r="H16" i="19"/>
  <c r="J16" i="19" s="1"/>
  <c r="F16" i="19"/>
  <c r="H12" i="19"/>
  <c r="J12" i="19" s="1"/>
  <c r="F12" i="19"/>
  <c r="G16" i="19"/>
  <c r="I16" i="19" s="1"/>
  <c r="D16" i="19"/>
  <c r="G18" i="19"/>
  <c r="I18" i="19" s="1"/>
  <c r="D18" i="19"/>
  <c r="G17" i="19"/>
  <c r="I17" i="19" s="1"/>
  <c r="D17" i="19"/>
  <c r="H14" i="19"/>
  <c r="J14" i="19" s="1"/>
  <c r="F14" i="19"/>
  <c r="H18" i="19"/>
  <c r="J18" i="19" s="1"/>
  <c r="F18" i="19"/>
  <c r="H17" i="19"/>
  <c r="J17" i="19" s="1"/>
  <c r="F17" i="19"/>
  <c r="G14" i="19"/>
  <c r="I14" i="19" s="1"/>
  <c r="D14" i="19"/>
  <c r="F12" i="17"/>
  <c r="D12" i="17" s="1"/>
  <c r="E13" i="17" s="1"/>
  <c r="C12" i="17"/>
  <c r="C11" i="17"/>
  <c r="C22" i="16"/>
  <c r="F13" i="17" l="1"/>
  <c r="D13" i="17" s="1"/>
  <c r="C13" i="17"/>
  <c r="K36" i="12" l="1"/>
  <c r="J3" i="12"/>
  <c r="L3" i="12" s="1"/>
  <c r="K32" i="12"/>
  <c r="K33" i="12"/>
  <c r="K34" i="12"/>
  <c r="K35" i="12"/>
  <c r="K37" i="12"/>
  <c r="K31" i="12"/>
  <c r="K2" i="12"/>
  <c r="J4" i="12" l="1"/>
  <c r="K4" i="12" s="1"/>
  <c r="K3" i="12"/>
  <c r="I33" i="8"/>
  <c r="H33" i="8"/>
  <c r="H32" i="8"/>
  <c r="G32" i="8" s="1"/>
  <c r="G33" i="8" s="1"/>
  <c r="L4" i="12" l="1"/>
  <c r="J5" i="12"/>
  <c r="J6" i="12" s="1"/>
  <c r="J7" i="12" s="1"/>
  <c r="J8" i="12" s="1"/>
  <c r="J9" i="12" s="1"/>
  <c r="K5" i="12"/>
  <c r="S6" i="10"/>
  <c r="P6" i="10"/>
  <c r="P7" i="10"/>
  <c r="P9" i="10"/>
  <c r="P10" i="10"/>
  <c r="P11" i="10"/>
  <c r="P12" i="10"/>
  <c r="P13" i="10"/>
  <c r="P15" i="10"/>
  <c r="P17" i="10"/>
  <c r="P19" i="10"/>
  <c r="P20" i="10"/>
  <c r="P21" i="10"/>
  <c r="P22" i="10"/>
  <c r="P23" i="10"/>
  <c r="P25" i="10"/>
  <c r="P26" i="10"/>
  <c r="P5" i="10"/>
  <c r="N6" i="10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I254" i="10"/>
  <c r="I255" i="10"/>
  <c r="I256" i="10"/>
  <c r="I257" i="10"/>
  <c r="I258" i="10"/>
  <c r="I259" i="10"/>
  <c r="I260" i="10"/>
  <c r="I261" i="10"/>
  <c r="I262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9" i="10"/>
  <c r="I8" i="10"/>
  <c r="D11" i="10"/>
  <c r="D9" i="10"/>
  <c r="D10" i="10"/>
  <c r="D12" i="10"/>
  <c r="D13" i="10"/>
  <c r="D14" i="10"/>
  <c r="D15" i="10"/>
  <c r="D16" i="10"/>
  <c r="D17" i="10"/>
  <c r="G6" i="8"/>
  <c r="I18" i="8"/>
  <c r="H29" i="8"/>
  <c r="I29" i="8" s="1"/>
  <c r="H30" i="8"/>
  <c r="I30" i="8" s="1"/>
  <c r="H28" i="8"/>
  <c r="I28" i="8" s="1"/>
  <c r="H25" i="8"/>
  <c r="I25" i="8" s="1"/>
  <c r="H17" i="8"/>
  <c r="I17" i="8" s="1"/>
  <c r="H3" i="8"/>
  <c r="I3" i="8" s="1"/>
  <c r="H4" i="8"/>
  <c r="G4" i="8" s="1"/>
  <c r="H5" i="8"/>
  <c r="I5" i="8" s="1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H12" i="8"/>
  <c r="G12" i="8" s="1"/>
  <c r="H13" i="8"/>
  <c r="I13" i="8" s="1"/>
  <c r="H14" i="8"/>
  <c r="G14" i="8" s="1"/>
  <c r="H15" i="8"/>
  <c r="I15" i="8" s="1"/>
  <c r="H16" i="8"/>
  <c r="I16" i="8" s="1"/>
  <c r="H18" i="8"/>
  <c r="G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6" i="8"/>
  <c r="I26" i="8" s="1"/>
  <c r="H27" i="8"/>
  <c r="I27" i="8" s="1"/>
  <c r="H2" i="8"/>
  <c r="G2" i="8" s="1"/>
  <c r="G26" i="8" l="1"/>
  <c r="G21" i="8"/>
  <c r="J10" i="12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L5" i="12"/>
  <c r="L6" i="12"/>
  <c r="K6" i="12"/>
  <c r="G30" i="8"/>
  <c r="G29" i="8"/>
  <c r="I14" i="8"/>
  <c r="G13" i="8"/>
  <c r="G22" i="8"/>
  <c r="I12" i="8"/>
  <c r="I4" i="8"/>
  <c r="G10" i="8"/>
  <c r="G17" i="8"/>
  <c r="G5" i="8"/>
  <c r="G25" i="8"/>
  <c r="G9" i="8"/>
  <c r="G28" i="8"/>
  <c r="G24" i="8"/>
  <c r="G20" i="8"/>
  <c r="G16" i="8"/>
  <c r="G8" i="8"/>
  <c r="I2" i="8"/>
  <c r="G27" i="8"/>
  <c r="G23" i="8"/>
  <c r="G19" i="8"/>
  <c r="G15" i="8"/>
  <c r="G11" i="8"/>
  <c r="G7" i="8"/>
  <c r="G3" i="8"/>
  <c r="L7" i="12" l="1"/>
  <c r="K7" i="12"/>
  <c r="L8" i="12" l="1"/>
  <c r="K8" i="12"/>
  <c r="K9" i="12" l="1"/>
  <c r="L9" i="12"/>
  <c r="K10" i="12" l="1"/>
  <c r="L10" i="12"/>
  <c r="K11" i="12" l="1"/>
  <c r="L11" i="12"/>
  <c r="K12" i="12" l="1"/>
  <c r="L12" i="12"/>
  <c r="K13" i="12" l="1"/>
  <c r="L13" i="12"/>
  <c r="L14" i="12" l="1"/>
  <c r="K14" i="12"/>
  <c r="L15" i="12" l="1"/>
  <c r="K15" i="12"/>
  <c r="K16" i="12" l="1"/>
  <c r="L16" i="12"/>
  <c r="K17" i="12" l="1"/>
  <c r="L17" i="12"/>
  <c r="K18" i="12" l="1"/>
  <c r="L18" i="12"/>
  <c r="K19" i="12" l="1"/>
  <c r="L19" i="12"/>
  <c r="L20" i="12" l="1"/>
  <c r="K20" i="12"/>
  <c r="K21" i="12" l="1"/>
  <c r="L21" i="12"/>
  <c r="L22" i="12" l="1"/>
  <c r="K22" i="12"/>
  <c r="L23" i="12" l="1"/>
  <c r="K23" i="12"/>
  <c r="L24" i="12" l="1"/>
  <c r="K24" i="12"/>
  <c r="K25" i="12" l="1"/>
  <c r="L25" i="12"/>
  <c r="K26" i="12" l="1"/>
  <c r="L26" i="12"/>
  <c r="K27" i="12" l="1"/>
  <c r="L27" i="12"/>
  <c r="K28" i="12" l="1"/>
  <c r="L28" i="12"/>
</calcChain>
</file>

<file path=xl/sharedStrings.xml><?xml version="1.0" encoding="utf-8"?>
<sst xmlns="http://schemas.openxmlformats.org/spreadsheetml/2006/main" count="1329" uniqueCount="1061">
  <si>
    <t>SFRL</t>
  </si>
  <si>
    <t>SFRH</t>
  </si>
  <si>
    <t>ESFR</t>
  </si>
  <si>
    <t>ISRAM</t>
  </si>
  <si>
    <t>k63</t>
  </si>
  <si>
    <t>c127</t>
  </si>
  <si>
    <t>c255</t>
  </si>
  <si>
    <t>c4096</t>
  </si>
  <si>
    <t>c65535</t>
  </si>
  <si>
    <t>[0,31]</t>
  </si>
  <si>
    <t>PUSH Rr</t>
  </si>
  <si>
    <t>STACK</t>
  </si>
  <si>
    <t>K</t>
  </si>
  <si>
    <t>STACK[RAMEND]</t>
  </si>
  <si>
    <t>K-constance</t>
  </si>
  <si>
    <t>PROM</t>
  </si>
  <si>
    <t>TempREG</t>
  </si>
  <si>
    <t>Immediate[100,$FFFF]</t>
  </si>
  <si>
    <t>IOADRdst[0,$FF]</t>
  </si>
  <si>
    <t>[0,$FF]</t>
  </si>
  <si>
    <t>MIO, STore Word Immediate into IO Addr dst</t>
  </si>
  <si>
    <t>REGLOWsrc[0,31]</t>
  </si>
  <si>
    <t>REGHIGHsrc[0,31]</t>
  </si>
  <si>
    <t>MIO, STore into IO Addr dst from REG src</t>
  </si>
  <si>
    <t>MIOSTW</t>
  </si>
  <si>
    <t>Immediate[0,$FF]</t>
  </si>
  <si>
    <t>MIO, STore Immediate into IO Addr dst</t>
  </si>
  <si>
    <t>MIOSTI</t>
  </si>
  <si>
    <t>REGsrc[0,31]</t>
  </si>
  <si>
    <t>MIOST</t>
  </si>
  <si>
    <t>Immediate[$100,$FFFF]</t>
  </si>
  <si>
    <t>REGLOWdst[0,31]</t>
  </si>
  <si>
    <t>REGHIGHdst[0,31]</t>
  </si>
  <si>
    <t>MIO, LoadD Word Immediate into REGdst</t>
  </si>
  <si>
    <t>MIOLDWI</t>
  </si>
  <si>
    <t>IOADRsrc[0,$FF], IOADRsrc[0,$FF]+1</t>
  </si>
  <si>
    <t>2/4</t>
  </si>
  <si>
    <t xml:space="preserve">MIO, LoaD Word into REGdst from IO Addr src </t>
  </si>
  <si>
    <t>MIOLDW</t>
  </si>
  <si>
    <t>IOADRsrc[0,$FF]</t>
  </si>
  <si>
    <t>REGdst[0,31]</t>
  </si>
  <si>
    <t xml:space="preserve">MIO, LoaD into REGdst from IO Addrsrc </t>
  </si>
  <si>
    <t>MIOLD</t>
  </si>
  <si>
    <t>Arg3</t>
  </si>
  <si>
    <t>Arg2</t>
  </si>
  <si>
    <t>Arg1</t>
  </si>
  <si>
    <t>Cycles</t>
  </si>
  <si>
    <t>Register</t>
  </si>
  <si>
    <t>Description</t>
  </si>
  <si>
    <t>bit</t>
  </si>
  <si>
    <t>Instruction</t>
  </si>
  <si>
    <t>8-bit Instruction</t>
  </si>
  <si>
    <t>Works with registers</t>
  </si>
  <si>
    <t>Cycles to execute</t>
  </si>
  <si>
    <t>Corresponding 16-bit Instruction</t>
  </si>
  <si>
    <t>M_PUSH</t>
  </si>
  <si>
    <t>0-31</t>
  </si>
  <si>
    <t>W_PUSH</t>
  </si>
  <si>
    <t>X-Z</t>
  </si>
  <si>
    <t>Putting on and getting from stack</t>
  </si>
  <si>
    <t>M_POP</t>
  </si>
  <si>
    <t>W_POP</t>
  </si>
  <si>
    <t>SR_PUSH</t>
  </si>
  <si>
    <t>-</t>
  </si>
  <si>
    <t>SR_POP</t>
  </si>
  <si>
    <t>M_ADD</t>
  </si>
  <si>
    <t>W_ADD</t>
  </si>
  <si>
    <t>Addition</t>
  </si>
  <si>
    <t>M_ADDI</t>
  </si>
  <si>
    <t>0-30</t>
  </si>
  <si>
    <t>W_ADDI</t>
  </si>
  <si>
    <t>M_ADDC</t>
  </si>
  <si>
    <t>W_ADDB</t>
  </si>
  <si>
    <t>M_ADDCI</t>
  </si>
  <si>
    <t>W_INC</t>
  </si>
  <si>
    <t>M_SUB</t>
  </si>
  <si>
    <t>W_SUB</t>
  </si>
  <si>
    <t>Subtraction</t>
  </si>
  <si>
    <t>M_SUBI</t>
  </si>
  <si>
    <t>W_SUBI</t>
  </si>
  <si>
    <t>M_SUBC</t>
  </si>
  <si>
    <t>W_SUBB</t>
  </si>
  <si>
    <t>M_SUBCI</t>
  </si>
  <si>
    <t>W_DEC</t>
  </si>
  <si>
    <t>W_COM</t>
  </si>
  <si>
    <t>16-bit inversion</t>
  </si>
  <si>
    <t>W_NEG</t>
  </si>
  <si>
    <t>W_CP</t>
  </si>
  <si>
    <t>16-bit comparison</t>
  </si>
  <si>
    <t>W_CPI</t>
  </si>
  <si>
    <t>M_LDI</t>
  </si>
  <si>
    <t>16-31</t>
  </si>
  <si>
    <t>W_LDI</t>
  </si>
  <si>
    <t>Loading constants</t>
  </si>
  <si>
    <t>M_LDIL</t>
  </si>
  <si>
    <t>0-15</t>
  </si>
  <si>
    <t>M_LPM</t>
  </si>
  <si>
    <t>0-29</t>
  </si>
  <si>
    <t>Loading from program memory</t>
  </si>
  <si>
    <t>M_IN</t>
  </si>
  <si>
    <t>max 2</t>
  </si>
  <si>
    <t>Loading from registers</t>
  </si>
  <si>
    <t>M_OUT</t>
  </si>
  <si>
    <t>M_LDS</t>
  </si>
  <si>
    <t>W_LDS</t>
  </si>
  <si>
    <t>Loading from SRAM</t>
  </si>
  <si>
    <t>M_STS</t>
  </si>
  <si>
    <t>W_STS</t>
  </si>
  <si>
    <t>M_CLR</t>
  </si>
  <si>
    <t>W_CLR</t>
  </si>
  <si>
    <t>Bitwize operatons on registers</t>
  </si>
  <si>
    <t>M_SBR</t>
  </si>
  <si>
    <t>M_CBR</t>
  </si>
  <si>
    <t>M_IBR</t>
  </si>
  <si>
    <t>M_SBI</t>
  </si>
  <si>
    <t>max 7</t>
  </si>
  <si>
    <t>Bitwize operations on IO registers</t>
  </si>
  <si>
    <t>M_CBI</t>
  </si>
  <si>
    <t>M_IBI</t>
  </si>
  <si>
    <t>max 8</t>
  </si>
  <si>
    <t>M_SBRM</t>
  </si>
  <si>
    <t>Mask bitwize operations</t>
  </si>
  <si>
    <t>M_CBRM</t>
  </si>
  <si>
    <t>M_IBRM</t>
  </si>
  <si>
    <t>U_FIFO_READ</t>
  </si>
  <si>
    <t>max 47</t>
  </si>
  <si>
    <t>FIFO</t>
  </si>
  <si>
    <t>U_FIFO_WRITE</t>
  </si>
  <si>
    <t>U_FIFO_BLOCK_WRITE</t>
  </si>
  <si>
    <t>51(+17/b)</t>
  </si>
  <si>
    <t>U_CIRCBUFFER_READMEAN8</t>
  </si>
  <si>
    <t>Circular buffer</t>
  </si>
  <si>
    <t>U_CIRCBUFFER_WRITE</t>
  </si>
  <si>
    <t>U_BIN8TOBCH</t>
  </si>
  <si>
    <t>max ~70</t>
  </si>
  <si>
    <t>---</t>
  </si>
  <si>
    <t>Encode binary to segment display</t>
  </si>
  <si>
    <t>U_BIN8TOBCD</t>
  </si>
  <si>
    <t>max ~50</t>
  </si>
  <si>
    <t>U_BIN16TOBCD</t>
  </si>
  <si>
    <t>max ~220</t>
  </si>
  <si>
    <t>U_TABLEENCODE</t>
  </si>
  <si>
    <t>U_BLOCK_TABLEENCODE</t>
  </si>
  <si>
    <t>min 26</t>
  </si>
  <si>
    <t>U_LCD_INIT</t>
  </si>
  <si>
    <t>~336</t>
  </si>
  <si>
    <t>LCD HD44780 wrappers</t>
  </si>
  <si>
    <t>U_LCD_CLR</t>
  </si>
  <si>
    <t>~96</t>
  </si>
  <si>
    <t>U_LCD_DDADDR</t>
  </si>
  <si>
    <t>~105</t>
  </si>
  <si>
    <t>U_LCD_SGADDR</t>
  </si>
  <si>
    <t>U_LCD_DATA</t>
  </si>
  <si>
    <t>U_LCD_BLOCK_DATA</t>
  </si>
  <si>
    <t>?</t>
  </si>
  <si>
    <t>EEPROM</t>
  </si>
  <si>
    <t>LPM Rd,Z</t>
  </si>
  <si>
    <t>LPM Rd,Z+</t>
  </si>
  <si>
    <t>SPM</t>
  </si>
  <si>
    <t>GPR[00,15][$00,$0F]</t>
  </si>
  <si>
    <t>GPR[16,31][$10,$1F]</t>
  </si>
  <si>
    <t>ESFR[96,255][$60,$FF]</t>
  </si>
  <si>
    <t>ISRAM[256,RE][$100,RE]</t>
  </si>
  <si>
    <t>BSET s[0,7]</t>
  </si>
  <si>
    <t>BCLR s[0,7]</t>
  </si>
  <si>
    <t>AvrASM
Tut</t>
  </si>
  <si>
    <t>Value</t>
  </si>
  <si>
    <t>set Rd=0</t>
  </si>
  <si>
    <t>Note</t>
  </si>
  <si>
    <t>NOP</t>
  </si>
  <si>
    <t>BREAK</t>
  </si>
  <si>
    <t>SLEEP</t>
  </si>
  <si>
    <t>WDR</t>
  </si>
  <si>
    <t>IJMP</t>
  </si>
  <si>
    <t>EIJMP</t>
  </si>
  <si>
    <t>JMP P22</t>
  </si>
  <si>
    <t>ICALL</t>
  </si>
  <si>
    <t>EICALL</t>
  </si>
  <si>
    <t>CALL P22</t>
  </si>
  <si>
    <t>RET</t>
  </si>
  <si>
    <t>RETI</t>
  </si>
  <si>
    <t>Rp</t>
  </si>
  <si>
    <t>SUBI Rdh,K8</t>
  </si>
  <si>
    <t>SBCI Rdh,K8</t>
  </si>
  <si>
    <t>SUB  Rd,Rr</t>
  </si>
  <si>
    <t>SBC  Rd,Rr</t>
  </si>
  <si>
    <t>DEC  Rd</t>
  </si>
  <si>
    <t>INC  Rd</t>
  </si>
  <si>
    <t>ADD  Rd,Rr</t>
  </si>
  <si>
    <t>ADC  Rd,Rr</t>
  </si>
  <si>
    <t>AND  Rd,Rr</t>
  </si>
  <si>
    <t>OR   Rd,Rr</t>
  </si>
  <si>
    <t>COM  Rd</t>
  </si>
  <si>
    <t>EOR  Rd,Rr</t>
  </si>
  <si>
    <t>NEG  Rd</t>
  </si>
  <si>
    <t>LSR Rd</t>
  </si>
  <si>
    <t>ROR Rd</t>
  </si>
  <si>
    <t>ASR Rd</t>
  </si>
  <si>
    <t>SWAP Rd</t>
  </si>
  <si>
    <t>CPSE Rd,Rr</t>
  </si>
  <si>
    <t>SBRC Rr,b</t>
  </si>
  <si>
    <t>SBRS Rr,b</t>
  </si>
  <si>
    <t>FMULSU Rdq,Rrq</t>
  </si>
  <si>
    <t>MUL    Rd,Rr</t>
  </si>
  <si>
    <t>MULS   Rdh,Rrh</t>
  </si>
  <si>
    <t>MULSU  Rdq,Rrq</t>
  </si>
  <si>
    <t>FMUL   Rdq,Rrq</t>
  </si>
  <si>
    <t>FMULS  Rdq,Rrq</t>
  </si>
  <si>
    <t>P22</t>
  </si>
  <si>
    <t>2^22=4MiB</t>
  </si>
  <si>
    <t>s</t>
  </si>
  <si>
    <t>b</t>
  </si>
  <si>
    <t>MRD  REGdst ADRsrc</t>
  </si>
  <si>
    <t>; R[0,31], [0,RE]  read  byte into REG from srcADR</t>
  </si>
  <si>
    <t>MWR  ADRdst REGsrc</t>
  </si>
  <si>
    <t xml:space="preserve">;  [0,RE],R[0,31]  write byte into dstADR from REG </t>
  </si>
  <si>
    <t>MWRI ADRdst K</t>
  </si>
  <si>
    <t>;  [0,RE], [0,255] write byte into dstADR with Konstance</t>
  </si>
  <si>
    <t>; [0,RE] set   b-bit of ADRdst</t>
  </si>
  <si>
    <t>; [0,RE] clear b-bit of ADRdst</t>
  </si>
  <si>
    <t>; [0,RE] read  b-bit of ADRdst</t>
  </si>
  <si>
    <t>; [0,RE] write b-bit of ADRdst</t>
  </si>
  <si>
    <t>MINICNT</t>
  </si>
  <si>
    <t>MINITMR</t>
  </si>
  <si>
    <t>MINISTK</t>
  </si>
  <si>
    <t>MINIURT</t>
  </si>
  <si>
    <t>MINIPORT</t>
  </si>
  <si>
    <t>MRDW</t>
  </si>
  <si>
    <t>MWRIW</t>
  </si>
  <si>
    <t>MWRW</t>
  </si>
  <si>
    <t>MSETB ADRdst b</t>
  </si>
  <si>
    <t>MCLRB ADRdst b</t>
  </si>
  <si>
    <t>MRDBIT  ADRdst b</t>
  </si>
  <si>
    <t>MWRBIT  ADRdst b</t>
  </si>
  <si>
    <t>SKBS</t>
  </si>
  <si>
    <t>SKBC</t>
  </si>
  <si>
    <t>skip if bit set</t>
  </si>
  <si>
    <t>LDPTR</t>
  </si>
  <si>
    <t>load pointer address</t>
  </si>
  <si>
    <t>TWI_START</t>
  </si>
  <si>
    <t>COPY16, XYZ copy</t>
  </si>
  <si>
    <t>BCD2ASC</t>
  </si>
  <si>
    <t>ASC2BCD</t>
  </si>
  <si>
    <t>m_swapREG</t>
  </si>
  <si>
    <t>m_swapXYZ</t>
  </si>
  <si>
    <t>m_setXYZPtr</t>
  </si>
  <si>
    <t>push_stat</t>
  </si>
  <si>
    <t>pop_stat</t>
  </si>
  <si>
    <t>Push_xyz</t>
  </si>
  <si>
    <t>pop_xyz</t>
  </si>
  <si>
    <t>ADD/ADI 16/24/32</t>
  </si>
  <si>
    <t>AND/OR/I 16/24/32</t>
  </si>
  <si>
    <t>SUB/SUBI 16/24/32</t>
  </si>
  <si>
    <t>CP/CPI 16/24/32</t>
  </si>
  <si>
    <t>COM/NEG 16</t>
  </si>
  <si>
    <t>GoSub/call/rcall</t>
  </si>
  <si>
    <t>Goto/jmp/rjmp</t>
  </si>
  <si>
    <t>InitSP</t>
  </si>
  <si>
    <t>COPYRAM</t>
  </si>
  <si>
    <t>FILLRAM</t>
  </si>
  <si>
    <t>block-delay</t>
  </si>
  <si>
    <t>timer-delay</t>
  </si>
  <si>
    <t>WAIT4ADCRDY</t>
  </si>
  <si>
    <t>LEDON/OFF</t>
  </si>
  <si>
    <t>bit logic compare</t>
  </si>
  <si>
    <t>and bit</t>
  </si>
  <si>
    <t>or bit</t>
  </si>
  <si>
    <t>eor bit</t>
  </si>
  <si>
    <t>not bit</t>
  </si>
  <si>
    <t>BREQ/BRNE</t>
  </si>
  <si>
    <t>BRMI/BRPL</t>
  </si>
  <si>
    <t>BRGE/BRLT</t>
  </si>
  <si>
    <t>BRHS/BRHC</t>
  </si>
  <si>
    <t>BRTS/BRTC</t>
  </si>
  <si>
    <t>BRVS/BRVC</t>
  </si>
  <si>
    <t>BRIE/BRID</t>
  </si>
  <si>
    <t>LD   Rd,-XYZ+</t>
  </si>
  <si>
    <t>ST   -XYZ+,Rr</t>
  </si>
  <si>
    <t>SPM Z+</t>
  </si>
  <si>
    <t>CLC</t>
  </si>
  <si>
    <t>SEC</t>
  </si>
  <si>
    <t>SEN</t>
  </si>
  <si>
    <t>CLN</t>
  </si>
  <si>
    <t>SEZ</t>
  </si>
  <si>
    <t>CLZ</t>
  </si>
  <si>
    <t>SEI</t>
  </si>
  <si>
    <t>CLI</t>
  </si>
  <si>
    <t>SES</t>
  </si>
  <si>
    <t>CLS</t>
  </si>
  <si>
    <t>SEV</t>
  </si>
  <si>
    <t>CLV</t>
  </si>
  <si>
    <t>SET</t>
  </si>
  <si>
    <t>CLT</t>
  </si>
  <si>
    <t xml:space="preserve">SEH </t>
  </si>
  <si>
    <t>CLH</t>
  </si>
  <si>
    <t>SREG-[7]-I</t>
  </si>
  <si>
    <t>SREG-[6]-T</t>
  </si>
  <si>
    <t>SREG-[5]-H</t>
  </si>
  <si>
    <t>SREG-[4]-S</t>
  </si>
  <si>
    <t>SREG-[3]-V</t>
  </si>
  <si>
    <t>SREG-[2]-N</t>
  </si>
  <si>
    <t>SREG-[1]-Z</t>
  </si>
  <si>
    <t>SREG-[0]-C</t>
  </si>
  <si>
    <t>SEH</t>
  </si>
  <si>
    <t>SREG-T</t>
  </si>
  <si>
    <t>BIT WRITE</t>
  </si>
  <si>
    <t>BIT READ</t>
  </si>
  <si>
    <t>GPRL
[00,15][$00,$0F]</t>
  </si>
  <si>
    <t>GPRH 
[16,31][$10,$1F]</t>
  </si>
  <si>
    <t>SFRL[32,63][$20,$3F]
IO  [00,31][$00,$1F]</t>
  </si>
  <si>
    <t>SFRH[64,95][$40,$5F]
IO  [32,63][$20,$3F]</t>
  </si>
  <si>
    <t>X
[SREG-T]</t>
  </si>
  <si>
    <t>BST 
Rd,b[0,7]</t>
  </si>
  <si>
    <t>BLD 
Rd,b[0,7]</t>
  </si>
  <si>
    <t>SFRH-[SREG]
SFR[$5F]IO[$3F]</t>
  </si>
  <si>
    <t>SBI 
K[0,31]IO5,b</t>
  </si>
  <si>
    <t>CBI 
K[0,31]IO5,b</t>
  </si>
  <si>
    <t>SBR/ORI Rdh,
K[D-0001]K8</t>
  </si>
  <si>
    <t>TCCRnA</t>
  </si>
  <si>
    <t>WGMn1</t>
  </si>
  <si>
    <t>WGMn0</t>
  </si>
  <si>
    <t>COMnB1</t>
  </si>
  <si>
    <t>COMnB0</t>
  </si>
  <si>
    <t>COMnA1</t>
  </si>
  <si>
    <t>COMnA0</t>
  </si>
  <si>
    <t>TCCRnB</t>
  </si>
  <si>
    <t>CSn2</t>
  </si>
  <si>
    <t>CSn1</t>
  </si>
  <si>
    <t>CSn0</t>
  </si>
  <si>
    <t>WGMn2</t>
  </si>
  <si>
    <t>FOCnB</t>
  </si>
  <si>
    <t>FOCnA</t>
  </si>
  <si>
    <t>n=0,2</t>
  </si>
  <si>
    <t>ICES1</t>
  </si>
  <si>
    <t>ICNC1</t>
  </si>
  <si>
    <t>TCCR1C</t>
  </si>
  <si>
    <t>FOC1B</t>
  </si>
  <si>
    <t>FOC1A</t>
  </si>
  <si>
    <t>TOVn</t>
  </si>
  <si>
    <t>TIFRn</t>
  </si>
  <si>
    <t>OCFnA</t>
  </si>
  <si>
    <t>OCFnB</t>
  </si>
  <si>
    <t>ICF1 (TC1)</t>
  </si>
  <si>
    <t>n=0,1,2</t>
  </si>
  <si>
    <t>TIMSKn</t>
  </si>
  <si>
    <t>TOIEn</t>
  </si>
  <si>
    <t>OCIEnA</t>
  </si>
  <si>
    <t>OCIEnB</t>
  </si>
  <si>
    <t>ICIE1 (TC1)</t>
  </si>
  <si>
    <t>T02:0-S/1-1/2-8/3-64/4-256/5-1K/6T01F/7T01R</t>
  </si>
  <si>
    <t>T1:0-S/1-1/2-8/3-32/4-64/5-128/6-256/7-1K</t>
  </si>
  <si>
    <t>TCNTn(HL)</t>
  </si>
  <si>
    <t>OCRnA(HL)</t>
  </si>
  <si>
    <t>OCRnB(HL)</t>
  </si>
  <si>
    <t>WGM13</t>
  </si>
  <si>
    <t>00NOR/01CTC(100T1)/10PWMPC/11FastPWM</t>
  </si>
  <si>
    <t>IOSFR(H/L)</t>
  </si>
  <si>
    <t>RAM</t>
  </si>
  <si>
    <t>Data RAM</t>
  </si>
  <si>
    <t>Program ROM</t>
  </si>
  <si>
    <t>IO/Special Function Reg</t>
  </si>
  <si>
    <t>Extended IO/SFR</t>
  </si>
  <si>
    <t>EIOSFR</t>
  </si>
  <si>
    <t>ROM</t>
  </si>
  <si>
    <t>SRAM</t>
  </si>
  <si>
    <t>Pointer</t>
  </si>
  <si>
    <t>PTR(XYZ)</t>
  </si>
  <si>
    <t>P(XYZ)</t>
  </si>
  <si>
    <t>ADR</t>
  </si>
  <si>
    <t>Address</t>
  </si>
  <si>
    <t>A</t>
  </si>
  <si>
    <t>DIS</t>
  </si>
  <si>
    <t>Displacement</t>
  </si>
  <si>
    <t>D</t>
  </si>
  <si>
    <t>K/Constant</t>
  </si>
  <si>
    <t>READ</t>
  </si>
  <si>
    <t>INSTR</t>
  </si>
  <si>
    <t>INSTR_DST&lt;--DATA--SRC</t>
  </si>
  <si>
    <t>DST</t>
  </si>
  <si>
    <t>d</t>
  </si>
  <si>
    <t>SRC</t>
  </si>
  <si>
    <t>Source</t>
  </si>
  <si>
    <t>r</t>
  </si>
  <si>
    <t>Destination</t>
  </si>
  <si>
    <t>Target</t>
  </si>
  <si>
    <t>WRITE</t>
  </si>
  <si>
    <t>COPY</t>
  </si>
  <si>
    <t>INSTR_SRC--DATA--&gt;DST</t>
  </si>
  <si>
    <t>IOREG</t>
  </si>
  <si>
    <t>TR(H)</t>
  </si>
  <si>
    <t>IOADR</t>
  </si>
  <si>
    <t>RAMADR</t>
  </si>
  <si>
    <t>RAM Address (Physical ADR map)</t>
  </si>
  <si>
    <t>IO Address (relative ADR map)</t>
  </si>
  <si>
    <t>[1] https://en.wikipedia.org/wiki/Serial_port</t>
  </si>
  <si>
    <t>[2] https://electronics.stackexchange.com/questions/9264/what-standard-uart-rates-are-there</t>
  </si>
  <si>
    <t>[3] https://www.mathworks.com/help/matlab/matlab_external/baudrate.html</t>
  </si>
  <si>
    <t>[1]</t>
  </si>
  <si>
    <t>[2]</t>
  </si>
  <si>
    <t>[3]</t>
  </si>
  <si>
    <t>Baud
Rate</t>
  </si>
  <si>
    <t>Time/bit
(us)</t>
  </si>
  <si>
    <t>[4]</t>
  </si>
  <si>
    <t>[4] Atmel M328P DS</t>
  </si>
  <si>
    <t>mask
bits</t>
  </si>
  <si>
    <t>0x0600</t>
  </si>
  <si>
    <t>ICR</t>
  </si>
  <si>
    <t>ICR
+-%</t>
  </si>
  <si>
    <t>0x0800</t>
  </si>
  <si>
    <t>0x0C00</t>
  </si>
  <si>
    <t>8337.68 bps</t>
  </si>
  <si>
    <t>$700-D1792-B0111-0000-0000 -127 -6.62%</t>
  </si>
  <si>
    <t>$77F-D1919-B0111-0111-1111</t>
  </si>
  <si>
    <t>$7FF-D2047-B0111-1111-1111 +128 +6.67%</t>
  </si>
  <si>
    <t>8-bit</t>
  </si>
  <si>
    <t>+</t>
  </si>
  <si>
    <t>input</t>
  </si>
  <si>
    <t>NEG</t>
  </si>
  <si>
    <t>A&lt;B</t>
  </si>
  <si>
    <t>|A-B|&lt;128</t>
  </si>
  <si>
    <t>A-B</t>
  </si>
  <si>
    <t>A,B=[0,255]</t>
  </si>
  <si>
    <t>N/A</t>
  </si>
  <si>
    <t>8-bit U_INT</t>
  </si>
  <si>
    <t>dist[B-&gt;A]</t>
  </si>
  <si>
    <t>B&gt;=A</t>
  </si>
  <si>
    <t>B-A&gt;=0</t>
  </si>
  <si>
    <t>B-A</t>
  </si>
  <si>
    <t>[B-A]</t>
  </si>
  <si>
    <t>B&lt;A</t>
  </si>
  <si>
    <t>B roll over</t>
  </si>
  <si>
    <t>B-A&lt;0</t>
  </si>
  <si>
    <t>[C]256+B-A</t>
  </si>
  <si>
    <t>NEG(B-A)</t>
  </si>
  <si>
    <t>ICRn&gt;ICRn-1</t>
  </si>
  <si>
    <t>ICRn&lt;ICRn-1</t>
  </si>
  <si>
    <t>222&gt;111</t>
  </si>
  <si>
    <t>77&lt;222</t>
  </si>
  <si>
    <t>B&gt;A</t>
  </si>
  <si>
    <t>Tn=NEG[ (ICRn-1) - ICRn ]</t>
  </si>
  <si>
    <t>TN=NEG{ - [ ICRn - ICRn-1 ] }</t>
  </si>
  <si>
    <t>ICRn - ICRn-1</t>
  </si>
  <si>
    <t>NEG(ICRn - ICRn-1)</t>
  </si>
  <si>
    <t>Tn = (ICRn-1) - ICRn</t>
  </si>
  <si>
    <t>NEG(A-B)</t>
  </si>
  <si>
    <t>$FFFF</t>
  </si>
  <si>
    <t>CBR/ANDI Rdh,
K[D-0001]K8</t>
  </si>
  <si>
    <t>0x0600-D1536-0110_8x0_-16.60%_096ms_10.4167Hz</t>
  </si>
  <si>
    <t>0x06FF-D1791-0110_8x1_+-0%_116.415ms_8.58996Hz</t>
  </si>
  <si>
    <t>0x07FF-D2047-0111_8x1_+14.29%_127.9375ms_7.816Hz</t>
  </si>
  <si>
    <t>Cycles/pulse
(16MHz
.0625ns)</t>
  </si>
  <si>
    <t>Cycles
+10%</t>
  </si>
  <si>
    <t>Cycles
-10%</t>
  </si>
  <si>
    <t>MAX = 1.1 x cycles/pulse &lt; 65535</t>
  </si>
  <si>
    <t>1/4 cycles/pulse</t>
  </si>
  <si>
    <t>0b_0011_0011_1101_0111</t>
  </si>
  <si>
    <t>0b_0011_1001_1001_1001</t>
  </si>
  <si>
    <t>0b_0100_0000_0000_0000</t>
  </si>
  <si>
    <t>0b_0011_1001_1001_1001_0d14745</t>
  </si>
  <si>
    <t>0b_0011_0011_1101_0111_0d13271</t>
  </si>
  <si>
    <t>0b_0100_0000_0000_0000_0d16384</t>
  </si>
  <si>
    <t>0b_0011_0000_0000_0000_0d12288-16.66%</t>
  </si>
  <si>
    <t>0b_0011_1111_1111_1111_0d16383+11.11%</t>
  </si>
  <si>
    <t>ST   XYZ,Rr</t>
  </si>
  <si>
    <t>FIFO_META</t>
  </si>
  <si>
    <t>size</t>
  </si>
  <si>
    <t>len</t>
  </si>
  <si>
    <t>wrp</t>
  </si>
  <si>
    <t>rdp</t>
  </si>
  <si>
    <t>buf0</t>
  </si>
  <si>
    <t>buf1</t>
  </si>
  <si>
    <t>sreg</t>
  </si>
  <si>
    <t>data1</t>
  </si>
  <si>
    <t>data2</t>
  </si>
  <si>
    <t>0x100</t>
  </si>
  <si>
    <t>10a</t>
  </si>
  <si>
    <t>10b</t>
  </si>
  <si>
    <t>10c</t>
  </si>
  <si>
    <t>10d</t>
  </si>
  <si>
    <t>10e</t>
  </si>
  <si>
    <t>10f</t>
  </si>
  <si>
    <t>11a</t>
  </si>
  <si>
    <t>11b</t>
  </si>
  <si>
    <t>11c</t>
  </si>
  <si>
    <t>11d</t>
  </si>
  <si>
    <t>11e</t>
  </si>
  <si>
    <t>11f</t>
  </si>
  <si>
    <t>len L</t>
  </si>
  <si>
    <t>len H</t>
  </si>
  <si>
    <t>BIT_SREG</t>
  </si>
  <si>
    <t>BIT</t>
  </si>
  <si>
    <t>BIT_CNT</t>
  </si>
  <si>
    <t>BYTE</t>
  </si>
  <si>
    <t>fsd</t>
  </si>
  <si>
    <t>psdu</t>
  </si>
  <si>
    <t>fed</t>
  </si>
  <si>
    <t>raom</t>
  </si>
  <si>
    <t>bytec</t>
  </si>
  <si>
    <t>nrzman</t>
  </si>
  <si>
    <t>bz</t>
  </si>
  <si>
    <t>nrz</t>
  </si>
  <si>
    <t>0x060</t>
  </si>
  <si>
    <t>0x061</t>
  </si>
  <si>
    <t>0x062</t>
  </si>
  <si>
    <t>0x063</t>
  </si>
  <si>
    <t>0x064</t>
  </si>
  <si>
    <t>0x065</t>
  </si>
  <si>
    <t>0x066</t>
  </si>
  <si>
    <t>0x067</t>
  </si>
  <si>
    <t>0x068</t>
  </si>
  <si>
    <t>0x069</t>
  </si>
  <si>
    <t>0x6A</t>
  </si>
  <si>
    <t>6B</t>
  </si>
  <si>
    <t>6C</t>
  </si>
  <si>
    <t>6D</t>
  </si>
  <si>
    <t>6E</t>
  </si>
  <si>
    <t>6F</t>
  </si>
  <si>
    <t>0x7A</t>
  </si>
  <si>
    <t>7B</t>
  </si>
  <si>
    <t>7C</t>
  </si>
  <si>
    <t>7D</t>
  </si>
  <si>
    <t>7E</t>
  </si>
  <si>
    <t>7F</t>
  </si>
  <si>
    <t>FSD</t>
  </si>
  <si>
    <t>FSD-6HLB</t>
  </si>
  <si>
    <t xml:space="preserve">FED </t>
  </si>
  <si>
    <t>PSDU</t>
  </si>
  <si>
    <t>FED</t>
  </si>
  <si>
    <t>RME</t>
  </si>
  <si>
    <t>REJ</t>
  </si>
  <si>
    <t>ADRC</t>
  </si>
  <si>
    <t>FIFOC</t>
  </si>
  <si>
    <t>BZ</t>
  </si>
  <si>
    <t>1HLB</t>
  </si>
  <si>
    <t>2HLB</t>
  </si>
  <si>
    <t>3HLB</t>
  </si>
  <si>
    <t>4HLB</t>
  </si>
  <si>
    <t>6HLB</t>
  </si>
  <si>
    <t>8HLB</t>
  </si>
  <si>
    <t>LENL</t>
  </si>
  <si>
    <t>7HLB</t>
  </si>
  <si>
    <t>Instruction Set Nomenclature</t>
  </si>
  <si>
    <t>SREG</t>
  </si>
  <si>
    <t>C</t>
  </si>
  <si>
    <t>Carry Flag</t>
  </si>
  <si>
    <t>Z</t>
  </si>
  <si>
    <t>Zero Flag</t>
  </si>
  <si>
    <t>N</t>
  </si>
  <si>
    <t>Negative Flag</t>
  </si>
  <si>
    <t>V</t>
  </si>
  <si>
    <t>S</t>
  </si>
  <si>
    <t>N ⊕ V, for signed tests</t>
  </si>
  <si>
    <t>H</t>
  </si>
  <si>
    <t>Half Carry Flag</t>
  </si>
  <si>
    <t>T</t>
  </si>
  <si>
    <t>Transfer bit used by BLD and BST instructions</t>
  </si>
  <si>
    <t xml:space="preserve">Status Register </t>
  </si>
  <si>
    <t>Two’s complement overflow indicator</t>
  </si>
  <si>
    <t>I</t>
  </si>
  <si>
    <t>Global Interrupt Enable/Disable Flag</t>
  </si>
  <si>
    <t>Destination (and source) register in the Register File</t>
  </si>
  <si>
    <t>Result after instruction is executed</t>
  </si>
  <si>
    <t>Constant data</t>
  </si>
  <si>
    <t>Constant address</t>
  </si>
  <si>
    <t>Bit in the Register File or I/O Register (3-bit)</t>
  </si>
  <si>
    <t>Bit in the Status Register (3-bit)</t>
  </si>
  <si>
    <t>Displacement for direct addressing (6-bit)</t>
  </si>
  <si>
    <t>Compare/4</t>
  </si>
  <si>
    <t>Jump/4</t>
  </si>
  <si>
    <t>Call/6</t>
  </si>
  <si>
    <t>Sub/6</t>
  </si>
  <si>
    <t>Multipy/6</t>
  </si>
  <si>
    <t>Branch/6+18</t>
  </si>
  <si>
    <t>BSET s</t>
  </si>
  <si>
    <t>BCLR s</t>
  </si>
  <si>
    <t>BRCS/BRCC</t>
  </si>
  <si>
    <t>BRLO/BRSH</t>
  </si>
  <si>
    <t>MCU ctrl/4</t>
  </si>
  <si>
    <t>Add/4</t>
  </si>
  <si>
    <t>ADIW +1:Rp,K6</t>
  </si>
  <si>
    <t>SBIW +1:Rp,K6</t>
  </si>
  <si>
    <t>ANDI Rdh,K8 CBR</t>
  </si>
  <si>
    <t>ORI  Rdh,K8 SBR</t>
  </si>
  <si>
    <t>CLR  Rd = EOR Rd,Rd</t>
  </si>
  <si>
    <t xml:space="preserve">⊕ </t>
  </si>
  <si>
    <t>XOR</t>
  </si>
  <si>
    <t>•</t>
  </si>
  <si>
    <t>AND</t>
  </si>
  <si>
    <t xml:space="preserve">v </t>
  </si>
  <si>
    <t>OR</t>
  </si>
  <si>
    <t>~</t>
  </si>
  <si>
    <t>NOT</t>
  </si>
  <si>
    <t>Logic/7+5</t>
  </si>
  <si>
    <t>bit &lt;---------</t>
  </si>
  <si>
    <t>data trans &lt;--</t>
  </si>
  <si>
    <t>cp &lt;----------</t>
  </si>
  <si>
    <t>SFR[32,63][$20,$3F]IO[00,31]</t>
  </si>
  <si>
    <t>SFR[64,95][$40,$5F]IO[32,63]</t>
  </si>
  <si>
    <t>CP   Rd,Rr</t>
  </si>
  <si>
    <t>CPC  Rd,Rr</t>
  </si>
  <si>
    <t>CPI  Rdh,K8</t>
  </si>
  <si>
    <t>MOV  Rd,Rr</t>
  </si>
  <si>
    <t>ELPM</t>
  </si>
  <si>
    <t>ELPM Rd,Z+</t>
  </si>
  <si>
    <t>ELPM Rd,Z</t>
  </si>
  <si>
    <t>LPM</t>
  </si>
  <si>
    <t>GPR</t>
  </si>
  <si>
    <t>GPRH</t>
  </si>
  <si>
    <t>GPRL</t>
  </si>
  <si>
    <t>SER  Rdh= LDI Rdh,$FF</t>
  </si>
  <si>
    <r>
      <t xml:space="preserve">set </t>
    </r>
    <r>
      <rPr>
        <sz val="11"/>
        <color rgb="FFFF0000"/>
        <rFont val="Consolas"/>
        <family val="2"/>
      </rPr>
      <t>Rdh</t>
    </r>
    <r>
      <rPr>
        <sz val="11"/>
        <color theme="1"/>
        <rFont val="Consolas"/>
        <family val="2"/>
      </rPr>
      <t>=$FF</t>
    </r>
  </si>
  <si>
    <t>(N/A on mega/tiny)</t>
  </si>
  <si>
    <t>(x3)(x1 opcode)</t>
  </si>
  <si>
    <t>(x6)(x2 opcode)</t>
  </si>
  <si>
    <t>BLD Rd,b &lt;- T</t>
  </si>
  <si>
    <t>BST Rr,b -&gt; T</t>
  </si>
  <si>
    <t>Shift/6</t>
  </si>
  <si>
    <t>Set-b SFRL/Rdh/4</t>
  </si>
  <si>
    <t>SREG set/clr/18</t>
  </si>
  <si>
    <t>Branch (38/20 x Instru)</t>
  </si>
  <si>
    <t>18 x Instru</t>
  </si>
  <si>
    <t>Bit Bit-test (28/10 x Instru)</t>
  </si>
  <si>
    <t>SBR  = ANDI</t>
  </si>
  <si>
    <t>CBR  = ORI</t>
  </si>
  <si>
    <t>AVR Manual 137</t>
  </si>
  <si>
    <t>Wiki 81</t>
  </si>
  <si>
    <t>LSL Rd = ADD Rd,Rd</t>
  </si>
  <si>
    <t>ROL Rd = ADC Rd,Rd</t>
  </si>
  <si>
    <t>TST  Rd = AND Rd,Rd</t>
  </si>
  <si>
    <t>Arithmetic Logic (28/23 x Instru)</t>
  </si>
  <si>
    <t>(x2)</t>
  </si>
  <si>
    <t>Data Transfer ( 39/23 x Instru)</t>
  </si>
  <si>
    <t>[-64,63][-$40,$3F]</t>
  </si>
  <si>
    <t>[0,255][$00,$FF]</t>
  </si>
  <si>
    <t>6-bit immediate unsigned constant</t>
  </si>
  <si>
    <t>8-bit immediate constant</t>
  </si>
  <si>
    <t>7-bit signed displacements, words, PC</t>
  </si>
  <si>
    <t>[0,65535][$00,$FFFF]</t>
  </si>
  <si>
    <t>[0,31][$00,$1F]</t>
  </si>
  <si>
    <t>[0, 63][$00,$1F]</t>
  </si>
  <si>
    <t>K6</t>
  </si>
  <si>
    <t>K8</t>
  </si>
  <si>
    <t>S7</t>
  </si>
  <si>
    <t>S12</t>
  </si>
  <si>
    <t>[-2048,2047][-$800,$7FF]</t>
  </si>
  <si>
    <t>D16</t>
  </si>
  <si>
    <t>16-bit data address covering 64 KiB</t>
  </si>
  <si>
    <t>IO6</t>
  </si>
  <si>
    <t>6-bit I/O address covering the full I/O address space</t>
  </si>
  <si>
    <t>22-bit program address covering 2^22 16-bit words</t>
  </si>
  <si>
    <t>Rd/Rr</t>
  </si>
  <si>
    <t>Rdh/Rrh</t>
  </si>
  <si>
    <t>[16,31]</t>
  </si>
  <si>
    <t>Rdq/Rrq</t>
  </si>
  <si>
    <t>[16,23]</t>
  </si>
  <si>
    <t>[0,7]</t>
  </si>
  <si>
    <t>R25:R24 R27:R26 (X)</t>
  </si>
  <si>
    <t>R29:R28 (Y) R31:R30 (Z)</t>
  </si>
  <si>
    <t>q</t>
  </si>
  <si>
    <t>[-32,31]</t>
  </si>
  <si>
    <t>IO5/A</t>
  </si>
  <si>
    <t>WiKi/AVR</t>
  </si>
  <si>
    <t>R</t>
  </si>
  <si>
    <t>5-bit I/O address covering bit-addressable I/O  space</t>
  </si>
  <si>
    <t>k</t>
  </si>
  <si>
    <t>SBI IO5,b</t>
  </si>
  <si>
    <t>CBI IO5,b</t>
  </si>
  <si>
    <t>MOVW +1:Rd,+1:Rr</t>
  </si>
  <si>
    <t>IN   Rd,IO6</t>
  </si>
  <si>
    <t>OUT  IO6,Rr</t>
  </si>
  <si>
    <t>POP  Rr</t>
  </si>
  <si>
    <r>
      <t xml:space="preserve">LDI  </t>
    </r>
    <r>
      <rPr>
        <sz val="11"/>
        <color rgb="FFFF0000"/>
        <rFont val="Consolas"/>
        <family val="2"/>
      </rPr>
      <t>Rdh</t>
    </r>
    <r>
      <rPr>
        <sz val="11"/>
        <color theme="1"/>
        <rFont val="Consolas"/>
        <family val="2"/>
      </rPr>
      <t>,K8</t>
    </r>
  </si>
  <si>
    <t>LDS  Rd,D16</t>
  </si>
  <si>
    <t>STS  D16,Rr</t>
  </si>
  <si>
    <t>LDD  Rd,YZ+K6</t>
  </si>
  <si>
    <t>STD  YZ+K6,Rr</t>
  </si>
  <si>
    <t>RJMP S12</t>
  </si>
  <si>
    <t>RCALL S12</t>
  </si>
  <si>
    <t>SBIC IO5,b</t>
  </si>
  <si>
    <t>SBIS IO5,b</t>
  </si>
  <si>
    <t>BRBC s,S7</t>
  </si>
  <si>
    <t>BRBS s,S7</t>
  </si>
  <si>
    <t>[0,63][$00,$3F]</t>
  </si>
  <si>
    <t>Data Trans</t>
  </si>
  <si>
    <t>_get_ptr_type xptr:req</t>
  </si>
  <si>
    <t xml:space="preserve">_get_aaddr  xaddr:req </t>
  </si>
  <si>
    <t>_mst ptr:req, src:req, mod=0, dp</t>
  </si>
  <si>
    <t>_mld dst:req, ptr:req, mod=0, dp</t>
  </si>
  <si>
    <t>_mwrk k8:req, dst:req, rhtmp=r16</t>
  </si>
  <si>
    <t>_mwrk_p k8:req, ptr:req, mod=0, dp, rhtmp=r16</t>
  </si>
  <si>
    <t>P24</t>
  </si>
  <si>
    <t>2^24=16MiB</t>
  </si>
  <si>
    <t>24-bit program address covering 2^24 16-bit words</t>
  </si>
  <si>
    <t>_pmrd_gpr dst, pi</t>
  </si>
  <si>
    <t>common</t>
  </si>
  <si>
    <t>ArithLogic</t>
  </si>
  <si>
    <t>_bit_not xaddr:req, bit:req, rtmp=r16</t>
  </si>
  <si>
    <t>_bit_not_gpr reg:req, bit:req</t>
  </si>
  <si>
    <t>_bit_wr_sreg bit:req, value:req, reg_sreg=SREG</t>
  </si>
  <si>
    <t>_bit_wr_sfrl reg_sfrl:req, bit:req, value:req</t>
  </si>
  <si>
    <t>_bit_wr_gprh gprh:req, bit:req, value:req</t>
  </si>
  <si>
    <t>_bit_wr xaddr:req, bit:req, value:req, rtmp=r16</t>
  </si>
  <si>
    <t>Misc</t>
  </si>
  <si>
    <t>_if &lt;CP4T&gt;, cond, [deflt=Eif,elif,else]</t>
  </si>
  <si>
    <t>_Ethen [Eif=skip xjmp opcode to Eif]</t>
  </si>
  <si>
    <t>_elif &lt;CP4T&gt;, cond, [delft=Eif,else,elif,none=ERR]</t>
  </si>
  <si>
    <t>_Eelif [Eif=skip xjmp opcode to Eif]</t>
  </si>
  <si>
    <t>_else [must when previous assign Fjp]</t>
  </si>
  <si>
    <t>[_then] not essential</t>
  </si>
  <si>
    <t>[_Eelse] like _then, not essential</t>
  </si>
  <si>
    <t>_Eif [blank=Eif]</t>
  </si>
  <si>
    <t>Control ref: avr_flow_ctrl.md</t>
  </si>
  <si>
    <t>__gas_stack_init</t>
  </si>
  <si>
    <t>__gas_stack_push var_push</t>
  </si>
  <si>
    <t>__gas_stack_pop [return __gas_stack_value]</t>
  </si>
  <si>
    <t>_str_concat/_strc</t>
  </si>
  <si>
    <t>Serial Datarate Calculator</t>
  </si>
  <si>
    <t>(White Cells are User Inputs)</t>
  </si>
  <si>
    <t>Size (Bits)</t>
  </si>
  <si>
    <t>Serial Port Overhead</t>
  </si>
  <si>
    <t>Variable 1</t>
  </si>
  <si>
    <t>Databits</t>
  </si>
  <si>
    <t>Variable 2</t>
  </si>
  <si>
    <t>Start Bits</t>
  </si>
  <si>
    <t>Variable 3</t>
  </si>
  <si>
    <t>Stop Bits</t>
  </si>
  <si>
    <t>Variable 4</t>
  </si>
  <si>
    <t>Parity</t>
  </si>
  <si>
    <t>Variable 5</t>
  </si>
  <si>
    <t>Variable 6</t>
  </si>
  <si>
    <t>Frame Size</t>
  </si>
  <si>
    <t>Variable 7</t>
  </si>
  <si>
    <t>Variable 8</t>
  </si>
  <si>
    <t>Variable 9</t>
  </si>
  <si>
    <t>Variable 10</t>
  </si>
  <si>
    <t>Desired Packet Rate (Packets/Sec)</t>
  </si>
  <si>
    <t>Data Only Packet Size (Bits)</t>
  </si>
  <si>
    <t>Minimum Baud Rate for Defined Data Packet @ Desire Packet Rate</t>
  </si>
  <si>
    <t>Packet Size W/ Overhead (Bits)</t>
  </si>
  <si>
    <t>Std Baud Rate</t>
  </si>
  <si>
    <t>Data Rate (Packets/Sec) For Defined Data Packet @ Std Baud Rates</t>
  </si>
  <si>
    <t>Type in your values here</t>
  </si>
  <si>
    <t>CPU Frequency (MHz)</t>
  </si>
  <si>
    <t>Time per cycle (ns)</t>
  </si>
  <si>
    <t>Desired Time (sec)</t>
  </si>
  <si>
    <t>Desired OC Freq (Hz)</t>
  </si>
  <si>
    <t>Cycle
DEC</t>
  </si>
  <si>
    <t>Cycle
HEX</t>
  </si>
  <si>
    <t>Delay 
Time
ns</t>
  </si>
  <si>
    <t>AVR Calculator</t>
  </si>
  <si>
    <t>Rev 1.0 – Feb 2008</t>
  </si>
  <si>
    <t>v1.1/Laris/2019</t>
  </si>
  <si>
    <r>
      <t>Written by Priyend Somaroo of Vardaan Enterprises (</t>
    </r>
    <r>
      <rPr>
        <sz val="10"/>
        <color indexed="12"/>
        <rFont val="Arial"/>
        <family val="2"/>
      </rPr>
      <t>www.vardaan.com</t>
    </r>
    <r>
      <rPr>
        <sz val="12"/>
        <color theme="1"/>
        <rFont val="Calibri"/>
        <family val="2"/>
        <scheme val="minor"/>
      </rPr>
      <t>)</t>
    </r>
  </si>
  <si>
    <t>add Freq/add separator for munSec</t>
  </si>
  <si>
    <r>
      <t xml:space="preserve">Please visit </t>
    </r>
    <r>
      <rPr>
        <sz val="10"/>
        <color indexed="12"/>
        <rFont val="Arial"/>
        <family val="2"/>
      </rPr>
      <t>www.vardaan.com</t>
    </r>
    <r>
      <rPr>
        <sz val="12"/>
        <color theme="1"/>
        <rFont val="Calibri"/>
        <family val="2"/>
        <scheme val="minor"/>
      </rPr>
      <t xml:space="preserve"> as an appreciation of your support.</t>
    </r>
  </si>
  <si>
    <t>Licence : Free for use and modification by anyone. Please keep this line and above lines intact</t>
  </si>
  <si>
    <t>Frequency of CPU (Hz)</t>
  </si>
  <si>
    <t>&lt;------</t>
  </si>
  <si>
    <t>Type in desired values</t>
  </si>
  <si>
    <t>Clock Prescaler</t>
  </si>
  <si>
    <t>In these</t>
  </si>
  <si>
    <t>Three blocks</t>
  </si>
  <si>
    <t>Nothing to edit calculations are below this point</t>
  </si>
  <si>
    <t>Using 16-bit timer in CTC mode using OCRxA to generate an interrupt on Output Compare A</t>
  </si>
  <si>
    <t>OCRxA Needed</t>
  </si>
  <si>
    <t>OCRxA Usable (Decimal)</t>
  </si>
  <si>
    <t>Actual time (sec)</t>
  </si>
  <si>
    <t>Error</t>
  </si>
  <si>
    <t>OCRxA Usable (Hex)</t>
  </si>
  <si>
    <t>Using 16-bit timer in Normal mode using Timer Overflow to generate an interrupt</t>
  </si>
  <si>
    <t>Timer Reload TCNTx (Decimal)</t>
  </si>
  <si>
    <t>Timer Reload TCNTx (Hex)</t>
  </si>
  <si>
    <t>Using 8-bit timer in CTC mode using OCRxA to generate an interrupt on Output Compare A</t>
  </si>
  <si>
    <t>Using 8-bit timer in Normal mode using Timer Overflow to generate an interrupt</t>
  </si>
  <si>
    <t>Maximum time (in secs) with no reset overflow</t>
  </si>
  <si>
    <t>Using 8 bit Timer (overflow 256)</t>
  </si>
  <si>
    <t>Using 16 bit timer (overflow 65536)</t>
  </si>
  <si>
    <t>Minimum time/Resolution (in secs)</t>
  </si>
  <si>
    <t>Using 8 bit Timer</t>
  </si>
  <si>
    <t>Using 16 bit timer</t>
  </si>
  <si>
    <t>Freq(MHz)</t>
  </si>
  <si>
    <t>Freq      Received HI Duty</t>
  </si>
  <si>
    <t>Freq</t>
  </si>
  <si>
    <t>Received HI Duty</t>
  </si>
  <si>
    <t>percent win</t>
  </si>
  <si>
    <t>MAN_Freq/KHz</t>
  </si>
  <si>
    <t>50 Hz     49%</t>
  </si>
  <si>
    <t>50 Hz</t>
  </si>
  <si>
    <t>BaudRate</t>
  </si>
  <si>
    <t>AN3015</t>
  </si>
  <si>
    <t>200 Hz    49%</t>
  </si>
  <si>
    <t>200 Hz</t>
  </si>
  <si>
    <t>TCNT_value</t>
  </si>
  <si>
    <t>500 Hz    48%</t>
  </si>
  <si>
    <t>500 Hz</t>
  </si>
  <si>
    <t>1 kHz     47%</t>
  </si>
  <si>
    <t>1 kHz</t>
  </si>
  <si>
    <t>2 kHz     43%</t>
  </si>
  <si>
    <t>2 kHz</t>
  </si>
  <si>
    <t xml:space="preserve">5 kHz     37% </t>
  </si>
  <si>
    <t>5 kHz</t>
  </si>
  <si>
    <t xml:space="preserve">10 kHz    26% </t>
  </si>
  <si>
    <t>10 kHz</t>
  </si>
  <si>
    <t xml:space="preserve">12 kHz    20-25% </t>
  </si>
  <si>
    <t>12 kHz</t>
  </si>
  <si>
    <t>20-25%</t>
  </si>
  <si>
    <t>5HLB</t>
  </si>
  <si>
    <t xml:space="preserve">16 kHz    bad! </t>
  </si>
  <si>
    <t>16 kHz</t>
  </si>
  <si>
    <t>bad!</t>
  </si>
  <si>
    <t>PWM Frequency Calculator</t>
  </si>
  <si>
    <t>Fclk (Hz) =</t>
  </si>
  <si>
    <t xml:space="preserve">Tclk = </t>
  </si>
  <si>
    <t>PWM Config Bits</t>
  </si>
  <si>
    <t>CTC1</t>
  </si>
  <si>
    <t>PWM11</t>
  </si>
  <si>
    <t>PWM10</t>
  </si>
  <si>
    <t>TimerTOP Value(hex)</t>
  </si>
  <si>
    <t>TimerTOP Value(dec)</t>
  </si>
  <si>
    <t>Resolution</t>
  </si>
  <si>
    <t>Frequency</t>
  </si>
  <si>
    <t>Sampling Period (ms)</t>
  </si>
  <si>
    <t>00FF</t>
  </si>
  <si>
    <t>01FF</t>
  </si>
  <si>
    <t>03FF</t>
  </si>
  <si>
    <t>Sampling Rate counter value Calculator for Timer2</t>
  </si>
  <si>
    <t>Fsr = Sampling Rate(Samples/Sec)</t>
  </si>
  <si>
    <t xml:space="preserve"> System Clock Fclk (Hz) =</t>
  </si>
  <si>
    <t>Prescaler Setting(Fclk/x)</t>
  </si>
  <si>
    <t>TimerCounter Frequency</t>
  </si>
  <si>
    <t>Decimal Count Value</t>
  </si>
  <si>
    <t>Hex value of count to obtain Fsr</t>
  </si>
  <si>
    <t>Specify Sampling Rate Desired &amp; Processor Clock Frequency to calculate timer compare values for different prescale values</t>
  </si>
  <si>
    <t>Only Enter Values into Cells with White Background</t>
  </si>
  <si>
    <t>Common Clocks for this lab (MHz)</t>
  </si>
  <si>
    <t>Sampling Rate (Hz)</t>
  </si>
  <si>
    <t>Processor Clock Frequency (Hz)</t>
  </si>
  <si>
    <t xml:space="preserve"> (Input Below)</t>
  </si>
  <si>
    <t>(MHz)</t>
  </si>
  <si>
    <t>(Hz)</t>
  </si>
  <si>
    <t>Preload TCNT Value</t>
  </si>
  <si>
    <t>Prescale Value</t>
  </si>
  <si>
    <t>Timer Compare Value (Dec)</t>
  </si>
  <si>
    <t>Timer Value 16 - bit (Hex)</t>
  </si>
  <si>
    <t>Actual Sampling Rate (Hz) (16Bit)</t>
  </si>
  <si>
    <t>Timer Value 8 - bit (Hex)</t>
  </si>
  <si>
    <t>Actual Sampling Rate (Hz)(8Bit)</t>
  </si>
  <si>
    <t>Overflow Mode 16-bit</t>
  </si>
  <si>
    <t>Overflow Mode 8-bit</t>
  </si>
  <si>
    <t>Overflow Mode 16-bit (Hex)</t>
  </si>
  <si>
    <t>Overflow Mode 8-bit (Hex)</t>
  </si>
  <si>
    <t>Note: #NUM for Hex values means not attainable in the specified number of bits</t>
  </si>
  <si>
    <t xml:space="preserve">Below You may specify the Prescale value &amp; calculate the compare value to load a </t>
  </si>
  <si>
    <t>counter with using the Processor Clock Frequency from above</t>
  </si>
  <si>
    <t>In the cell to the left type in the prescale value you want to use</t>
  </si>
  <si>
    <t>Sampling Rate</t>
  </si>
  <si>
    <t>Compare Value (Dec)</t>
  </si>
  <si>
    <t>Processor Clock form Sampling Rate Calculator Sheet</t>
  </si>
  <si>
    <t>Note: AVR Data Sheets Recommend Only Using Baud Rates with Less than 1% Error</t>
  </si>
  <si>
    <t>Micsoft COMM ActiveX</t>
  </si>
  <si>
    <t>AVR Baud Rate Register Settings</t>
  </si>
  <si>
    <t>Desired Baud</t>
  </si>
  <si>
    <t>AVR Example</t>
  </si>
  <si>
    <t>MSCOMM Supported</t>
  </si>
  <si>
    <t>UBRR Count (Dec)</t>
  </si>
  <si>
    <t>UBRR Count (Hex)</t>
  </si>
  <si>
    <t>Actual Baud Rate</t>
  </si>
  <si>
    <t>%Error</t>
  </si>
  <si>
    <t>x</t>
  </si>
  <si>
    <t>Baud Rate Desired</t>
  </si>
  <si>
    <t>UBRR Register Value</t>
  </si>
  <si>
    <t>Crystal with 0% Error (MHz</t>
  </si>
  <si>
    <t>Desired Freq (Hz) =1/T</t>
  </si>
  <si>
    <t>Desired Cycles</t>
  </si>
  <si>
    <t>T=</t>
  </si>
  <si>
    <t>_init_sp [rhtmp=r16] __DEBUG_MACSIM__</t>
  </si>
  <si>
    <t>_push_p ptr:req [xy|Yz|r|R26-31] push H/L pop L/H</t>
  </si>
  <si>
    <t>_pop_p  ptr:req [xy|Yz|r|R26-31] push H/L pop L/H</t>
  </si>
  <si>
    <t>_stack_alloc_ls byte_c:req, reg_p=28/Y, rhtmp=r16</t>
  </si>
  <si>
    <t>_stack_free_ls  byte_c:req, reg_p=28/Y, rhtmp=r16</t>
  </si>
  <si>
    <t>_ret_pop_z = _pop_p z</t>
  </si>
  <si>
    <t>_ret_val_push_hl reg_list:vararg</t>
  </si>
  <si>
    <t>_ret = IJMP</t>
  </si>
  <si>
    <t>load into dst/gpr from ptr with [+/-/disp]</t>
  </si>
  <si>
    <t>store into ptr from src/gpr with [+/-/disp]</t>
  </si>
  <si>
    <t>_mcp src:req, dst:req, rhtmp=r16</t>
  </si>
  <si>
    <t>_mcp_p src:req, dst:req, mod=0, dp, rhtmp=r16 __DEBUG_MCP_P__</t>
  </si>
  <si>
    <t>[need update] mem copy from src to dst, src/dst can use x/y/z, mod=[+/-/d], dp</t>
  </si>
  <si>
    <t>mem write k, write immediate k8[0,255] to memory byte location</t>
  </si>
  <si>
    <t>_mwrki k8:req, dst:req, rhtmp=r16</t>
  </si>
  <si>
    <t>mem write k(int), write immediate k8[0,255] to memory byte location</t>
  </si>
  <si>
    <t>program mem read to dst[r0/gpr] from ptr[Z] with option pi[+](ptr inc)</t>
  </si>
  <si>
    <t>copy program mem to dst[any data mem] from ptr[Z] with option pi[+](ptr inc)</t>
  </si>
  <si>
    <t>_pmcp dst, pi, rhtmp=r16 __DEBUG_PMCP__</t>
  </si>
  <si>
    <t>_mwrki16 src_k16:req, dst:req, rhtmp=r16</t>
  </si>
  <si>
    <t>not work now</t>
  </si>
  <si>
    <t>_mwrki24 src_k24:req, dst_lo8:req, dst_hi8:req, dst_hh8:req</t>
  </si>
  <si>
    <t>_ldi16hl src_k16:req, dst_hi8:req, dst_lo8:req</t>
  </si>
  <si>
    <t>_ldi24hl src_k24:req, dst_lo8:req, dst_hi8:req, dst_hh8:req</t>
  </si>
  <si>
    <t>_ldi32hl src_k32:req, dst_hhi8:req, dst_hlo8:req, dst_hi8:req, dst_lo8:req</t>
  </si>
  <si>
    <t>_pushki16/24/32hl src_k16:req, rhtmp=r16</t>
  </si>
  <si>
    <t xml:space="preserve">   _pop16/24/32lh dst_lo8:req, dst_hi8:req [pop list]</t>
  </si>
  <si>
    <t>_mcp_mask src:req, dst:req, mask:req, rhtmp1=r16, rhtmp2=r17, rhtmp3=r18</t>
  </si>
  <si>
    <t>_mem_andi dst:req, k8:req, rhtmp1=r16</t>
  </si>
  <si>
    <t>_mem_ori  dst:req, k8:req, rhtmp1=r16</t>
  </si>
  <si>
    <t>copy n x bits(mask=1 bits) from src to dst, src not change</t>
  </si>
  <si>
    <t>_if_cond cond:req, jp1:req + ... jp9</t>
  </si>
  <si>
    <t>_if_bit xaddr:req, bit:req, set_or_clr=set, jp_false, rhtmp=r16</t>
  </si>
  <si>
    <t>_ifb_true_skip xaddr:req, bit:req, set_or_clr=set, rhtmp=r16</t>
  </si>
  <si>
    <t>_gen_label  ifcnt:req, nest:req, macro:req, prefix=_jp_, delim=_</t>
  </si>
  <si>
    <t>_gen_cjmp xjmp:req, ifcnt:req, nest:req, macro:req, prefix=_jp_, delim=_</t>
  </si>
  <si>
    <t>_gen_ujmp xjmp=rjmp, ifcnt:req, nest:req, macro:req, prefix=_jp_, delim=_</t>
  </si>
  <si>
    <t>_st_mk_xjmp   xjmp, ind, dir, prefix=10</t>
  </si>
  <si>
    <t>_do</t>
  </si>
  <si>
    <t>dec r0</t>
  </si>
  <si>
    <t>tst r0</t>
  </si>
  <si>
    <t>_break</t>
  </si>
  <si>
    <t>_while _until cond</t>
  </si>
  <si>
    <t>_jtb_gen_tbl case_count:req</t>
  </si>
  <si>
    <t>_jtb_case_do id:req</t>
  </si>
  <si>
    <t>_jtb_case_end id:req</t>
  </si>
  <si>
    <t>_jtb_end</t>
  </si>
  <si>
    <t>_jtb_switch reg</t>
  </si>
  <si>
    <t>_jtb_gen_batch_cases cmds, clist:vararg</t>
  </si>
  <si>
    <t>Arguments</t>
  </si>
  <si>
    <t>r25</t>
  </si>
  <si>
    <t>r24</t>
  </si>
  <si>
    <t>r23</t>
  </si>
  <si>
    <t>r22</t>
  </si>
  <si>
    <t>r21</t>
  </si>
  <si>
    <t>r20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</si>
  <si>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</si>
  <si>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</si>
  <si>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</si>
  <si>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</si>
  <si>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</si>
  <si>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</si>
  <si>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</si>
  <si>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</si>
  <si>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</si>
  <si>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</si>
  <si>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</si>
  <si>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</si>
  <si>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get binary code from __input string</t>
  </si>
  <si>
    <t>_get_bin __input [0,1,True,flase,set,clr,yes,no]</t>
  </si>
  <si>
    <t>CBR(ANDI Rdh,0xff-1&lt;&lt;b)</t>
  </si>
  <si>
    <t>SBR(ORI  Rdh,1&lt;&lt;b)</t>
  </si>
  <si>
    <t>_mem_bit_wr _addr:req, _bit:req, _value:req</t>
  </si>
  <si>
    <t>check _value if avaliable not only 0/1 but also true/false, yes/no, set/clr</t>
  </si>
  <si>
    <t>_mem_set_bits dst:req, k8:req, rhtmp1=r16</t>
  </si>
  <si>
    <t>_mem_clr_bits dst:req, k8:req, rhtmp1=r16</t>
  </si>
  <si>
    <t>ADD</t>
  </si>
  <si>
    <t>ADC</t>
  </si>
  <si>
    <t>SUB</t>
  </si>
  <si>
    <t>COM</t>
  </si>
  <si>
    <t>MUL</t>
  </si>
  <si>
    <t>DIV</t>
  </si>
  <si>
    <t>EOR</t>
  </si>
  <si>
    <t>SUBI</t>
  </si>
  <si>
    <t>ANDI</t>
  </si>
  <si>
    <t>ORI</t>
  </si>
  <si>
    <t>LSR</t>
  </si>
  <si>
    <t>LSL</t>
  </si>
  <si>
    <t>ROL</t>
  </si>
  <si>
    <t>ROR</t>
  </si>
  <si>
    <t>ASR</t>
  </si>
  <si>
    <t>SWAP</t>
  </si>
  <si>
    <t>Transfer</t>
  </si>
  <si>
    <t>MOV</t>
  </si>
  <si>
    <t>CP</t>
  </si>
  <si>
    <t>JMP</t>
  </si>
  <si>
    <t>RJMP</t>
  </si>
  <si>
    <t>CALL</t>
  </si>
  <si>
    <t>RCALL</t>
  </si>
  <si>
    <t>CPSE</t>
  </si>
  <si>
    <t>CPC</t>
  </si>
  <si>
    <t>[F]MUL[S/U]</t>
  </si>
  <si>
    <t>CMP</t>
  </si>
  <si>
    <t>TEST ZERO</t>
  </si>
  <si>
    <t>BIT COPY</t>
  </si>
  <si>
    <t>JUMP</t>
  </si>
  <si>
    <t>SJMP</t>
  </si>
  <si>
    <t>LJMP</t>
  </si>
  <si>
    <t>SCALL</t>
  </si>
  <si>
    <t>LCALL</t>
  </si>
  <si>
    <t>BRANCH</t>
  </si>
  <si>
    <t>BSKIP</t>
  </si>
  <si>
    <t>BYTESKIP</t>
  </si>
  <si>
    <t>SHIFT</t>
  </si>
  <si>
    <t>ARITH</t>
  </si>
  <si>
    <t>LOGIC</t>
  </si>
  <si>
    <t>TEST</t>
  </si>
  <si>
    <t>Type</t>
  </si>
  <si>
    <t>Macro</t>
  </si>
  <si>
    <t>Mnemonic</t>
  </si>
  <si>
    <t>Other &amp; Sys</t>
  </si>
  <si>
    <t>_bcp</t>
  </si>
  <si>
    <t>MEM COPY</t>
  </si>
  <si>
    <t>_mcp</t>
  </si>
  <si>
    <t>MEM COPY with PTR</t>
  </si>
  <si>
    <t>_mcpp</t>
  </si>
  <si>
    <t>NV-MEM COPY</t>
  </si>
  <si>
    <t>_nvmcp</t>
  </si>
  <si>
    <t>NV-MEM COPY with PTR</t>
  </si>
  <si>
    <t>_nvmcpp</t>
  </si>
  <si>
    <t>ADD with Carry</t>
  </si>
  <si>
    <t>SUB with Carry</t>
  </si>
  <si>
    <t>_add</t>
  </si>
  <si>
    <t>_addc</t>
  </si>
  <si>
    <t>_sub</t>
  </si>
  <si>
    <t>_subc</t>
  </si>
  <si>
    <t>_mul</t>
  </si>
  <si>
    <t>_div</t>
  </si>
  <si>
    <t>BST/BLD</t>
  </si>
  <si>
    <t>SBR/CBR</t>
  </si>
  <si>
    <t>SBI/CBI</t>
  </si>
  <si>
    <t>BSET/BCLR</t>
  </si>
  <si>
    <t>IN/OUT</t>
  </si>
  <si>
    <t>LDS/STS</t>
  </si>
  <si>
    <t>LD/ST</t>
  </si>
  <si>
    <t>LDD/STD</t>
  </si>
  <si>
    <t>_push/_pop</t>
  </si>
  <si>
    <t>PUSH</t>
  </si>
  <si>
    <t>POP</t>
  </si>
  <si>
    <t>SBC</t>
  </si>
  <si>
    <t>SBCI</t>
  </si>
  <si>
    <t>_and</t>
  </si>
  <si>
    <t>_or</t>
  </si>
  <si>
    <t>_xor</t>
  </si>
  <si>
    <t>_not</t>
  </si>
  <si>
    <t>_lsr</t>
  </si>
  <si>
    <t>_lsl</t>
  </si>
  <si>
    <t>_ror</t>
  </si>
  <si>
    <t>_rol</t>
  </si>
  <si>
    <t>_asr</t>
  </si>
  <si>
    <t>LSL/ADD</t>
  </si>
  <si>
    <t>ROL/ADC</t>
  </si>
  <si>
    <t>_swap</t>
  </si>
  <si>
    <t>_cmp</t>
  </si>
  <si>
    <t>_cmpc</t>
  </si>
  <si>
    <t>_tstz</t>
  </si>
  <si>
    <t>TST/AND</t>
  </si>
  <si>
    <t>ORI/ANDI/COM</t>
  </si>
  <si>
    <t>SER=LDI 0xFF</t>
  </si>
  <si>
    <t>CLR=EOR</t>
  </si>
  <si>
    <t>_bskip</t>
  </si>
  <si>
    <t>SBRSC</t>
  </si>
  <si>
    <t>SBISC</t>
  </si>
  <si>
    <t>BRBSC</t>
  </si>
  <si>
    <t>_cpse</t>
  </si>
  <si>
    <t>_sjmp</t>
  </si>
  <si>
    <t>_ljmp</t>
  </si>
  <si>
    <t>_ijmp</t>
  </si>
  <si>
    <t>_scall</t>
  </si>
  <si>
    <t>_lcall</t>
  </si>
  <si>
    <t>_icall</t>
  </si>
  <si>
    <t>_ret</t>
  </si>
  <si>
    <t>_bcp _src:req, _src_bit, _dst:req, _dst_bit, _rhtmp=r24
K[sym]-&gt;[T|RAM], T&lt;-&gt;RAM, RAM&lt;-&gt;RAM</t>
  </si>
  <si>
    <t>LD   Rd,XYZ</t>
  </si>
  <si>
    <t>_mcpp _src:req, _sid, _sdp, _rtmp=r24, _dst:req, _did, _ddp
[RAM]&lt;-&gt;[P]+-d, [P]+-d &lt;-&gt;[P]+-d</t>
  </si>
  <si>
    <t>_mcp  _src:req, _dst:req, _rtmp=r24       RAM&lt;-&gt;RAM
_mwri _k8:req, _dst:req, _rhtmp=r24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</si>
</sst>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"/>
    <numFmt numFmtId="165" formatCode="0.0"/>
    <numFmt numFmtId="166" formatCode="#,##0.000\-000\-000\-000"/>
    <numFmt numFmtId="167" formatCode="00.00000E+0"/>
    <numFmt numFmtId="168" formatCode="0.000%"/>
    <numFmt numFmtId="169" formatCode="00.00E+0"/>
    <numFmt numFmtId="170" formatCode="0.000"/>
    <numFmt numFmtId="171" formatCode="0.0000000000"/>
    <numFmt numFmtId="172" formatCode="0.00000000"/>
    <numFmt numFmtId="173" formatCode="0.0000"/>
  </numFmts>
  <fonts count="37">
    <font>
      <sz val="12"/>
      <color theme="1"/>
      <name val="Calibri"/>
      <family val="2"/>
      <scheme val="minor"/>
    </font>
    <font>
      <sz val="12"/>
      <color theme="1"/>
      <name val="Monaco"/>
      <family val="2"/>
    </font>
    <font>
      <sz val="10"/>
      <color theme="1"/>
      <name val="Monaco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trike/>
      <sz val="10"/>
      <color rgb="FF00B0F0"/>
      <name val="Arial"/>
      <family val="2"/>
      <charset val="204"/>
    </font>
    <font>
      <sz val="10"/>
      <color rgb="FF00B050"/>
      <name val="Arial"/>
      <family val="2"/>
      <charset val="204"/>
    </font>
    <font>
      <sz val="12"/>
      <color theme="1"/>
      <name val="Consolas"/>
      <family val="2"/>
    </font>
    <font>
      <sz val="11"/>
      <color theme="1"/>
      <name val="Monaco"/>
      <family val="2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1"/>
      <color theme="1"/>
      <name val="Consolas"/>
      <family val="2"/>
    </font>
    <font>
      <sz val="11"/>
      <color rgb="FFFF0000"/>
      <name val="Consolas"/>
      <family val="2"/>
    </font>
    <font>
      <sz val="11"/>
      <color rgb="FF000000"/>
      <name val="Consolas"/>
      <family val="2"/>
    </font>
    <font>
      <sz val="10"/>
      <color theme="1"/>
      <name val="LucidaSansUnicode"/>
    </font>
    <font>
      <b/>
      <sz val="11"/>
      <color theme="1"/>
      <name val="Consolas"/>
      <family val="2"/>
    </font>
    <font>
      <sz val="11"/>
      <name val="Consolas"/>
      <family val="2"/>
    </font>
    <font>
      <sz val="11"/>
      <color rgb="FFFF40FF"/>
      <name val="Consolas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Monaco"/>
      <family val="2"/>
    </font>
    <font>
      <sz val="11"/>
      <name val="Monaco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i/>
      <sz val="11"/>
      <color indexed="12"/>
      <name val="Arial"/>
      <family val="2"/>
    </font>
    <font>
      <i/>
      <sz val="11"/>
      <color indexed="17"/>
      <name val="Arial"/>
      <family val="2"/>
    </font>
    <font>
      <i/>
      <sz val="11"/>
      <color indexed="14"/>
      <name val="Arial"/>
      <family val="2"/>
    </font>
    <font>
      <i/>
      <sz val="11"/>
      <color indexed="36"/>
      <name val="Arial"/>
      <family val="2"/>
    </font>
    <font>
      <sz val="9"/>
      <color indexed="20"/>
      <name val="Arial"/>
      <family val="2"/>
    </font>
    <font>
      <i/>
      <sz val="11"/>
      <color indexed="40"/>
      <name val="Arial"/>
      <family val="2"/>
    </font>
    <font>
      <b/>
      <sz val="10"/>
      <color rgb="FFEEFFFF"/>
      <name val="Arial Unicode MS"/>
      <family val="2"/>
    </font>
    <font>
      <sz val="10"/>
      <color rgb="FFEEFFFF"/>
      <name val="Arial Unicode MS"/>
      <family val="2"/>
    </font>
    <font>
      <sz val="11"/>
      <color rgb="FF7030A0"/>
      <name val="Consolas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indexed="34"/>
        <bgColor indexed="13"/>
      </patternFill>
    </fill>
    <fill>
      <patternFill patternType="solid">
        <fgColor rgb="FF00B050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7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auto="1"/>
      </right>
      <top/>
      <bottom style="medium">
        <color rgb="FFA3A3A3"/>
      </bottom>
      <diagonal/>
    </border>
    <border>
      <left style="medium">
        <color auto="1"/>
      </left>
      <right style="medium">
        <color auto="1"/>
      </right>
      <top/>
      <bottom style="medium">
        <color rgb="FFA3A3A3"/>
      </bottom>
      <diagonal/>
    </border>
    <border>
      <left style="medium">
        <color auto="1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auto="1"/>
      </right>
      <top style="medium">
        <color rgb="FFA3A3A3"/>
      </top>
      <bottom/>
      <diagonal/>
    </border>
    <border>
      <left style="medium">
        <color auto="1"/>
      </left>
      <right style="medium">
        <color auto="1"/>
      </right>
      <top style="medium">
        <color rgb="FFA3A3A3"/>
      </top>
      <bottom/>
      <diagonal/>
    </border>
    <border>
      <left style="medium">
        <color auto="1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auto="1"/>
      </right>
      <top style="medium">
        <color rgb="FFA3A3A3"/>
      </top>
      <bottom style="medium">
        <color rgb="FFA3A3A3"/>
      </bottom>
      <diagonal/>
    </border>
    <border>
      <left style="medium">
        <color auto="1"/>
      </left>
      <right style="medium">
        <color auto="1"/>
      </right>
      <top style="medium">
        <color rgb="FFA3A3A3"/>
      </top>
      <bottom style="medium">
        <color rgb="FFA3A3A3"/>
      </bottom>
      <diagonal/>
    </border>
    <border>
      <left style="medium">
        <color auto="1"/>
      </left>
      <right style="medium">
        <color rgb="FFA3A3A3"/>
      </right>
      <top style="medium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auto="1"/>
      </top>
      <bottom/>
      <diagonal/>
    </border>
    <border>
      <left style="medium">
        <color rgb="FFA3A3A3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A3A3A3"/>
      </right>
      <top/>
      <bottom style="medium">
        <color auto="1"/>
      </bottom>
      <diagonal/>
    </border>
    <border>
      <left style="medium">
        <color rgb="FFA3A3A3"/>
      </left>
      <right style="medium">
        <color rgb="FFA3A3A3"/>
      </right>
      <top/>
      <bottom style="medium">
        <color auto="1"/>
      </bottom>
      <diagonal/>
    </border>
    <border>
      <left style="medium">
        <color rgb="FFA3A3A3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/>
      <diagonal/>
    </border>
    <border>
      <left style="medium">
        <color indexed="11"/>
      </left>
      <right/>
      <top/>
      <bottom/>
      <diagonal/>
    </border>
    <border>
      <left/>
      <right style="medium">
        <color indexed="11"/>
      </right>
      <top/>
      <bottom/>
      <diagonal/>
    </border>
    <border>
      <left style="medium">
        <color indexed="11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medium">
        <color indexed="11"/>
      </right>
      <top/>
      <bottom style="medium">
        <color indexed="11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</borders>
  <cellStyleXfs count="6">
    <xf numFmtId="0" fontId="0" fillId="0" borderId="0"/>
    <xf numFmtId="0" fontId="3" fillId="0" borderId="0"/>
    <xf numFmtId="0" fontId="19" fillId="0" borderId="0"/>
    <xf numFmtId="0" fontId="21" fillId="0" borderId="0"/>
    <xf numFmtId="0" fontId="24" fillId="0" borderId="0" applyNumberFormat="0" applyFill="0" applyBorder="0" applyProtection="0">
      <alignment horizontal="center"/>
    </xf>
    <xf numFmtId="0" fontId="27" fillId="0" borderId="0" applyNumberFormat="0" applyFill="0" applyBorder="0" applyAlignment="0" applyProtection="0"/>
  </cellStyleXfs>
  <cellXfs count="26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1" applyFont="1" applyAlignment="1">
      <alignment vertical="center"/>
    </xf>
    <xf numFmtId="0" fontId="3" fillId="0" borderId="0" xfId="1"/>
    <xf numFmtId="0" fontId="6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3" fillId="0" borderId="4" xfId="1" applyBorder="1" applyAlignment="1">
      <alignment vertical="top" wrapText="1"/>
    </xf>
    <xf numFmtId="0" fontId="3" fillId="0" borderId="5" xfId="1" applyBorder="1" applyAlignment="1">
      <alignment vertical="top" wrapText="1"/>
    </xf>
    <xf numFmtId="0" fontId="3" fillId="0" borderId="6" xfId="1" applyBorder="1" applyAlignment="1">
      <alignment vertical="top" wrapText="1"/>
    </xf>
    <xf numFmtId="0" fontId="7" fillId="0" borderId="8" xfId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3" fillId="0" borderId="8" xfId="1" applyBorder="1" applyAlignment="1">
      <alignment vertical="top" wrapText="1"/>
    </xf>
    <xf numFmtId="0" fontId="3" fillId="0" borderId="9" xfId="1" applyBorder="1" applyAlignment="1">
      <alignment vertical="top" wrapText="1"/>
    </xf>
    <xf numFmtId="0" fontId="3" fillId="0" borderId="10" xfId="1" applyBorder="1" applyAlignment="1">
      <alignment vertical="top" wrapText="1"/>
    </xf>
    <xf numFmtId="0" fontId="7" fillId="0" borderId="12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14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6" fillId="0" borderId="16" xfId="1" applyFont="1" applyBorder="1" applyAlignment="1">
      <alignment vertical="center" wrapText="1"/>
    </xf>
    <xf numFmtId="0" fontId="4" fillId="0" borderId="17" xfId="1" applyFont="1" applyBorder="1" applyAlignment="1">
      <alignment vertical="center" wrapText="1"/>
    </xf>
    <xf numFmtId="0" fontId="4" fillId="0" borderId="18" xfId="1" applyFont="1" applyBorder="1" applyAlignment="1">
      <alignment vertical="center" wrapText="1"/>
    </xf>
    <xf numFmtId="0" fontId="7" fillId="0" borderId="16" xfId="1" applyFont="1" applyBorder="1" applyAlignment="1">
      <alignment vertical="center" wrapText="1"/>
    </xf>
    <xf numFmtId="0" fontId="4" fillId="0" borderId="19" xfId="1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4" fillId="0" borderId="20" xfId="1" applyFont="1" applyBorder="1" applyAlignment="1">
      <alignment vertical="center" wrapText="1"/>
    </xf>
    <xf numFmtId="0" fontId="4" fillId="0" borderId="22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23" xfId="1" applyFont="1" applyBorder="1" applyAlignment="1">
      <alignment vertical="center" wrapText="1"/>
    </xf>
    <xf numFmtId="0" fontId="4" fillId="0" borderId="24" xfId="1" applyFont="1" applyBorder="1" applyAlignment="1">
      <alignment vertical="center" wrapText="1"/>
    </xf>
    <xf numFmtId="0" fontId="4" fillId="0" borderId="25" xfId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2" borderId="0" xfId="0" applyFont="1" applyFill="1"/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9" fillId="0" borderId="0" xfId="0" applyNumberFormat="1" applyFont="1" applyAlignment="1">
      <alignment horizontal="center" vertical="center" wrapText="1"/>
    </xf>
    <xf numFmtId="4" fontId="9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 wrapText="1"/>
    </xf>
    <xf numFmtId="3" fontId="9" fillId="2" borderId="0" xfId="0" applyNumberFormat="1" applyFont="1" applyFill="1" applyAlignment="1">
      <alignment horizontal="center" vertical="center" wrapText="1"/>
    </xf>
    <xf numFmtId="0" fontId="9" fillId="0" borderId="0" xfId="0" applyFont="1"/>
    <xf numFmtId="164" fontId="9" fillId="0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center"/>
    </xf>
    <xf numFmtId="3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3" fontId="9" fillId="2" borderId="0" xfId="0" applyNumberFormat="1" applyFont="1" applyFill="1" applyAlignment="1">
      <alignment horizontal="right" vertical="center"/>
    </xf>
    <xf numFmtId="4" fontId="9" fillId="2" borderId="0" xfId="0" applyNumberFormat="1" applyFont="1" applyFill="1" applyAlignment="1">
      <alignment horizontal="right" vertical="center"/>
    </xf>
    <xf numFmtId="164" fontId="9" fillId="2" borderId="0" xfId="0" applyNumberFormat="1" applyFont="1" applyFill="1" applyAlignment="1">
      <alignment vertical="center"/>
    </xf>
    <xf numFmtId="164" fontId="9" fillId="3" borderId="0" xfId="0" applyNumberFormat="1" applyFont="1" applyFill="1" applyAlignment="1">
      <alignment vertical="center"/>
    </xf>
    <xf numFmtId="4" fontId="9" fillId="3" borderId="0" xfId="0" applyNumberFormat="1" applyFont="1" applyFill="1" applyAlignment="1">
      <alignment vertical="center"/>
    </xf>
    <xf numFmtId="3" fontId="9" fillId="3" borderId="0" xfId="0" applyNumberFormat="1" applyFont="1" applyFill="1" applyAlignment="1">
      <alignment vertical="center"/>
    </xf>
    <xf numFmtId="4" fontId="9" fillId="3" borderId="0" xfId="0" applyNumberFormat="1" applyFont="1" applyFill="1" applyAlignment="1">
      <alignment horizontal="right" vertical="center"/>
    </xf>
    <xf numFmtId="3" fontId="9" fillId="3" borderId="0" xfId="0" applyNumberFormat="1" applyFont="1" applyFill="1" applyAlignment="1">
      <alignment horizontal="right" vertical="center"/>
    </xf>
    <xf numFmtId="0" fontId="9" fillId="3" borderId="0" xfId="0" applyFont="1" applyFill="1"/>
    <xf numFmtId="4" fontId="9" fillId="4" borderId="0" xfId="0" applyNumberFormat="1" applyFont="1" applyFill="1" applyAlignment="1">
      <alignment horizontal="right" vertical="center"/>
    </xf>
    <xf numFmtId="3" fontId="9" fillId="0" borderId="0" xfId="0" applyNumberFormat="1" applyFont="1" applyFill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left" vertical="center"/>
    </xf>
    <xf numFmtId="4" fontId="0" fillId="0" borderId="0" xfId="0" applyNumberFormat="1" applyAlignment="1">
      <alignment horizontal="left"/>
    </xf>
    <xf numFmtId="0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NumberFormat="1" applyFill="1" applyAlignment="1">
      <alignment horizontal="center" vertical="center"/>
    </xf>
    <xf numFmtId="0" fontId="0" fillId="0" borderId="0" xfId="0" applyFont="1"/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16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2" fillId="5" borderId="26" xfId="0" applyFont="1" applyFill="1" applyBorder="1" applyAlignment="1">
      <alignment vertical="center"/>
    </xf>
    <xf numFmtId="0" fontId="12" fillId="5" borderId="28" xfId="0" applyFont="1" applyFill="1" applyBorder="1" applyAlignment="1">
      <alignment vertical="center"/>
    </xf>
    <xf numFmtId="0" fontId="12" fillId="5" borderId="27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4" borderId="28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right"/>
    </xf>
    <xf numFmtId="0" fontId="12" fillId="5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left" vertical="center"/>
    </xf>
    <xf numFmtId="0" fontId="12" fillId="6" borderId="27" xfId="0" applyFont="1" applyFill="1" applyBorder="1" applyAlignment="1">
      <alignment vertical="center" wrapText="1"/>
    </xf>
    <xf numFmtId="0" fontId="12" fillId="6" borderId="27" xfId="0" applyFont="1" applyFill="1" applyBorder="1" applyAlignment="1">
      <alignment vertical="center"/>
    </xf>
    <xf numFmtId="0" fontId="12" fillId="6" borderId="26" xfId="0" applyFont="1" applyFill="1" applyBorder="1" applyAlignment="1">
      <alignment vertical="center"/>
    </xf>
    <xf numFmtId="0" fontId="12" fillId="6" borderId="28" xfId="0" applyFont="1" applyFill="1" applyBorder="1" applyAlignment="1">
      <alignment vertical="center"/>
    </xf>
    <xf numFmtId="0" fontId="12" fillId="6" borderId="28" xfId="0" applyFont="1" applyFill="1" applyBorder="1" applyAlignment="1">
      <alignment vertical="center" wrapText="1"/>
    </xf>
    <xf numFmtId="0" fontId="13" fillId="6" borderId="28" xfId="0" applyFont="1" applyFill="1" applyBorder="1" applyAlignment="1">
      <alignment vertical="center" wrapText="1"/>
    </xf>
    <xf numFmtId="0" fontId="12" fillId="6" borderId="26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center"/>
    </xf>
    <xf numFmtId="0" fontId="12" fillId="5" borderId="26" xfId="0" applyFont="1" applyFill="1" applyBorder="1" applyAlignment="1">
      <alignment horizontal="right" vertical="center"/>
    </xf>
    <xf numFmtId="0" fontId="16" fillId="7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left" vertical="center"/>
    </xf>
    <xf numFmtId="0" fontId="12" fillId="7" borderId="1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right" vertical="center"/>
    </xf>
    <xf numFmtId="0" fontId="12" fillId="5" borderId="27" xfId="0" applyFont="1" applyFill="1" applyBorder="1" applyAlignment="1">
      <alignment horizontal="right" vertical="center"/>
    </xf>
    <xf numFmtId="0" fontId="17" fillId="9" borderId="0" xfId="0" applyFont="1" applyFill="1" applyBorder="1" applyAlignment="1">
      <alignment vertical="center"/>
    </xf>
    <xf numFmtId="0" fontId="18" fillId="4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0" fillId="10" borderId="0" xfId="2" applyFont="1" applyFill="1"/>
    <xf numFmtId="0" fontId="19" fillId="10" borderId="0" xfId="2" applyFill="1"/>
    <xf numFmtId="0" fontId="19" fillId="10" borderId="1" xfId="2" applyFill="1" applyBorder="1"/>
    <xf numFmtId="0" fontId="19" fillId="0" borderId="1" xfId="2" applyBorder="1"/>
    <xf numFmtId="0" fontId="19" fillId="10" borderId="29" xfId="2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3" fillId="0" borderId="31" xfId="3" applyFont="1" applyBorder="1" applyAlignment="1">
      <alignment horizontal="right" vertical="center"/>
    </xf>
    <xf numFmtId="3" fontId="23" fillId="12" borderId="0" xfId="3" applyNumberFormat="1" applyFont="1" applyFill="1" applyAlignment="1">
      <alignment vertical="center"/>
    </xf>
    <xf numFmtId="0" fontId="23" fillId="0" borderId="32" xfId="3" applyFont="1" applyBorder="1" applyAlignment="1">
      <alignment horizontal="right" vertical="center"/>
    </xf>
    <xf numFmtId="0" fontId="23" fillId="12" borderId="0" xfId="3" applyFont="1" applyFill="1" applyAlignment="1">
      <alignment vertical="center"/>
    </xf>
    <xf numFmtId="0" fontId="23" fillId="13" borderId="0" xfId="3" applyFont="1" applyFill="1" applyAlignment="1">
      <alignment vertical="center"/>
    </xf>
    <xf numFmtId="0" fontId="23" fillId="0" borderId="33" xfId="3" applyFont="1" applyBorder="1" applyAlignment="1">
      <alignment horizontal="right" vertical="center"/>
    </xf>
    <xf numFmtId="39" fontId="23" fillId="12" borderId="34" xfId="3" applyNumberFormat="1" applyFont="1" applyFill="1" applyBorder="1" applyAlignment="1">
      <alignment vertical="center"/>
    </xf>
    <xf numFmtId="0" fontId="23" fillId="0" borderId="35" xfId="3" applyFont="1" applyBorder="1" applyAlignment="1">
      <alignment horizontal="right" vertical="center"/>
    </xf>
    <xf numFmtId="0" fontId="23" fillId="0" borderId="0" xfId="3" applyFont="1" applyAlignment="1">
      <alignment horizontal="right" vertical="center"/>
    </xf>
    <xf numFmtId="0" fontId="23" fillId="0" borderId="0" xfId="3" applyFont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165" fontId="9" fillId="0" borderId="0" xfId="0" applyNumberFormat="1" applyFont="1" applyAlignment="1">
      <alignment horizontal="right" vertical="center"/>
    </xf>
    <xf numFmtId="0" fontId="23" fillId="0" borderId="0" xfId="3" applyFont="1" applyAlignment="1">
      <alignment vertical="center"/>
    </xf>
    <xf numFmtId="0" fontId="24" fillId="0" borderId="0" xfId="4">
      <alignment horizontal="center"/>
    </xf>
    <xf numFmtId="0" fontId="24" fillId="0" borderId="0" xfId="4" applyAlignment="1">
      <alignment horizontal="left"/>
    </xf>
    <xf numFmtId="0" fontId="21" fillId="0" borderId="0" xfId="3"/>
    <xf numFmtId="0" fontId="21" fillId="0" borderId="31" xfId="3" applyBorder="1"/>
    <xf numFmtId="3" fontId="21" fillId="12" borderId="0" xfId="3" applyNumberFormat="1" applyFill="1"/>
    <xf numFmtId="0" fontId="21" fillId="0" borderId="0" xfId="3" applyAlignment="1">
      <alignment horizontal="center"/>
    </xf>
    <xf numFmtId="0" fontId="21" fillId="0" borderId="32" xfId="3" applyBorder="1"/>
    <xf numFmtId="0" fontId="21" fillId="12" borderId="0" xfId="3" applyFill="1"/>
    <xf numFmtId="166" fontId="21" fillId="13" borderId="0" xfId="3" applyNumberFormat="1" applyFill="1"/>
    <xf numFmtId="0" fontId="21" fillId="0" borderId="33" xfId="3" applyBorder="1"/>
    <xf numFmtId="0" fontId="21" fillId="0" borderId="34" xfId="3" applyBorder="1" applyAlignment="1">
      <alignment horizontal="center"/>
    </xf>
    <xf numFmtId="0" fontId="21" fillId="0" borderId="34" xfId="3" applyBorder="1"/>
    <xf numFmtId="0" fontId="21" fillId="0" borderId="35" xfId="3" applyBorder="1"/>
    <xf numFmtId="0" fontId="21" fillId="0" borderId="37" xfId="3" applyBorder="1"/>
    <xf numFmtId="0" fontId="21" fillId="0" borderId="38" xfId="3" applyBorder="1"/>
    <xf numFmtId="0" fontId="28" fillId="0" borderId="37" xfId="5" applyFont="1" applyBorder="1"/>
    <xf numFmtId="0" fontId="21" fillId="15" borderId="0" xfId="3" applyFill="1"/>
    <xf numFmtId="167" fontId="21" fillId="0" borderId="0" xfId="3" applyNumberFormat="1"/>
    <xf numFmtId="168" fontId="21" fillId="16" borderId="38" xfId="3" applyNumberFormat="1" applyFill="1" applyBorder="1"/>
    <xf numFmtId="0" fontId="21" fillId="15" borderId="0" xfId="3" applyFill="1" applyAlignment="1">
      <alignment horizontal="right"/>
    </xf>
    <xf numFmtId="0" fontId="29" fillId="0" borderId="37" xfId="5" applyFont="1" applyBorder="1"/>
    <xf numFmtId="0" fontId="30" fillId="0" borderId="37" xfId="3" applyFont="1" applyBorder="1"/>
    <xf numFmtId="0" fontId="21" fillId="0" borderId="0" xfId="3" applyAlignment="1">
      <alignment horizontal="right"/>
    </xf>
    <xf numFmtId="0" fontId="31" fillId="0" borderId="37" xfId="5" applyFont="1" applyBorder="1"/>
    <xf numFmtId="0" fontId="32" fillId="0" borderId="0" xfId="3" applyFont="1"/>
    <xf numFmtId="0" fontId="33" fillId="0" borderId="37" xfId="5" applyFont="1" applyBorder="1"/>
    <xf numFmtId="169" fontId="21" fillId="15" borderId="0" xfId="3" applyNumberFormat="1" applyFill="1" applyAlignment="1">
      <alignment horizontal="right"/>
    </xf>
    <xf numFmtId="0" fontId="21" fillId="0" borderId="39" xfId="3" applyBorder="1"/>
    <xf numFmtId="0" fontId="21" fillId="0" borderId="40" xfId="3" applyBorder="1"/>
    <xf numFmtId="0" fontId="21" fillId="0" borderId="41" xfId="3" applyBorder="1"/>
    <xf numFmtId="0" fontId="34" fillId="0" borderId="0" xfId="0" applyFont="1"/>
    <xf numFmtId="0" fontId="0" fillId="0" borderId="0" xfId="0" applyAlignment="1">
      <alignment horizontal="center"/>
    </xf>
    <xf numFmtId="0" fontId="35" fillId="0" borderId="0" xfId="0" applyFont="1"/>
    <xf numFmtId="0" fontId="0" fillId="0" borderId="0" xfId="0" applyAlignment="1">
      <alignment horizontal="right"/>
    </xf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170" fontId="0" fillId="2" borderId="0" xfId="0" applyNumberFormat="1" applyFill="1"/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 applyAlignment="1">
      <alignment horizontal="center" vertical="center"/>
    </xf>
    <xf numFmtId="170" fontId="0" fillId="0" borderId="0" xfId="0" applyNumberFormat="1"/>
    <xf numFmtId="0" fontId="19" fillId="0" borderId="0" xfId="2"/>
    <xf numFmtId="3" fontId="19" fillId="0" borderId="0" xfId="2" applyNumberFormat="1"/>
    <xf numFmtId="171" fontId="19" fillId="0" borderId="0" xfId="2" applyNumberFormat="1"/>
    <xf numFmtId="0" fontId="19" fillId="0" borderId="0" xfId="2" applyAlignment="1">
      <alignment horizontal="center"/>
    </xf>
    <xf numFmtId="172" fontId="19" fillId="0" borderId="0" xfId="2" applyNumberFormat="1" applyAlignment="1">
      <alignment horizontal="center"/>
    </xf>
    <xf numFmtId="0" fontId="19" fillId="0" borderId="0" xfId="2" applyFill="1" applyBorder="1"/>
    <xf numFmtId="0" fontId="19" fillId="0" borderId="0" xfId="2" applyFill="1" applyBorder="1" applyAlignment="1">
      <alignment horizontal="left"/>
    </xf>
    <xf numFmtId="173" fontId="19" fillId="0" borderId="0" xfId="2" applyNumberFormat="1" applyFill="1" applyBorder="1"/>
    <xf numFmtId="0" fontId="19" fillId="0" borderId="0" xfId="2" applyFill="1" applyBorder="1" applyAlignment="1">
      <alignment horizontal="center"/>
    </xf>
    <xf numFmtId="0" fontId="19" fillId="0" borderId="0" xfId="2" applyFill="1" applyBorder="1" applyAlignment="1">
      <alignment vertical="top" wrapText="1"/>
    </xf>
    <xf numFmtId="0" fontId="19" fillId="0" borderId="0" xfId="2" applyFill="1" applyBorder="1" applyAlignment="1">
      <alignment horizontal="center" vertical="top" wrapText="1"/>
    </xf>
    <xf numFmtId="2" fontId="19" fillId="0" borderId="0" xfId="2" applyNumberFormat="1" applyFill="1" applyBorder="1" applyAlignment="1">
      <alignment horizontal="right"/>
    </xf>
    <xf numFmtId="0" fontId="19" fillId="17" borderId="0" xfId="2" applyFill="1" applyBorder="1"/>
    <xf numFmtId="0" fontId="19" fillId="3" borderId="0" xfId="2" applyFill="1" applyBorder="1"/>
    <xf numFmtId="0" fontId="19" fillId="3" borderId="0" xfId="2" applyFill="1" applyBorder="1" applyAlignment="1">
      <alignment horizontal="center"/>
    </xf>
    <xf numFmtId="0" fontId="21" fillId="0" borderId="0" xfId="3" applyBorder="1"/>
    <xf numFmtId="0" fontId="21" fillId="0" borderId="0" xfId="3" applyBorder="1" applyAlignment="1">
      <alignment horizontal="center"/>
    </xf>
    <xf numFmtId="37" fontId="21" fillId="13" borderId="0" xfId="3" applyNumberFormat="1" applyFill="1" applyBorder="1"/>
    <xf numFmtId="166" fontId="21" fillId="0" borderId="0" xfId="3" applyNumberFormat="1" applyFill="1"/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0" fillId="18" borderId="0" xfId="0" applyFill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vertical="center"/>
    </xf>
    <xf numFmtId="0" fontId="36" fillId="4" borderId="1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/>
    </xf>
    <xf numFmtId="0" fontId="16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2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2" xfId="1" applyFont="1" applyBorder="1" applyAlignment="1">
      <alignment vertical="center" wrapText="1"/>
    </xf>
    <xf numFmtId="0" fontId="5" fillId="0" borderId="3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4" fillId="0" borderId="11" xfId="1" applyFont="1" applyBorder="1" applyAlignment="1">
      <alignment vertical="center" wrapText="1"/>
    </xf>
    <xf numFmtId="0" fontId="4" fillId="0" borderId="15" xfId="1" applyFont="1" applyBorder="1" applyAlignment="1">
      <alignment vertical="center" wrapText="1"/>
    </xf>
    <xf numFmtId="0" fontId="7" fillId="0" borderId="12" xfId="1" applyFont="1" applyBorder="1" applyAlignment="1">
      <alignment vertical="center" wrapText="1"/>
    </xf>
    <xf numFmtId="0" fontId="7" fillId="0" borderId="8" xfId="1" applyFont="1" applyBorder="1" applyAlignment="1">
      <alignment vertical="center" wrapText="1"/>
    </xf>
    <xf numFmtId="0" fontId="4" fillId="0" borderId="13" xfId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14" xfId="1" applyFont="1" applyBorder="1" applyAlignment="1">
      <alignment vertical="center" wrapText="1"/>
    </xf>
    <xf numFmtId="0" fontId="4" fillId="0" borderId="10" xfId="1" applyFont="1" applyBorder="1" applyAlignment="1">
      <alignment vertical="center" wrapText="1"/>
    </xf>
    <xf numFmtId="0" fontId="4" fillId="0" borderId="12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7" fillId="0" borderId="4" xfId="1" applyFont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21" xfId="1" applyFont="1" applyBorder="1" applyAlignment="1">
      <alignment vertical="center" wrapText="1"/>
    </xf>
    <xf numFmtId="0" fontId="4" fillId="0" borderId="20" xfId="1" applyFont="1" applyBorder="1" applyAlignment="1">
      <alignment vertical="center" wrapText="1"/>
    </xf>
    <xf numFmtId="0" fontId="4" fillId="0" borderId="4" xfId="1" applyFont="1" applyBorder="1" applyAlignment="1">
      <alignment vertical="center" wrapText="1"/>
    </xf>
    <xf numFmtId="0" fontId="4" fillId="0" borderId="22" xfId="1" applyFont="1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3" xfId="1" applyFont="1" applyBorder="1" applyAlignment="1">
      <alignment vertical="center" wrapText="1"/>
    </xf>
    <xf numFmtId="0" fontId="4" fillId="0" borderId="24" xfId="1" applyFont="1" applyBorder="1" applyAlignment="1">
      <alignment vertical="center" wrapText="1"/>
    </xf>
    <xf numFmtId="0" fontId="4" fillId="0" borderId="25" xfId="1" applyFont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26" fillId="11" borderId="30" xfId="3" applyFont="1" applyFill="1" applyBorder="1" applyAlignment="1">
      <alignment horizontal="center"/>
    </xf>
    <xf numFmtId="0" fontId="26" fillId="14" borderId="36" xfId="3" applyFont="1" applyFill="1" applyBorder="1" applyAlignment="1">
      <alignment horizontal="center"/>
    </xf>
    <xf numFmtId="0" fontId="22" fillId="11" borderId="30" xfId="3" applyFont="1" applyFill="1" applyBorder="1" applyAlignment="1">
      <alignment horizontal="center" vertical="center"/>
    </xf>
  </cellXfs>
  <cellStyles count="6">
    <cellStyle name="Heading" xfId="4" xr:uid="{4D40950E-0169-9A4F-9C44-CAEDE8D20AB0}"/>
    <cellStyle name="Heading2" xfId="5" xr:uid="{136B63BD-7BB6-C54B-89D6-9BFFFCFE431D}"/>
    <cellStyle name="Normal" xfId="0" builtinId="0"/>
    <cellStyle name="Normal 2" xfId="1" xr:uid="{9BEEF4A3-44AA-274E-803B-00A53C3AA556}"/>
    <cellStyle name="Normal 2 2" xfId="3" xr:uid="{4A8F10E2-063C-5141-A6C1-3532C940E0A1}"/>
    <cellStyle name="Normal 3" xfId="2" xr:uid="{4DC54484-F88D-D641-B8F8-C54A04416E15}"/>
  </cellStyles>
  <dxfs count="0"/>
  <tableStyles count="0" defaultTableStyle="TableStyleMedium9" defaultPivotStyle="PivotStyleMedium7"/>
  <colors>
    <mruColors>
      <color rgb="FFFF40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itCodes/AVR/avr-calc/AVRSampling&amp;BaudRateCalculator-R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ing Rate Calculator"/>
      <sheetName val="Baud Rate Calculator"/>
    </sheetNames>
    <sheetDataSet>
      <sheetData sheetId="0">
        <row r="6">
          <cell r="A6">
            <v>300</v>
          </cell>
        </row>
        <row r="7">
          <cell r="B7">
            <v>14745600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vardaan.com/" TargetMode="External"/><Relationship Id="rId1" Type="http://schemas.openxmlformats.org/officeDocument/2006/relationships/hyperlink" Target="http://www.vard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5F898-44B8-E141-A689-4DCD793A6577}">
  <dimension ref="B1:F57"/>
  <sheetViews>
    <sheetView tabSelected="1" workbookViewId="0">
      <selection activeCell="D26" sqref="D26"/>
    </sheetView>
  </sheetViews>
  <sheetFormatPr baseColWidth="10" defaultRowHeight="16"/>
  <cols>
    <col min="1" max="1" width="3" style="88" customWidth="1"/>
    <col min="2" max="2" width="11.1640625" style="137" bestFit="1" customWidth="1"/>
    <col min="3" max="3" width="31.83203125" style="88" bestFit="1" customWidth="1"/>
    <col min="4" max="4" width="55.5" style="88" bestFit="1" customWidth="1"/>
    <col min="5" max="16384" width="10.83203125" style="88"/>
  </cols>
  <sheetData>
    <row r="1" spans="2:6">
      <c r="B1" s="138"/>
      <c r="C1" s="139" t="s">
        <v>541</v>
      </c>
      <c r="D1" s="139"/>
      <c r="E1" s="139"/>
      <c r="F1" s="139"/>
    </row>
    <row r="2" spans="2:6" ht="32">
      <c r="B2" s="95" t="s">
        <v>661</v>
      </c>
      <c r="C2" s="93" t="s">
        <v>166</v>
      </c>
      <c r="D2" s="94" t="s">
        <v>168</v>
      </c>
      <c r="E2" s="94" t="s">
        <v>165</v>
      </c>
      <c r="F2" s="92"/>
    </row>
    <row r="3" spans="2:6">
      <c r="B3" s="95" t="s">
        <v>640</v>
      </c>
      <c r="C3" s="96" t="s">
        <v>639</v>
      </c>
      <c r="D3" s="96" t="s">
        <v>634</v>
      </c>
      <c r="E3" s="93" t="s">
        <v>4</v>
      </c>
      <c r="F3" s="92"/>
    </row>
    <row r="4" spans="2:6">
      <c r="B4" s="95" t="s">
        <v>641</v>
      </c>
      <c r="C4" s="96" t="s">
        <v>633</v>
      </c>
      <c r="D4" s="95" t="s">
        <v>635</v>
      </c>
      <c r="E4" s="93" t="s">
        <v>6</v>
      </c>
      <c r="F4" s="92"/>
    </row>
    <row r="5" spans="2:6">
      <c r="B5" s="95" t="s">
        <v>642</v>
      </c>
      <c r="C5" s="96" t="s">
        <v>632</v>
      </c>
      <c r="D5" s="96" t="s">
        <v>636</v>
      </c>
      <c r="E5" s="93" t="s">
        <v>5</v>
      </c>
      <c r="F5" s="92"/>
    </row>
    <row r="6" spans="2:6">
      <c r="B6" s="95" t="s">
        <v>643</v>
      </c>
      <c r="C6" s="96" t="s">
        <v>644</v>
      </c>
      <c r="D6" s="96" t="s">
        <v>636</v>
      </c>
      <c r="E6" s="93" t="s">
        <v>7</v>
      </c>
      <c r="F6" s="92"/>
    </row>
    <row r="7" spans="2:6">
      <c r="B7" s="95" t="s">
        <v>645</v>
      </c>
      <c r="C7" s="96" t="s">
        <v>637</v>
      </c>
      <c r="D7" s="96" t="s">
        <v>646</v>
      </c>
      <c r="E7" s="93" t="s">
        <v>8</v>
      </c>
      <c r="F7" s="92"/>
    </row>
    <row r="8" spans="2:6">
      <c r="B8" s="95" t="s">
        <v>660</v>
      </c>
      <c r="C8" s="96" t="s">
        <v>638</v>
      </c>
      <c r="D8" s="95" t="s">
        <v>663</v>
      </c>
      <c r="E8" s="93"/>
      <c r="F8" s="92"/>
    </row>
    <row r="9" spans="2:6">
      <c r="B9" s="95" t="s">
        <v>647</v>
      </c>
      <c r="C9" s="96" t="s">
        <v>682</v>
      </c>
      <c r="D9" s="95" t="s">
        <v>648</v>
      </c>
      <c r="E9" s="93"/>
      <c r="F9" s="92"/>
    </row>
    <row r="10" spans="2:6">
      <c r="B10" s="95" t="s">
        <v>208</v>
      </c>
      <c r="C10" s="96" t="s">
        <v>209</v>
      </c>
      <c r="D10" s="95" t="s">
        <v>649</v>
      </c>
      <c r="E10" s="93"/>
      <c r="F10" s="92"/>
    </row>
    <row r="11" spans="2:6">
      <c r="B11" s="95" t="s">
        <v>690</v>
      </c>
      <c r="C11" s="96" t="s">
        <v>691</v>
      </c>
      <c r="D11" s="95" t="s">
        <v>692</v>
      </c>
      <c r="E11" s="93"/>
      <c r="F11" s="92"/>
    </row>
    <row r="12" spans="2:6">
      <c r="B12" s="95" t="s">
        <v>650</v>
      </c>
      <c r="C12" s="96" t="s">
        <v>9</v>
      </c>
      <c r="D12" s="139" t="s">
        <v>560</v>
      </c>
      <c r="E12" s="93"/>
      <c r="F12" s="92"/>
    </row>
    <row r="13" spans="2:6">
      <c r="B13" s="138" t="s">
        <v>662</v>
      </c>
      <c r="C13" s="139"/>
      <c r="D13" s="139" t="s">
        <v>561</v>
      </c>
      <c r="E13" s="93"/>
      <c r="F13" s="92"/>
    </row>
    <row r="14" spans="2:6">
      <c r="B14" s="95" t="s">
        <v>651</v>
      </c>
      <c r="C14" s="96" t="s">
        <v>652</v>
      </c>
      <c r="D14" s="95"/>
      <c r="E14" s="93"/>
      <c r="F14" s="92"/>
    </row>
    <row r="15" spans="2:6">
      <c r="B15" s="95" t="s">
        <v>653</v>
      </c>
      <c r="C15" s="96" t="s">
        <v>654</v>
      </c>
      <c r="D15" s="95"/>
      <c r="E15" s="92"/>
      <c r="F15" s="92"/>
    </row>
    <row r="16" spans="2:6">
      <c r="B16" s="95" t="s">
        <v>181</v>
      </c>
      <c r="C16" s="97" t="s">
        <v>656</v>
      </c>
      <c r="D16" s="92" t="s">
        <v>657</v>
      </c>
      <c r="E16" s="92"/>
      <c r="F16" s="92"/>
    </row>
    <row r="17" spans="2:6">
      <c r="B17" s="95" t="s">
        <v>210</v>
      </c>
      <c r="C17" s="92" t="s">
        <v>655</v>
      </c>
      <c r="D17" s="139" t="s">
        <v>565</v>
      </c>
      <c r="E17" s="92"/>
      <c r="F17" s="92"/>
    </row>
    <row r="18" spans="2:6">
      <c r="B18" s="95" t="s">
        <v>211</v>
      </c>
      <c r="C18" s="92" t="s">
        <v>655</v>
      </c>
      <c r="D18" s="139" t="s">
        <v>564</v>
      </c>
      <c r="E18" s="92"/>
      <c r="F18" s="92"/>
    </row>
    <row r="19" spans="2:6">
      <c r="B19" s="138" t="s">
        <v>658</v>
      </c>
      <c r="C19" s="108" t="s">
        <v>659</v>
      </c>
      <c r="D19" s="139" t="s">
        <v>566</v>
      </c>
      <c r="E19" s="92"/>
      <c r="F19" s="92"/>
    </row>
    <row r="20" spans="2:6">
      <c r="B20" s="138" t="s">
        <v>12</v>
      </c>
      <c r="C20" s="139"/>
      <c r="D20" s="139" t="s">
        <v>562</v>
      </c>
      <c r="E20" s="139"/>
      <c r="F20" s="92"/>
    </row>
    <row r="21" spans="2:6">
      <c r="B21" s="138" t="s">
        <v>664</v>
      </c>
      <c r="C21" s="139"/>
      <c r="D21" s="139" t="s">
        <v>563</v>
      </c>
      <c r="E21" s="92"/>
      <c r="F21" s="92"/>
    </row>
    <row r="22" spans="2:6">
      <c r="B22" s="143" t="s">
        <v>586</v>
      </c>
      <c r="C22" s="140" t="s">
        <v>587</v>
      </c>
      <c r="D22" s="92"/>
      <c r="E22" s="92"/>
      <c r="F22" s="92"/>
    </row>
    <row r="23" spans="2:6">
      <c r="B23" s="143" t="s">
        <v>588</v>
      </c>
      <c r="C23" s="140" t="s">
        <v>589</v>
      </c>
      <c r="D23" s="139"/>
      <c r="E23" s="92"/>
      <c r="F23" s="92"/>
    </row>
    <row r="24" spans="2:6" ht="17">
      <c r="B24" s="144" t="s">
        <v>584</v>
      </c>
      <c r="C24" s="140" t="s">
        <v>585</v>
      </c>
      <c r="D24"/>
      <c r="E24" s="139"/>
      <c r="F24" s="139"/>
    </row>
    <row r="25" spans="2:6">
      <c r="B25" s="145" t="s">
        <v>590</v>
      </c>
      <c r="C25" s="140" t="s">
        <v>591</v>
      </c>
      <c r="D25" s="92"/>
      <c r="E25" s="139"/>
      <c r="F25" s="139"/>
    </row>
    <row r="26" spans="2:6">
      <c r="B26" s="141" t="s">
        <v>542</v>
      </c>
      <c r="C26" s="142" t="s">
        <v>556</v>
      </c>
      <c r="D26" s="139"/>
      <c r="E26" s="139"/>
      <c r="F26" s="139"/>
    </row>
    <row r="27" spans="2:6">
      <c r="B27" s="138" t="s">
        <v>543</v>
      </c>
      <c r="C27" s="142" t="s">
        <v>544</v>
      </c>
      <c r="D27" s="139"/>
      <c r="E27" s="139"/>
      <c r="F27" s="139"/>
    </row>
    <row r="28" spans="2:6">
      <c r="B28" s="138" t="s">
        <v>545</v>
      </c>
      <c r="C28" s="142" t="s">
        <v>546</v>
      </c>
      <c r="D28" s="139"/>
      <c r="E28" s="139"/>
      <c r="F28" s="139"/>
    </row>
    <row r="29" spans="2:6">
      <c r="B29" s="138" t="s">
        <v>547</v>
      </c>
      <c r="C29" s="139" t="s">
        <v>548</v>
      </c>
      <c r="D29" s="139"/>
      <c r="E29" s="139"/>
      <c r="F29" s="139"/>
    </row>
    <row r="30" spans="2:6">
      <c r="B30" s="138" t="s">
        <v>549</v>
      </c>
      <c r="C30" s="139" t="s">
        <v>557</v>
      </c>
      <c r="D30" s="139"/>
      <c r="E30" s="139"/>
      <c r="F30" s="139"/>
    </row>
    <row r="31" spans="2:6">
      <c r="B31" s="138" t="s">
        <v>550</v>
      </c>
      <c r="C31" s="139" t="s">
        <v>551</v>
      </c>
      <c r="D31" s="139"/>
      <c r="E31" s="139"/>
      <c r="F31" s="139"/>
    </row>
    <row r="32" spans="2:6">
      <c r="B32" s="138" t="s">
        <v>552</v>
      </c>
      <c r="C32" s="139" t="s">
        <v>553</v>
      </c>
      <c r="D32" s="139"/>
      <c r="E32" s="139"/>
      <c r="F32" s="139"/>
    </row>
    <row r="33" spans="2:6">
      <c r="B33" s="138" t="s">
        <v>554</v>
      </c>
      <c r="C33" s="139" t="s">
        <v>555</v>
      </c>
      <c r="D33" s="139"/>
      <c r="E33" s="139"/>
      <c r="F33" s="139"/>
    </row>
    <row r="34" spans="2:6">
      <c r="B34" s="138" t="s">
        <v>558</v>
      </c>
      <c r="C34" s="139" t="s">
        <v>559</v>
      </c>
      <c r="D34" s="139"/>
      <c r="E34" s="139"/>
      <c r="F34" s="139"/>
    </row>
    <row r="35" spans="2:6">
      <c r="B35" s="138"/>
      <c r="C35" s="139"/>
      <c r="D35" s="139"/>
      <c r="E35" s="139"/>
      <c r="F35" s="139"/>
    </row>
    <row r="36" spans="2:6">
      <c r="B36" s="138"/>
      <c r="C36" s="139"/>
      <c r="D36" s="139"/>
      <c r="E36" s="92" t="s">
        <v>389</v>
      </c>
      <c r="F36" s="92" t="s">
        <v>357</v>
      </c>
    </row>
    <row r="37" spans="2:6">
      <c r="B37" s="95" t="s">
        <v>356</v>
      </c>
      <c r="C37" s="92" t="s">
        <v>360</v>
      </c>
      <c r="D37" s="92"/>
      <c r="E37" s="92" t="s">
        <v>388</v>
      </c>
      <c r="F37" s="92" t="s">
        <v>357</v>
      </c>
    </row>
    <row r="38" spans="2:6">
      <c r="B38" s="95" t="s">
        <v>362</v>
      </c>
      <c r="C38" s="92" t="s">
        <v>361</v>
      </c>
      <c r="D38" s="92"/>
      <c r="E38" s="92" t="s">
        <v>388</v>
      </c>
      <c r="F38" s="92" t="s">
        <v>357</v>
      </c>
    </row>
    <row r="39" spans="2:6">
      <c r="B39" s="95" t="s">
        <v>390</v>
      </c>
      <c r="C39" s="92" t="s">
        <v>393</v>
      </c>
      <c r="D39" s="92"/>
      <c r="E39" s="92"/>
      <c r="F39" s="92"/>
    </row>
    <row r="40" spans="2:6">
      <c r="B40" s="95" t="s">
        <v>357</v>
      </c>
      <c r="C40" s="92" t="s">
        <v>358</v>
      </c>
      <c r="D40" s="92"/>
      <c r="E40" s="92" t="s">
        <v>364</v>
      </c>
      <c r="F40" s="92" t="s">
        <v>357</v>
      </c>
    </row>
    <row r="41" spans="2:6">
      <c r="B41" s="95" t="s">
        <v>391</v>
      </c>
      <c r="C41" s="92" t="s">
        <v>392</v>
      </c>
      <c r="D41" s="92"/>
      <c r="E41" s="92"/>
      <c r="F41" s="92"/>
    </row>
    <row r="42" spans="2:6">
      <c r="B42" s="95" t="s">
        <v>15</v>
      </c>
      <c r="C42" s="92" t="s">
        <v>359</v>
      </c>
      <c r="D42" s="92"/>
      <c r="E42" s="92"/>
      <c r="F42" s="92" t="s">
        <v>363</v>
      </c>
    </row>
    <row r="43" spans="2:6">
      <c r="B43" s="95" t="s">
        <v>155</v>
      </c>
      <c r="C43" s="92"/>
      <c r="D43" s="92"/>
      <c r="E43" s="92"/>
      <c r="F43" s="92" t="s">
        <v>363</v>
      </c>
    </row>
    <row r="44" spans="2:6">
      <c r="B44" s="95" t="s">
        <v>366</v>
      </c>
      <c r="C44" s="92" t="s">
        <v>365</v>
      </c>
      <c r="D44" s="92"/>
      <c r="E44" s="92" t="s">
        <v>367</v>
      </c>
      <c r="F44" s="92"/>
    </row>
    <row r="45" spans="2:6">
      <c r="B45" s="95" t="s">
        <v>368</v>
      </c>
      <c r="C45" s="92" t="s">
        <v>369</v>
      </c>
      <c r="D45" s="92"/>
      <c r="E45" s="92" t="s">
        <v>370</v>
      </c>
      <c r="F45" s="92"/>
    </row>
    <row r="46" spans="2:6">
      <c r="B46" s="95" t="s">
        <v>371</v>
      </c>
      <c r="C46" s="92" t="s">
        <v>372</v>
      </c>
      <c r="D46" s="92"/>
      <c r="E46" s="92" t="s">
        <v>373</v>
      </c>
      <c r="F46" s="92"/>
    </row>
    <row r="47" spans="2:6">
      <c r="B47" s="95" t="s">
        <v>12</v>
      </c>
      <c r="C47" s="92" t="s">
        <v>374</v>
      </c>
      <c r="D47" s="92"/>
      <c r="E47" s="92" t="s">
        <v>12</v>
      </c>
      <c r="F47" s="92"/>
    </row>
    <row r="48" spans="2:6">
      <c r="B48" s="95" t="s">
        <v>376</v>
      </c>
      <c r="C48" s="92" t="s">
        <v>50</v>
      </c>
      <c r="D48" s="92"/>
      <c r="E48" s="92"/>
      <c r="F48" s="92"/>
    </row>
    <row r="49" spans="2:6">
      <c r="B49" s="95" t="s">
        <v>378</v>
      </c>
      <c r="C49" s="92" t="s">
        <v>383</v>
      </c>
      <c r="D49" s="92" t="s">
        <v>384</v>
      </c>
      <c r="E49" s="92" t="s">
        <v>379</v>
      </c>
      <c r="F49" s="92"/>
    </row>
    <row r="50" spans="2:6">
      <c r="B50" s="95" t="s">
        <v>380</v>
      </c>
      <c r="C50" s="92" t="s">
        <v>381</v>
      </c>
      <c r="D50" s="92"/>
      <c r="E50" s="92" t="s">
        <v>382</v>
      </c>
      <c r="F50" s="92"/>
    </row>
    <row r="51" spans="2:6">
      <c r="B51" s="95" t="s">
        <v>11</v>
      </c>
      <c r="C51" s="92"/>
      <c r="D51" s="92"/>
      <c r="E51" s="92"/>
      <c r="F51" s="92"/>
    </row>
    <row r="52" spans="2:6">
      <c r="B52" s="90" t="s">
        <v>375</v>
      </c>
      <c r="C52" s="91" t="s">
        <v>377</v>
      </c>
      <c r="D52" s="91"/>
      <c r="E52" s="91"/>
      <c r="F52" s="91"/>
    </row>
    <row r="53" spans="2:6">
      <c r="B53" s="90" t="s">
        <v>385</v>
      </c>
      <c r="C53" s="91" t="s">
        <v>377</v>
      </c>
      <c r="D53" s="91"/>
      <c r="E53" s="91"/>
      <c r="F53" s="91"/>
    </row>
    <row r="54" spans="2:6">
      <c r="B54" s="90" t="s">
        <v>386</v>
      </c>
      <c r="C54" s="91" t="s">
        <v>387</v>
      </c>
      <c r="D54" s="91"/>
      <c r="E54" s="91"/>
      <c r="F54" s="91"/>
    </row>
    <row r="55" spans="2:6">
      <c r="B55" s="88"/>
      <c r="D55" s="91"/>
      <c r="E55" s="91"/>
      <c r="F55" s="91"/>
    </row>
    <row r="56" spans="2:6">
      <c r="B56" s="88"/>
      <c r="D56" s="91"/>
      <c r="E56" s="91"/>
      <c r="F56" s="91"/>
    </row>
    <row r="57" spans="2:6">
      <c r="B57" s="88"/>
      <c r="D57" s="91"/>
      <c r="E57" s="91"/>
      <c r="F57" s="9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8571-B7A8-5140-86B1-7D82FBA2DE10}">
  <dimension ref="A1:E29"/>
  <sheetViews>
    <sheetView workbookViewId="0">
      <selection activeCell="E3" sqref="E3:E5"/>
    </sheetView>
  </sheetViews>
  <sheetFormatPr baseColWidth="10" defaultRowHeight="16"/>
  <cols>
    <col min="1" max="1" width="10.83203125" style="42"/>
    <col min="2" max="2" width="12.83203125" style="42" bestFit="1" customWidth="1"/>
    <col min="3" max="4" width="10.83203125" style="42"/>
    <col min="5" max="5" width="47.83203125" style="42" bestFit="1" customWidth="1"/>
    <col min="6" max="16384" width="10.83203125" style="42"/>
  </cols>
  <sheetData>
    <row r="1" spans="1:5">
      <c r="B1" s="42" t="s">
        <v>332</v>
      </c>
    </row>
    <row r="3" spans="1:5">
      <c r="A3" s="42" t="s">
        <v>318</v>
      </c>
      <c r="B3" s="42" t="s">
        <v>319</v>
      </c>
      <c r="C3" s="42" t="s">
        <v>320</v>
      </c>
      <c r="E3" s="42" t="s">
        <v>355</v>
      </c>
    </row>
    <row r="4" spans="1:5">
      <c r="B4" s="42" t="s">
        <v>321</v>
      </c>
      <c r="C4" s="42" t="s">
        <v>322</v>
      </c>
    </row>
    <row r="5" spans="1:5">
      <c r="B5" s="42" t="s">
        <v>323</v>
      </c>
      <c r="C5" s="42" t="s">
        <v>324</v>
      </c>
    </row>
    <row r="7" spans="1:5">
      <c r="A7" s="42" t="s">
        <v>325</v>
      </c>
      <c r="B7" s="42" t="s">
        <v>326</v>
      </c>
      <c r="C7" s="42" t="s">
        <v>327</v>
      </c>
      <c r="D7" s="42" t="s">
        <v>328</v>
      </c>
      <c r="E7" s="42" t="s">
        <v>349</v>
      </c>
    </row>
    <row r="8" spans="1:5">
      <c r="B8" s="42" t="s">
        <v>329</v>
      </c>
      <c r="C8" s="43" t="s">
        <v>354</v>
      </c>
      <c r="E8" s="42" t="s">
        <v>350</v>
      </c>
    </row>
    <row r="9" spans="1:5">
      <c r="B9" s="42" t="s">
        <v>330</v>
      </c>
      <c r="C9" s="43" t="s">
        <v>333</v>
      </c>
    </row>
    <row r="10" spans="1:5">
      <c r="B10" s="42" t="s">
        <v>331</v>
      </c>
      <c r="C10" s="43" t="s">
        <v>334</v>
      </c>
    </row>
    <row r="12" spans="1:5">
      <c r="A12" s="42" t="s">
        <v>335</v>
      </c>
      <c r="B12" s="42" t="s">
        <v>336</v>
      </c>
    </row>
    <row r="13" spans="1:5">
      <c r="B13" s="42" t="s">
        <v>337</v>
      </c>
    </row>
    <row r="15" spans="1:5">
      <c r="B15" s="42" t="s">
        <v>343</v>
      </c>
    </row>
    <row r="16" spans="1:5">
      <c r="A16" s="42" t="s">
        <v>339</v>
      </c>
      <c r="B16" s="42" t="s">
        <v>338</v>
      </c>
    </row>
    <row r="17" spans="1:2">
      <c r="B17" s="42" t="s">
        <v>340</v>
      </c>
    </row>
    <row r="18" spans="1:2">
      <c r="B18" s="42" t="s">
        <v>341</v>
      </c>
    </row>
    <row r="19" spans="1:2">
      <c r="B19" s="42" t="s">
        <v>342</v>
      </c>
    </row>
    <row r="21" spans="1:2">
      <c r="B21" s="42" t="s">
        <v>343</v>
      </c>
    </row>
    <row r="22" spans="1:2">
      <c r="A22" s="42" t="s">
        <v>344</v>
      </c>
      <c r="B22" s="42" t="s">
        <v>345</v>
      </c>
    </row>
    <row r="23" spans="1:2">
      <c r="B23" s="42" t="s">
        <v>346</v>
      </c>
    </row>
    <row r="24" spans="1:2">
      <c r="B24" s="42" t="s">
        <v>347</v>
      </c>
    </row>
    <row r="25" spans="1:2">
      <c r="B25" s="42" t="s">
        <v>348</v>
      </c>
    </row>
    <row r="27" spans="1:2">
      <c r="B27" s="42" t="s">
        <v>351</v>
      </c>
    </row>
    <row r="28" spans="1:2">
      <c r="B28" s="42" t="s">
        <v>352</v>
      </c>
    </row>
    <row r="29" spans="1:2">
      <c r="B29" s="42" t="s">
        <v>353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31B8-97C0-B34D-8D5E-BD32FD4FF3BA}">
  <dimension ref="A1:E40"/>
  <sheetViews>
    <sheetView workbookViewId="0">
      <selection activeCell="B5" sqref="B5"/>
    </sheetView>
  </sheetViews>
  <sheetFormatPr baseColWidth="10" defaultColWidth="8.83203125" defaultRowHeight="13"/>
  <cols>
    <col min="1" max="1" width="12.5" style="147" customWidth="1"/>
    <col min="2" max="3" width="8.83203125" style="147"/>
    <col min="4" max="4" width="18.1640625" style="147" bestFit="1" customWidth="1"/>
    <col min="5" max="5" width="9.1640625" style="147" customWidth="1"/>
    <col min="6" max="256" width="8.83203125" style="147"/>
    <col min="257" max="257" width="12.5" style="147" customWidth="1"/>
    <col min="258" max="259" width="8.83203125" style="147"/>
    <col min="260" max="260" width="18.1640625" style="147" bestFit="1" customWidth="1"/>
    <col min="261" max="261" width="9.1640625" style="147" customWidth="1"/>
    <col min="262" max="512" width="8.83203125" style="147"/>
    <col min="513" max="513" width="12.5" style="147" customWidth="1"/>
    <col min="514" max="515" width="8.83203125" style="147"/>
    <col min="516" max="516" width="18.1640625" style="147" bestFit="1" customWidth="1"/>
    <col min="517" max="517" width="9.1640625" style="147" customWidth="1"/>
    <col min="518" max="768" width="8.83203125" style="147"/>
    <col min="769" max="769" width="12.5" style="147" customWidth="1"/>
    <col min="770" max="771" width="8.83203125" style="147"/>
    <col min="772" max="772" width="18.1640625" style="147" bestFit="1" customWidth="1"/>
    <col min="773" max="773" width="9.1640625" style="147" customWidth="1"/>
    <col min="774" max="1024" width="8.83203125" style="147"/>
    <col min="1025" max="1025" width="12.5" style="147" customWidth="1"/>
    <col min="1026" max="1027" width="8.83203125" style="147"/>
    <col min="1028" max="1028" width="18.1640625" style="147" bestFit="1" customWidth="1"/>
    <col min="1029" max="1029" width="9.1640625" style="147" customWidth="1"/>
    <col min="1030" max="1280" width="8.83203125" style="147"/>
    <col min="1281" max="1281" width="12.5" style="147" customWidth="1"/>
    <col min="1282" max="1283" width="8.83203125" style="147"/>
    <col min="1284" max="1284" width="18.1640625" style="147" bestFit="1" customWidth="1"/>
    <col min="1285" max="1285" width="9.1640625" style="147" customWidth="1"/>
    <col min="1286" max="1536" width="8.83203125" style="147"/>
    <col min="1537" max="1537" width="12.5" style="147" customWidth="1"/>
    <col min="1538" max="1539" width="8.83203125" style="147"/>
    <col min="1540" max="1540" width="18.1640625" style="147" bestFit="1" customWidth="1"/>
    <col min="1541" max="1541" width="9.1640625" style="147" customWidth="1"/>
    <col min="1542" max="1792" width="8.83203125" style="147"/>
    <col min="1793" max="1793" width="12.5" style="147" customWidth="1"/>
    <col min="1794" max="1795" width="8.83203125" style="147"/>
    <col min="1796" max="1796" width="18.1640625" style="147" bestFit="1" customWidth="1"/>
    <col min="1797" max="1797" width="9.1640625" style="147" customWidth="1"/>
    <col min="1798" max="2048" width="8.83203125" style="147"/>
    <col min="2049" max="2049" width="12.5" style="147" customWidth="1"/>
    <col min="2050" max="2051" width="8.83203125" style="147"/>
    <col min="2052" max="2052" width="18.1640625" style="147" bestFit="1" customWidth="1"/>
    <col min="2053" max="2053" width="9.1640625" style="147" customWidth="1"/>
    <col min="2054" max="2304" width="8.83203125" style="147"/>
    <col min="2305" max="2305" width="12.5" style="147" customWidth="1"/>
    <col min="2306" max="2307" width="8.83203125" style="147"/>
    <col min="2308" max="2308" width="18.1640625" style="147" bestFit="1" customWidth="1"/>
    <col min="2309" max="2309" width="9.1640625" style="147" customWidth="1"/>
    <col min="2310" max="2560" width="8.83203125" style="147"/>
    <col min="2561" max="2561" width="12.5" style="147" customWidth="1"/>
    <col min="2562" max="2563" width="8.83203125" style="147"/>
    <col min="2564" max="2564" width="18.1640625" style="147" bestFit="1" customWidth="1"/>
    <col min="2565" max="2565" width="9.1640625" style="147" customWidth="1"/>
    <col min="2566" max="2816" width="8.83203125" style="147"/>
    <col min="2817" max="2817" width="12.5" style="147" customWidth="1"/>
    <col min="2818" max="2819" width="8.83203125" style="147"/>
    <col min="2820" max="2820" width="18.1640625" style="147" bestFit="1" customWidth="1"/>
    <col min="2821" max="2821" width="9.1640625" style="147" customWidth="1"/>
    <col min="2822" max="3072" width="8.83203125" style="147"/>
    <col min="3073" max="3073" width="12.5" style="147" customWidth="1"/>
    <col min="3074" max="3075" width="8.83203125" style="147"/>
    <col min="3076" max="3076" width="18.1640625" style="147" bestFit="1" customWidth="1"/>
    <col min="3077" max="3077" width="9.1640625" style="147" customWidth="1"/>
    <col min="3078" max="3328" width="8.83203125" style="147"/>
    <col min="3329" max="3329" width="12.5" style="147" customWidth="1"/>
    <col min="3330" max="3331" width="8.83203125" style="147"/>
    <col min="3332" max="3332" width="18.1640625" style="147" bestFit="1" customWidth="1"/>
    <col min="3333" max="3333" width="9.1640625" style="147" customWidth="1"/>
    <col min="3334" max="3584" width="8.83203125" style="147"/>
    <col min="3585" max="3585" width="12.5" style="147" customWidth="1"/>
    <col min="3586" max="3587" width="8.83203125" style="147"/>
    <col min="3588" max="3588" width="18.1640625" style="147" bestFit="1" customWidth="1"/>
    <col min="3589" max="3589" width="9.1640625" style="147" customWidth="1"/>
    <col min="3590" max="3840" width="8.83203125" style="147"/>
    <col min="3841" max="3841" width="12.5" style="147" customWidth="1"/>
    <col min="3842" max="3843" width="8.83203125" style="147"/>
    <col min="3844" max="3844" width="18.1640625" style="147" bestFit="1" customWidth="1"/>
    <col min="3845" max="3845" width="9.1640625" style="147" customWidth="1"/>
    <col min="3846" max="4096" width="8.83203125" style="147"/>
    <col min="4097" max="4097" width="12.5" style="147" customWidth="1"/>
    <col min="4098" max="4099" width="8.83203125" style="147"/>
    <col min="4100" max="4100" width="18.1640625" style="147" bestFit="1" customWidth="1"/>
    <col min="4101" max="4101" width="9.1640625" style="147" customWidth="1"/>
    <col min="4102" max="4352" width="8.83203125" style="147"/>
    <col min="4353" max="4353" width="12.5" style="147" customWidth="1"/>
    <col min="4354" max="4355" width="8.83203125" style="147"/>
    <col min="4356" max="4356" width="18.1640625" style="147" bestFit="1" customWidth="1"/>
    <col min="4357" max="4357" width="9.1640625" style="147" customWidth="1"/>
    <col min="4358" max="4608" width="8.83203125" style="147"/>
    <col min="4609" max="4609" width="12.5" style="147" customWidth="1"/>
    <col min="4610" max="4611" width="8.83203125" style="147"/>
    <col min="4612" max="4612" width="18.1640625" style="147" bestFit="1" customWidth="1"/>
    <col min="4613" max="4613" width="9.1640625" style="147" customWidth="1"/>
    <col min="4614" max="4864" width="8.83203125" style="147"/>
    <col min="4865" max="4865" width="12.5" style="147" customWidth="1"/>
    <col min="4866" max="4867" width="8.83203125" style="147"/>
    <col min="4868" max="4868" width="18.1640625" style="147" bestFit="1" customWidth="1"/>
    <col min="4869" max="4869" width="9.1640625" style="147" customWidth="1"/>
    <col min="4870" max="5120" width="8.83203125" style="147"/>
    <col min="5121" max="5121" width="12.5" style="147" customWidth="1"/>
    <col min="5122" max="5123" width="8.83203125" style="147"/>
    <col min="5124" max="5124" width="18.1640625" style="147" bestFit="1" customWidth="1"/>
    <col min="5125" max="5125" width="9.1640625" style="147" customWidth="1"/>
    <col min="5126" max="5376" width="8.83203125" style="147"/>
    <col min="5377" max="5377" width="12.5" style="147" customWidth="1"/>
    <col min="5378" max="5379" width="8.83203125" style="147"/>
    <col min="5380" max="5380" width="18.1640625" style="147" bestFit="1" customWidth="1"/>
    <col min="5381" max="5381" width="9.1640625" style="147" customWidth="1"/>
    <col min="5382" max="5632" width="8.83203125" style="147"/>
    <col min="5633" max="5633" width="12.5" style="147" customWidth="1"/>
    <col min="5634" max="5635" width="8.83203125" style="147"/>
    <col min="5636" max="5636" width="18.1640625" style="147" bestFit="1" customWidth="1"/>
    <col min="5637" max="5637" width="9.1640625" style="147" customWidth="1"/>
    <col min="5638" max="5888" width="8.83203125" style="147"/>
    <col min="5889" max="5889" width="12.5" style="147" customWidth="1"/>
    <col min="5890" max="5891" width="8.83203125" style="147"/>
    <col min="5892" max="5892" width="18.1640625" style="147" bestFit="1" customWidth="1"/>
    <col min="5893" max="5893" width="9.1640625" style="147" customWidth="1"/>
    <col min="5894" max="6144" width="8.83203125" style="147"/>
    <col min="6145" max="6145" width="12.5" style="147" customWidth="1"/>
    <col min="6146" max="6147" width="8.83203125" style="147"/>
    <col min="6148" max="6148" width="18.1640625" style="147" bestFit="1" customWidth="1"/>
    <col min="6149" max="6149" width="9.1640625" style="147" customWidth="1"/>
    <col min="6150" max="6400" width="8.83203125" style="147"/>
    <col min="6401" max="6401" width="12.5" style="147" customWidth="1"/>
    <col min="6402" max="6403" width="8.83203125" style="147"/>
    <col min="6404" max="6404" width="18.1640625" style="147" bestFit="1" customWidth="1"/>
    <col min="6405" max="6405" width="9.1640625" style="147" customWidth="1"/>
    <col min="6406" max="6656" width="8.83203125" style="147"/>
    <col min="6657" max="6657" width="12.5" style="147" customWidth="1"/>
    <col min="6658" max="6659" width="8.83203125" style="147"/>
    <col min="6660" max="6660" width="18.1640625" style="147" bestFit="1" customWidth="1"/>
    <col min="6661" max="6661" width="9.1640625" style="147" customWidth="1"/>
    <col min="6662" max="6912" width="8.83203125" style="147"/>
    <col min="6913" max="6913" width="12.5" style="147" customWidth="1"/>
    <col min="6914" max="6915" width="8.83203125" style="147"/>
    <col min="6916" max="6916" width="18.1640625" style="147" bestFit="1" customWidth="1"/>
    <col min="6917" max="6917" width="9.1640625" style="147" customWidth="1"/>
    <col min="6918" max="7168" width="8.83203125" style="147"/>
    <col min="7169" max="7169" width="12.5" style="147" customWidth="1"/>
    <col min="7170" max="7171" width="8.83203125" style="147"/>
    <col min="7172" max="7172" width="18.1640625" style="147" bestFit="1" customWidth="1"/>
    <col min="7173" max="7173" width="9.1640625" style="147" customWidth="1"/>
    <col min="7174" max="7424" width="8.83203125" style="147"/>
    <col min="7425" max="7425" width="12.5" style="147" customWidth="1"/>
    <col min="7426" max="7427" width="8.83203125" style="147"/>
    <col min="7428" max="7428" width="18.1640625" style="147" bestFit="1" customWidth="1"/>
    <col min="7429" max="7429" width="9.1640625" style="147" customWidth="1"/>
    <col min="7430" max="7680" width="8.83203125" style="147"/>
    <col min="7681" max="7681" width="12.5" style="147" customWidth="1"/>
    <col min="7682" max="7683" width="8.83203125" style="147"/>
    <col min="7684" max="7684" width="18.1640625" style="147" bestFit="1" customWidth="1"/>
    <col min="7685" max="7685" width="9.1640625" style="147" customWidth="1"/>
    <col min="7686" max="7936" width="8.83203125" style="147"/>
    <col min="7937" max="7937" width="12.5" style="147" customWidth="1"/>
    <col min="7938" max="7939" width="8.83203125" style="147"/>
    <col min="7940" max="7940" width="18.1640625" style="147" bestFit="1" customWidth="1"/>
    <col min="7941" max="7941" width="9.1640625" style="147" customWidth="1"/>
    <col min="7942" max="8192" width="8.83203125" style="147"/>
    <col min="8193" max="8193" width="12.5" style="147" customWidth="1"/>
    <col min="8194" max="8195" width="8.83203125" style="147"/>
    <col min="8196" max="8196" width="18.1640625" style="147" bestFit="1" customWidth="1"/>
    <col min="8197" max="8197" width="9.1640625" style="147" customWidth="1"/>
    <col min="8198" max="8448" width="8.83203125" style="147"/>
    <col min="8449" max="8449" width="12.5" style="147" customWidth="1"/>
    <col min="8450" max="8451" width="8.83203125" style="147"/>
    <col min="8452" max="8452" width="18.1640625" style="147" bestFit="1" customWidth="1"/>
    <col min="8453" max="8453" width="9.1640625" style="147" customWidth="1"/>
    <col min="8454" max="8704" width="8.83203125" style="147"/>
    <col min="8705" max="8705" width="12.5" style="147" customWidth="1"/>
    <col min="8706" max="8707" width="8.83203125" style="147"/>
    <col min="8708" max="8708" width="18.1640625" style="147" bestFit="1" customWidth="1"/>
    <col min="8709" max="8709" width="9.1640625" style="147" customWidth="1"/>
    <col min="8710" max="8960" width="8.83203125" style="147"/>
    <col min="8961" max="8961" width="12.5" style="147" customWidth="1"/>
    <col min="8962" max="8963" width="8.83203125" style="147"/>
    <col min="8964" max="8964" width="18.1640625" style="147" bestFit="1" customWidth="1"/>
    <col min="8965" max="8965" width="9.1640625" style="147" customWidth="1"/>
    <col min="8966" max="9216" width="8.83203125" style="147"/>
    <col min="9217" max="9217" width="12.5" style="147" customWidth="1"/>
    <col min="9218" max="9219" width="8.83203125" style="147"/>
    <col min="9220" max="9220" width="18.1640625" style="147" bestFit="1" customWidth="1"/>
    <col min="9221" max="9221" width="9.1640625" style="147" customWidth="1"/>
    <col min="9222" max="9472" width="8.83203125" style="147"/>
    <col min="9473" max="9473" width="12.5" style="147" customWidth="1"/>
    <col min="9474" max="9475" width="8.83203125" style="147"/>
    <col min="9476" max="9476" width="18.1640625" style="147" bestFit="1" customWidth="1"/>
    <col min="9477" max="9477" width="9.1640625" style="147" customWidth="1"/>
    <col min="9478" max="9728" width="8.83203125" style="147"/>
    <col min="9729" max="9729" width="12.5" style="147" customWidth="1"/>
    <col min="9730" max="9731" width="8.83203125" style="147"/>
    <col min="9732" max="9732" width="18.1640625" style="147" bestFit="1" customWidth="1"/>
    <col min="9733" max="9733" width="9.1640625" style="147" customWidth="1"/>
    <col min="9734" max="9984" width="8.83203125" style="147"/>
    <col min="9985" max="9985" width="12.5" style="147" customWidth="1"/>
    <col min="9986" max="9987" width="8.83203125" style="147"/>
    <col min="9988" max="9988" width="18.1640625" style="147" bestFit="1" customWidth="1"/>
    <col min="9989" max="9989" width="9.1640625" style="147" customWidth="1"/>
    <col min="9990" max="10240" width="8.83203125" style="147"/>
    <col min="10241" max="10241" width="12.5" style="147" customWidth="1"/>
    <col min="10242" max="10243" width="8.83203125" style="147"/>
    <col min="10244" max="10244" width="18.1640625" style="147" bestFit="1" customWidth="1"/>
    <col min="10245" max="10245" width="9.1640625" style="147" customWidth="1"/>
    <col min="10246" max="10496" width="8.83203125" style="147"/>
    <col min="10497" max="10497" width="12.5" style="147" customWidth="1"/>
    <col min="10498" max="10499" width="8.83203125" style="147"/>
    <col min="10500" max="10500" width="18.1640625" style="147" bestFit="1" customWidth="1"/>
    <col min="10501" max="10501" width="9.1640625" style="147" customWidth="1"/>
    <col min="10502" max="10752" width="8.83203125" style="147"/>
    <col min="10753" max="10753" width="12.5" style="147" customWidth="1"/>
    <col min="10754" max="10755" width="8.83203125" style="147"/>
    <col min="10756" max="10756" width="18.1640625" style="147" bestFit="1" customWidth="1"/>
    <col min="10757" max="10757" width="9.1640625" style="147" customWidth="1"/>
    <col min="10758" max="11008" width="8.83203125" style="147"/>
    <col min="11009" max="11009" width="12.5" style="147" customWidth="1"/>
    <col min="11010" max="11011" width="8.83203125" style="147"/>
    <col min="11012" max="11012" width="18.1640625" style="147" bestFit="1" customWidth="1"/>
    <col min="11013" max="11013" width="9.1640625" style="147" customWidth="1"/>
    <col min="11014" max="11264" width="8.83203125" style="147"/>
    <col min="11265" max="11265" width="12.5" style="147" customWidth="1"/>
    <col min="11266" max="11267" width="8.83203125" style="147"/>
    <col min="11268" max="11268" width="18.1640625" style="147" bestFit="1" customWidth="1"/>
    <col min="11269" max="11269" width="9.1640625" style="147" customWidth="1"/>
    <col min="11270" max="11520" width="8.83203125" style="147"/>
    <col min="11521" max="11521" width="12.5" style="147" customWidth="1"/>
    <col min="11522" max="11523" width="8.83203125" style="147"/>
    <col min="11524" max="11524" width="18.1640625" style="147" bestFit="1" customWidth="1"/>
    <col min="11525" max="11525" width="9.1640625" style="147" customWidth="1"/>
    <col min="11526" max="11776" width="8.83203125" style="147"/>
    <col min="11777" max="11777" width="12.5" style="147" customWidth="1"/>
    <col min="11778" max="11779" width="8.83203125" style="147"/>
    <col min="11780" max="11780" width="18.1640625" style="147" bestFit="1" customWidth="1"/>
    <col min="11781" max="11781" width="9.1640625" style="147" customWidth="1"/>
    <col min="11782" max="12032" width="8.83203125" style="147"/>
    <col min="12033" max="12033" width="12.5" style="147" customWidth="1"/>
    <col min="12034" max="12035" width="8.83203125" style="147"/>
    <col min="12036" max="12036" width="18.1640625" style="147" bestFit="1" customWidth="1"/>
    <col min="12037" max="12037" width="9.1640625" style="147" customWidth="1"/>
    <col min="12038" max="12288" width="8.83203125" style="147"/>
    <col min="12289" max="12289" width="12.5" style="147" customWidth="1"/>
    <col min="12290" max="12291" width="8.83203125" style="147"/>
    <col min="12292" max="12292" width="18.1640625" style="147" bestFit="1" customWidth="1"/>
    <col min="12293" max="12293" width="9.1640625" style="147" customWidth="1"/>
    <col min="12294" max="12544" width="8.83203125" style="147"/>
    <col min="12545" max="12545" width="12.5" style="147" customWidth="1"/>
    <col min="12546" max="12547" width="8.83203125" style="147"/>
    <col min="12548" max="12548" width="18.1640625" style="147" bestFit="1" customWidth="1"/>
    <col min="12549" max="12549" width="9.1640625" style="147" customWidth="1"/>
    <col min="12550" max="12800" width="8.83203125" style="147"/>
    <col min="12801" max="12801" width="12.5" style="147" customWidth="1"/>
    <col min="12802" max="12803" width="8.83203125" style="147"/>
    <col min="12804" max="12804" width="18.1640625" style="147" bestFit="1" customWidth="1"/>
    <col min="12805" max="12805" width="9.1640625" style="147" customWidth="1"/>
    <col min="12806" max="13056" width="8.83203125" style="147"/>
    <col min="13057" max="13057" width="12.5" style="147" customWidth="1"/>
    <col min="13058" max="13059" width="8.83203125" style="147"/>
    <col min="13060" max="13060" width="18.1640625" style="147" bestFit="1" customWidth="1"/>
    <col min="13061" max="13061" width="9.1640625" style="147" customWidth="1"/>
    <col min="13062" max="13312" width="8.83203125" style="147"/>
    <col min="13313" max="13313" width="12.5" style="147" customWidth="1"/>
    <col min="13314" max="13315" width="8.83203125" style="147"/>
    <col min="13316" max="13316" width="18.1640625" style="147" bestFit="1" customWidth="1"/>
    <col min="13317" max="13317" width="9.1640625" style="147" customWidth="1"/>
    <col min="13318" max="13568" width="8.83203125" style="147"/>
    <col min="13569" max="13569" width="12.5" style="147" customWidth="1"/>
    <col min="13570" max="13571" width="8.83203125" style="147"/>
    <col min="13572" max="13572" width="18.1640625" style="147" bestFit="1" customWidth="1"/>
    <col min="13573" max="13573" width="9.1640625" style="147" customWidth="1"/>
    <col min="13574" max="13824" width="8.83203125" style="147"/>
    <col min="13825" max="13825" width="12.5" style="147" customWidth="1"/>
    <col min="13826" max="13827" width="8.83203125" style="147"/>
    <col min="13828" max="13828" width="18.1640625" style="147" bestFit="1" customWidth="1"/>
    <col min="13829" max="13829" width="9.1640625" style="147" customWidth="1"/>
    <col min="13830" max="14080" width="8.83203125" style="147"/>
    <col min="14081" max="14081" width="12.5" style="147" customWidth="1"/>
    <col min="14082" max="14083" width="8.83203125" style="147"/>
    <col min="14084" max="14084" width="18.1640625" style="147" bestFit="1" customWidth="1"/>
    <col min="14085" max="14085" width="9.1640625" style="147" customWidth="1"/>
    <col min="14086" max="14336" width="8.83203125" style="147"/>
    <col min="14337" max="14337" width="12.5" style="147" customWidth="1"/>
    <col min="14338" max="14339" width="8.83203125" style="147"/>
    <col min="14340" max="14340" width="18.1640625" style="147" bestFit="1" customWidth="1"/>
    <col min="14341" max="14341" width="9.1640625" style="147" customWidth="1"/>
    <col min="14342" max="14592" width="8.83203125" style="147"/>
    <col min="14593" max="14593" width="12.5" style="147" customWidth="1"/>
    <col min="14594" max="14595" width="8.83203125" style="147"/>
    <col min="14596" max="14596" width="18.1640625" style="147" bestFit="1" customWidth="1"/>
    <col min="14597" max="14597" width="9.1640625" style="147" customWidth="1"/>
    <col min="14598" max="14848" width="8.83203125" style="147"/>
    <col min="14849" max="14849" width="12.5" style="147" customWidth="1"/>
    <col min="14850" max="14851" width="8.83203125" style="147"/>
    <col min="14852" max="14852" width="18.1640625" style="147" bestFit="1" customWidth="1"/>
    <col min="14853" max="14853" width="9.1640625" style="147" customWidth="1"/>
    <col min="14854" max="15104" width="8.83203125" style="147"/>
    <col min="15105" max="15105" width="12.5" style="147" customWidth="1"/>
    <col min="15106" max="15107" width="8.83203125" style="147"/>
    <col min="15108" max="15108" width="18.1640625" style="147" bestFit="1" customWidth="1"/>
    <col min="15109" max="15109" width="9.1640625" style="147" customWidth="1"/>
    <col min="15110" max="15360" width="8.83203125" style="147"/>
    <col min="15361" max="15361" width="12.5" style="147" customWidth="1"/>
    <col min="15362" max="15363" width="8.83203125" style="147"/>
    <col min="15364" max="15364" width="18.1640625" style="147" bestFit="1" customWidth="1"/>
    <col min="15365" max="15365" width="9.1640625" style="147" customWidth="1"/>
    <col min="15366" max="15616" width="8.83203125" style="147"/>
    <col min="15617" max="15617" width="12.5" style="147" customWidth="1"/>
    <col min="15618" max="15619" width="8.83203125" style="147"/>
    <col min="15620" max="15620" width="18.1640625" style="147" bestFit="1" customWidth="1"/>
    <col min="15621" max="15621" width="9.1640625" style="147" customWidth="1"/>
    <col min="15622" max="15872" width="8.83203125" style="147"/>
    <col min="15873" max="15873" width="12.5" style="147" customWidth="1"/>
    <col min="15874" max="15875" width="8.83203125" style="147"/>
    <col min="15876" max="15876" width="18.1640625" style="147" bestFit="1" customWidth="1"/>
    <col min="15877" max="15877" width="9.1640625" style="147" customWidth="1"/>
    <col min="15878" max="16128" width="8.83203125" style="147"/>
    <col min="16129" max="16129" width="12.5" style="147" customWidth="1"/>
    <col min="16130" max="16131" width="8.83203125" style="147"/>
    <col min="16132" max="16132" width="18.1640625" style="147" bestFit="1" customWidth="1"/>
    <col min="16133" max="16133" width="9.1640625" style="147" customWidth="1"/>
    <col min="16134" max="16384" width="8.83203125" style="147"/>
  </cols>
  <sheetData>
    <row r="1" spans="1:5">
      <c r="A1" s="146" t="s">
        <v>716</v>
      </c>
      <c r="D1" s="147" t="s">
        <v>717</v>
      </c>
    </row>
    <row r="3" spans="1:5">
      <c r="B3" s="147" t="s">
        <v>718</v>
      </c>
      <c r="D3" s="147" t="s">
        <v>719</v>
      </c>
    </row>
    <row r="4" spans="1:5">
      <c r="A4" s="148" t="s">
        <v>720</v>
      </c>
      <c r="B4" s="149">
        <v>8</v>
      </c>
      <c r="D4" s="148" t="s">
        <v>721</v>
      </c>
      <c r="E4" s="149">
        <v>8</v>
      </c>
    </row>
    <row r="5" spans="1:5">
      <c r="A5" s="148" t="s">
        <v>722</v>
      </c>
      <c r="B5" s="149"/>
      <c r="D5" s="148" t="s">
        <v>723</v>
      </c>
      <c r="E5" s="149">
        <v>1</v>
      </c>
    </row>
    <row r="6" spans="1:5">
      <c r="A6" s="148" t="s">
        <v>724</v>
      </c>
      <c r="B6" s="149"/>
      <c r="D6" s="148" t="s">
        <v>725</v>
      </c>
      <c r="E6" s="149">
        <v>1</v>
      </c>
    </row>
    <row r="7" spans="1:5">
      <c r="A7" s="148" t="s">
        <v>726</v>
      </c>
      <c r="B7" s="149"/>
      <c r="D7" s="148" t="s">
        <v>727</v>
      </c>
      <c r="E7" s="149">
        <v>0</v>
      </c>
    </row>
    <row r="8" spans="1:5">
      <c r="A8" s="148" t="s">
        <v>728</v>
      </c>
      <c r="B8" s="149"/>
      <c r="D8" s="148"/>
      <c r="E8" s="148"/>
    </row>
    <row r="9" spans="1:5">
      <c r="A9" s="148" t="s">
        <v>729</v>
      </c>
      <c r="B9" s="149"/>
      <c r="D9" s="148" t="s">
        <v>730</v>
      </c>
      <c r="E9" s="148">
        <f>SUM(E4:E8)</f>
        <v>10</v>
      </c>
    </row>
    <row r="10" spans="1:5">
      <c r="A10" s="148" t="s">
        <v>731</v>
      </c>
      <c r="B10" s="149"/>
    </row>
    <row r="11" spans="1:5">
      <c r="A11" s="148" t="s">
        <v>732</v>
      </c>
      <c r="B11" s="149"/>
    </row>
    <row r="12" spans="1:5">
      <c r="A12" s="148" t="s">
        <v>733</v>
      </c>
      <c r="B12" s="149"/>
    </row>
    <row r="13" spans="1:5">
      <c r="A13" s="148" t="s">
        <v>734</v>
      </c>
      <c r="B13" s="149"/>
      <c r="D13" s="147" t="s">
        <v>735</v>
      </c>
    </row>
    <row r="14" spans="1:5">
      <c r="D14" s="149">
        <v>11520</v>
      </c>
    </row>
    <row r="15" spans="1:5">
      <c r="A15" s="147" t="s">
        <v>736</v>
      </c>
    </row>
    <row r="16" spans="1:5">
      <c r="B16" s="148">
        <f>SUM(B4:B15)</f>
        <v>8</v>
      </c>
      <c r="D16" s="147" t="s">
        <v>737</v>
      </c>
    </row>
    <row r="17" spans="1:4">
      <c r="A17" s="147" t="s">
        <v>738</v>
      </c>
      <c r="D17" s="148">
        <f>DesiredPacketRate*FrameSize/FrameDatabits*DataPacketSize</f>
        <v>115200</v>
      </c>
    </row>
    <row r="18" spans="1:4">
      <c r="B18" s="148">
        <f>DataPacketSize/FrameDatabits*FrameSize</f>
        <v>10</v>
      </c>
    </row>
    <row r="20" spans="1:4">
      <c r="A20" s="147" t="s">
        <v>739</v>
      </c>
      <c r="B20" s="150" t="s">
        <v>740</v>
      </c>
    </row>
    <row r="21" spans="1:4">
      <c r="A21" s="148">
        <v>921600</v>
      </c>
      <c r="B21" s="148">
        <f t="shared" ref="B21:B40" si="0">A21/FramedPacketSize</f>
        <v>92160</v>
      </c>
    </row>
    <row r="22" spans="1:4">
      <c r="A22" s="148">
        <v>460800</v>
      </c>
      <c r="B22" s="148">
        <f t="shared" si="0"/>
        <v>46080</v>
      </c>
    </row>
    <row r="23" spans="1:4">
      <c r="A23" s="148">
        <v>256000</v>
      </c>
      <c r="B23" s="148">
        <f t="shared" si="0"/>
        <v>25600</v>
      </c>
    </row>
    <row r="24" spans="1:4">
      <c r="A24" s="148">
        <v>230400</v>
      </c>
      <c r="B24" s="148">
        <f t="shared" si="0"/>
        <v>23040</v>
      </c>
    </row>
    <row r="25" spans="1:4">
      <c r="A25" s="148">
        <v>128000</v>
      </c>
      <c r="B25" s="148">
        <f t="shared" si="0"/>
        <v>12800</v>
      </c>
    </row>
    <row r="26" spans="1:4">
      <c r="A26" s="148">
        <v>115200</v>
      </c>
      <c r="B26" s="148">
        <f t="shared" si="0"/>
        <v>11520</v>
      </c>
    </row>
    <row r="27" spans="1:4">
      <c r="A27" s="148">
        <v>76800</v>
      </c>
      <c r="B27" s="148">
        <f t="shared" si="0"/>
        <v>7680</v>
      </c>
    </row>
    <row r="28" spans="1:4">
      <c r="A28" s="148">
        <v>57600</v>
      </c>
      <c r="B28" s="148">
        <f t="shared" si="0"/>
        <v>5760</v>
      </c>
    </row>
    <row r="29" spans="1:4">
      <c r="A29" s="148">
        <v>56000</v>
      </c>
      <c r="B29" s="148">
        <f t="shared" si="0"/>
        <v>5600</v>
      </c>
    </row>
    <row r="30" spans="1:4">
      <c r="A30" s="148">
        <v>38400</v>
      </c>
      <c r="B30" s="148">
        <f t="shared" si="0"/>
        <v>3840</v>
      </c>
    </row>
    <row r="31" spans="1:4">
      <c r="A31" s="148">
        <v>28800</v>
      </c>
      <c r="B31" s="148">
        <f t="shared" si="0"/>
        <v>2880</v>
      </c>
    </row>
    <row r="32" spans="1:4">
      <c r="A32" s="148">
        <v>19200</v>
      </c>
      <c r="B32" s="148">
        <f t="shared" si="0"/>
        <v>1920</v>
      </c>
    </row>
    <row r="33" spans="1:2">
      <c r="A33" s="148">
        <v>14400</v>
      </c>
      <c r="B33" s="148">
        <f t="shared" si="0"/>
        <v>1440</v>
      </c>
    </row>
    <row r="34" spans="1:2">
      <c r="A34" s="148">
        <v>9600</v>
      </c>
      <c r="B34" s="148">
        <f t="shared" si="0"/>
        <v>960</v>
      </c>
    </row>
    <row r="35" spans="1:2">
      <c r="A35" s="148">
        <v>4800</v>
      </c>
      <c r="B35" s="148">
        <f t="shared" si="0"/>
        <v>480</v>
      </c>
    </row>
    <row r="36" spans="1:2">
      <c r="A36" s="148">
        <v>2400</v>
      </c>
      <c r="B36" s="148">
        <f t="shared" si="0"/>
        <v>240</v>
      </c>
    </row>
    <row r="37" spans="1:2">
      <c r="A37" s="148">
        <v>1200</v>
      </c>
      <c r="B37" s="148">
        <f t="shared" si="0"/>
        <v>120</v>
      </c>
    </row>
    <row r="38" spans="1:2">
      <c r="A38" s="148">
        <v>600</v>
      </c>
      <c r="B38" s="148">
        <f t="shared" si="0"/>
        <v>60</v>
      </c>
    </row>
    <row r="39" spans="1:2">
      <c r="A39" s="148">
        <v>300</v>
      </c>
      <c r="B39" s="148">
        <f t="shared" si="0"/>
        <v>30</v>
      </c>
    </row>
    <row r="40" spans="1:2">
      <c r="A40" s="148">
        <v>110</v>
      </c>
      <c r="B40" s="148">
        <f t="shared" si="0"/>
        <v>11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E000-F39D-FC4B-BAC6-13159F1450B7}">
  <dimension ref="A1:M38"/>
  <sheetViews>
    <sheetView zoomScaleNormal="100" workbookViewId="0">
      <selection activeCell="A14" sqref="A14:XFD14"/>
    </sheetView>
  </sheetViews>
  <sheetFormatPr baseColWidth="10" defaultRowHeight="16"/>
  <cols>
    <col min="1" max="1" width="12.83203125" style="46" customWidth="1"/>
    <col min="2" max="2" width="11.83203125" style="47" bestFit="1" customWidth="1"/>
    <col min="3" max="3" width="12.33203125" style="47" customWidth="1"/>
    <col min="4" max="5" width="9.5" style="48" bestFit="1" customWidth="1"/>
    <col min="6" max="6" width="11.83203125" style="48" bestFit="1" customWidth="1"/>
    <col min="7" max="7" width="11.1640625" style="50" customWidth="1"/>
    <col min="8" max="8" width="23.5" style="44" bestFit="1" customWidth="1"/>
    <col min="9" max="9" width="23.5" style="50" bestFit="1" customWidth="1"/>
    <col min="10" max="10" width="5.6640625" style="50" bestFit="1" customWidth="1"/>
    <col min="11" max="11" width="8.1640625" style="45" bestFit="1" customWidth="1"/>
    <col min="12" max="12" width="7.33203125" customWidth="1"/>
    <col min="13" max="13" width="58.6640625" bestFit="1" customWidth="1"/>
  </cols>
  <sheetData>
    <row r="1" spans="1:13" ht="64">
      <c r="A1" s="56" t="s">
        <v>400</v>
      </c>
      <c r="B1" s="57" t="s">
        <v>401</v>
      </c>
      <c r="C1" s="56" t="s">
        <v>400</v>
      </c>
      <c r="D1" s="56" t="s">
        <v>400</v>
      </c>
      <c r="E1" s="56" t="s">
        <v>400</v>
      </c>
      <c r="F1" s="56" t="s">
        <v>400</v>
      </c>
      <c r="G1" s="58" t="s">
        <v>452</v>
      </c>
      <c r="H1" s="57" t="s">
        <v>450</v>
      </c>
      <c r="I1" s="58" t="s">
        <v>451</v>
      </c>
      <c r="J1" s="59" t="s">
        <v>404</v>
      </c>
      <c r="K1" s="58" t="s">
        <v>406</v>
      </c>
      <c r="L1" s="58" t="s">
        <v>407</v>
      </c>
      <c r="M1" s="60"/>
    </row>
    <row r="2" spans="1:13">
      <c r="A2" s="61">
        <v>50</v>
      </c>
      <c r="B2" s="62">
        <v>20000</v>
      </c>
      <c r="C2" s="62"/>
      <c r="D2" s="63"/>
      <c r="E2" s="63"/>
      <c r="F2" s="63"/>
      <c r="G2" s="65">
        <f>$H2*0.9</f>
        <v>288000</v>
      </c>
      <c r="H2" s="64">
        <f>$B2*1000/62.5</f>
        <v>320000</v>
      </c>
      <c r="I2" s="65">
        <f>$H2*1.1</f>
        <v>352000</v>
      </c>
      <c r="J2" s="66"/>
      <c r="K2" s="65"/>
      <c r="L2" s="60"/>
      <c r="M2" s="60"/>
    </row>
    <row r="3" spans="1:13">
      <c r="A3" s="61">
        <v>75</v>
      </c>
      <c r="B3" s="62">
        <v>13333.3</v>
      </c>
      <c r="C3" s="62">
        <v>75</v>
      </c>
      <c r="D3" s="63"/>
      <c r="E3" s="63"/>
      <c r="F3" s="63"/>
      <c r="G3" s="65">
        <f t="shared" ref="G3:G30" si="0">$H3*0.9</f>
        <v>191999.52</v>
      </c>
      <c r="H3" s="64">
        <f t="shared" ref="H3:H30" si="1">$B3*1000/62.5</f>
        <v>213332.8</v>
      </c>
      <c r="I3" s="65">
        <f t="shared" ref="I3:I30" si="2">$H3*1.1</f>
        <v>234666.08000000002</v>
      </c>
      <c r="J3" s="66"/>
      <c r="K3" s="65"/>
      <c r="L3" s="60"/>
      <c r="M3" s="60"/>
    </row>
    <row r="4" spans="1:13">
      <c r="A4" s="61">
        <v>110</v>
      </c>
      <c r="B4" s="62">
        <v>9090.9</v>
      </c>
      <c r="C4" s="62">
        <v>110</v>
      </c>
      <c r="D4" s="63">
        <v>110</v>
      </c>
      <c r="E4" s="63">
        <v>110</v>
      </c>
      <c r="F4" s="63"/>
      <c r="G4" s="65">
        <f t="shared" si="0"/>
        <v>130908.95999999999</v>
      </c>
      <c r="H4" s="64">
        <f t="shared" si="1"/>
        <v>145454.39999999999</v>
      </c>
      <c r="I4" s="65">
        <f t="shared" si="2"/>
        <v>159999.84</v>
      </c>
      <c r="J4" s="66"/>
      <c r="K4" s="65"/>
      <c r="L4" s="60"/>
      <c r="M4" s="60"/>
    </row>
    <row r="5" spans="1:13">
      <c r="A5" s="61">
        <v>134.5</v>
      </c>
      <c r="B5" s="62">
        <v>7434.9</v>
      </c>
      <c r="C5" s="62"/>
      <c r="D5" s="63"/>
      <c r="E5" s="63"/>
      <c r="F5" s="63"/>
      <c r="G5" s="65">
        <f t="shared" si="0"/>
        <v>107062.56</v>
      </c>
      <c r="H5" s="64">
        <f t="shared" si="1"/>
        <v>118958.39999999999</v>
      </c>
      <c r="I5" s="65">
        <f t="shared" si="2"/>
        <v>130854.24</v>
      </c>
      <c r="J5" s="66"/>
      <c r="K5" s="65"/>
      <c r="L5" s="60"/>
      <c r="M5" s="60"/>
    </row>
    <row r="6" spans="1:13">
      <c r="A6" s="61">
        <v>150</v>
      </c>
      <c r="B6" s="62">
        <v>6666.6</v>
      </c>
      <c r="C6" s="62"/>
      <c r="D6" s="63">
        <v>150</v>
      </c>
      <c r="E6" s="63"/>
      <c r="F6" s="63"/>
      <c r="G6" s="65">
        <f t="shared" si="0"/>
        <v>95999.040000000008</v>
      </c>
      <c r="H6" s="64">
        <f t="shared" si="1"/>
        <v>106665.60000000001</v>
      </c>
      <c r="I6" s="65">
        <f t="shared" si="2"/>
        <v>117332.16000000002</v>
      </c>
      <c r="J6" s="66"/>
      <c r="K6" s="65"/>
      <c r="L6" s="60"/>
      <c r="M6" s="60"/>
    </row>
    <row r="7" spans="1:13">
      <c r="A7" s="61">
        <v>300</v>
      </c>
      <c r="B7" s="62">
        <v>3333.3</v>
      </c>
      <c r="C7" s="62">
        <v>300</v>
      </c>
      <c r="D7" s="63">
        <v>300</v>
      </c>
      <c r="E7" s="63">
        <v>300</v>
      </c>
      <c r="F7" s="63"/>
      <c r="G7" s="65">
        <f t="shared" si="0"/>
        <v>47999.520000000004</v>
      </c>
      <c r="H7" s="67">
        <f t="shared" si="1"/>
        <v>53332.800000000003</v>
      </c>
      <c r="I7" s="65">
        <f t="shared" si="2"/>
        <v>58666.080000000009</v>
      </c>
      <c r="J7" s="66"/>
      <c r="K7" s="65"/>
      <c r="L7" s="60"/>
      <c r="M7" s="60"/>
    </row>
    <row r="8" spans="1:13">
      <c r="A8" s="61">
        <v>600</v>
      </c>
      <c r="B8" s="62">
        <v>1666.7</v>
      </c>
      <c r="C8" s="62"/>
      <c r="D8" s="63"/>
      <c r="E8" s="63">
        <v>600</v>
      </c>
      <c r="F8" s="63"/>
      <c r="G8" s="65">
        <f t="shared" si="0"/>
        <v>24000.48</v>
      </c>
      <c r="H8" s="67">
        <f t="shared" si="1"/>
        <v>26667.200000000001</v>
      </c>
      <c r="I8" s="65">
        <f t="shared" si="2"/>
        <v>29333.920000000002</v>
      </c>
      <c r="J8" s="66"/>
      <c r="K8" s="65"/>
      <c r="L8" s="60"/>
      <c r="M8" s="60"/>
    </row>
    <row r="9" spans="1:13">
      <c r="A9" s="61">
        <v>1200</v>
      </c>
      <c r="B9" s="62">
        <v>833.3</v>
      </c>
      <c r="C9" s="62">
        <v>1200</v>
      </c>
      <c r="D9" s="63">
        <v>1200</v>
      </c>
      <c r="E9" s="63">
        <v>1200</v>
      </c>
      <c r="F9" s="63"/>
      <c r="G9" s="65">
        <f t="shared" si="0"/>
        <v>11999.52</v>
      </c>
      <c r="H9" s="67">
        <f t="shared" si="1"/>
        <v>13332.8</v>
      </c>
      <c r="I9" s="65">
        <f t="shared" si="2"/>
        <v>14666.08</v>
      </c>
      <c r="J9" s="66"/>
      <c r="K9" s="65"/>
      <c r="L9" s="60"/>
      <c r="M9" s="60"/>
    </row>
    <row r="10" spans="1:13">
      <c r="A10" s="61">
        <v>1800</v>
      </c>
      <c r="B10" s="62">
        <v>555.6</v>
      </c>
      <c r="C10" s="62"/>
      <c r="D10" s="63"/>
      <c r="E10" s="63"/>
      <c r="F10" s="63"/>
      <c r="G10" s="65">
        <f t="shared" si="0"/>
        <v>8000.64</v>
      </c>
      <c r="H10" s="67">
        <f t="shared" si="1"/>
        <v>8889.6</v>
      </c>
      <c r="I10" s="65">
        <f t="shared" si="2"/>
        <v>9778.5600000000013</v>
      </c>
      <c r="J10" s="66"/>
      <c r="K10" s="65"/>
      <c r="L10" s="60"/>
      <c r="M10" s="60"/>
    </row>
    <row r="11" spans="1:13">
      <c r="A11" s="68">
        <v>2400</v>
      </c>
      <c r="B11" s="62">
        <v>416.7</v>
      </c>
      <c r="C11" s="62">
        <v>2400</v>
      </c>
      <c r="D11" s="63">
        <v>2400</v>
      </c>
      <c r="E11" s="63">
        <v>2400</v>
      </c>
      <c r="F11" s="63">
        <v>2400</v>
      </c>
      <c r="G11" s="65">
        <f t="shared" si="0"/>
        <v>6000.48</v>
      </c>
      <c r="H11" s="67">
        <f t="shared" si="1"/>
        <v>6667.2</v>
      </c>
      <c r="I11" s="65">
        <f t="shared" si="2"/>
        <v>7333.92</v>
      </c>
      <c r="J11" s="66"/>
      <c r="K11" s="65"/>
      <c r="L11" s="60"/>
      <c r="M11" s="60"/>
    </row>
    <row r="12" spans="1:13">
      <c r="A12" s="68">
        <v>4800</v>
      </c>
      <c r="B12" s="62">
        <v>208.3</v>
      </c>
      <c r="C12" s="62">
        <v>4800</v>
      </c>
      <c r="D12" s="63">
        <v>4800</v>
      </c>
      <c r="E12" s="63">
        <v>4800</v>
      </c>
      <c r="F12" s="63">
        <v>4800</v>
      </c>
      <c r="G12" s="65">
        <f t="shared" si="0"/>
        <v>2999.5200000000004</v>
      </c>
      <c r="H12" s="67">
        <f t="shared" si="1"/>
        <v>3332.8</v>
      </c>
      <c r="I12" s="65">
        <f t="shared" si="2"/>
        <v>3666.0800000000004</v>
      </c>
      <c r="J12" s="66">
        <v>12</v>
      </c>
      <c r="K12" s="65" t="s">
        <v>409</v>
      </c>
      <c r="L12" s="60">
        <v>7.83</v>
      </c>
      <c r="M12" s="60"/>
    </row>
    <row r="13" spans="1:13">
      <c r="A13" s="68">
        <v>7200</v>
      </c>
      <c r="B13" s="62">
        <v>138.9</v>
      </c>
      <c r="C13" s="62"/>
      <c r="D13" s="63"/>
      <c r="E13" s="63"/>
      <c r="F13" s="63"/>
      <c r="G13" s="65">
        <f t="shared" si="0"/>
        <v>2000.16</v>
      </c>
      <c r="H13" s="67">
        <f t="shared" si="1"/>
        <v>2222.4</v>
      </c>
      <c r="I13" s="65">
        <f t="shared" si="2"/>
        <v>2444.6400000000003</v>
      </c>
      <c r="J13" s="66">
        <v>8</v>
      </c>
      <c r="K13" s="65" t="s">
        <v>408</v>
      </c>
      <c r="L13" s="60">
        <v>7.83</v>
      </c>
      <c r="M13" s="60" t="s">
        <v>447</v>
      </c>
    </row>
    <row r="14" spans="1:13">
      <c r="A14" s="69">
        <v>9600</v>
      </c>
      <c r="B14" s="70">
        <v>104.2</v>
      </c>
      <c r="C14" s="71">
        <v>9600</v>
      </c>
      <c r="D14" s="71">
        <v>9600</v>
      </c>
      <c r="E14" s="71">
        <v>9600</v>
      </c>
      <c r="F14" s="71">
        <v>9600</v>
      </c>
      <c r="G14" s="73">
        <f t="shared" si="0"/>
        <v>1500.48</v>
      </c>
      <c r="H14" s="72">
        <f t="shared" si="1"/>
        <v>1667.2</v>
      </c>
      <c r="I14" s="73">
        <f t="shared" si="2"/>
        <v>1833.9200000000003</v>
      </c>
      <c r="J14" s="73">
        <v>8</v>
      </c>
      <c r="K14" s="73" t="s">
        <v>405</v>
      </c>
      <c r="L14" s="74">
        <v>15.36</v>
      </c>
      <c r="M14" s="60" t="s">
        <v>448</v>
      </c>
    </row>
    <row r="15" spans="1:13">
      <c r="A15" s="61">
        <v>14400</v>
      </c>
      <c r="B15" s="62">
        <v>69.400000000000006</v>
      </c>
      <c r="C15" s="62"/>
      <c r="D15" s="63"/>
      <c r="E15" s="63">
        <v>14400</v>
      </c>
      <c r="F15" s="63">
        <v>14400</v>
      </c>
      <c r="G15" s="65">
        <f t="shared" si="0"/>
        <v>999.36000000000013</v>
      </c>
      <c r="H15" s="67">
        <f t="shared" si="1"/>
        <v>1110.4000000000001</v>
      </c>
      <c r="I15" s="65">
        <f t="shared" si="2"/>
        <v>1221.4400000000003</v>
      </c>
      <c r="J15" s="66"/>
      <c r="K15" s="65"/>
      <c r="L15" s="60"/>
      <c r="M15" s="60" t="s">
        <v>449</v>
      </c>
    </row>
    <row r="16" spans="1:13">
      <c r="A16" s="61">
        <v>19200</v>
      </c>
      <c r="B16" s="62">
        <v>52.1</v>
      </c>
      <c r="C16" s="63">
        <v>19200</v>
      </c>
      <c r="D16" s="63">
        <v>19200</v>
      </c>
      <c r="E16" s="63">
        <v>19200</v>
      </c>
      <c r="F16" s="63">
        <v>19200</v>
      </c>
      <c r="G16" s="65">
        <f t="shared" si="0"/>
        <v>750.24</v>
      </c>
      <c r="H16" s="67">
        <f t="shared" si="1"/>
        <v>833.6</v>
      </c>
      <c r="I16" s="65">
        <f t="shared" si="2"/>
        <v>916.96000000000015</v>
      </c>
      <c r="J16" s="66"/>
      <c r="K16" s="65"/>
      <c r="L16" s="60"/>
      <c r="M16" s="60"/>
    </row>
    <row r="17" spans="1:13">
      <c r="A17" s="61"/>
      <c r="B17" s="62">
        <v>34.72</v>
      </c>
      <c r="C17" s="63"/>
      <c r="D17" s="63"/>
      <c r="E17" s="63"/>
      <c r="F17" s="63">
        <v>28800</v>
      </c>
      <c r="G17" s="65">
        <f t="shared" si="0"/>
        <v>499.96800000000002</v>
      </c>
      <c r="H17" s="67">
        <f t="shared" si="1"/>
        <v>555.52</v>
      </c>
      <c r="I17" s="65">
        <f t="shared" si="2"/>
        <v>611.072</v>
      </c>
      <c r="J17" s="66"/>
      <c r="K17" s="65"/>
      <c r="L17" s="60"/>
      <c r="M17" s="60"/>
    </row>
    <row r="18" spans="1:13">
      <c r="A18" s="61">
        <v>38400</v>
      </c>
      <c r="B18" s="62">
        <v>26</v>
      </c>
      <c r="C18" s="63">
        <v>38400</v>
      </c>
      <c r="D18" s="63">
        <v>38400</v>
      </c>
      <c r="E18" s="63">
        <v>38400</v>
      </c>
      <c r="F18" s="63">
        <v>38400</v>
      </c>
      <c r="G18" s="65">
        <f t="shared" si="0"/>
        <v>374.40000000000003</v>
      </c>
      <c r="H18" s="67">
        <f t="shared" si="1"/>
        <v>416</v>
      </c>
      <c r="I18" s="65">
        <f t="shared" si="2"/>
        <v>457.6</v>
      </c>
      <c r="J18" s="66"/>
      <c r="K18" s="65"/>
      <c r="L18" s="60"/>
      <c r="M18" s="60"/>
    </row>
    <row r="19" spans="1:13">
      <c r="A19" s="61">
        <v>56000</v>
      </c>
      <c r="B19" s="62">
        <v>17.899999999999999</v>
      </c>
      <c r="C19" s="63">
        <v>57600</v>
      </c>
      <c r="D19" s="63">
        <v>57600</v>
      </c>
      <c r="E19" s="63">
        <v>57600</v>
      </c>
      <c r="F19" s="63">
        <v>57600</v>
      </c>
      <c r="G19" s="65">
        <f t="shared" si="0"/>
        <v>257.76</v>
      </c>
      <c r="H19" s="67">
        <f t="shared" si="1"/>
        <v>286.39999999999998</v>
      </c>
      <c r="I19" s="65">
        <f t="shared" si="2"/>
        <v>315.04000000000002</v>
      </c>
      <c r="J19" s="66"/>
      <c r="K19" s="65"/>
      <c r="L19" s="60"/>
      <c r="M19" s="60"/>
    </row>
    <row r="20" spans="1:13">
      <c r="A20" s="61">
        <v>57600</v>
      </c>
      <c r="B20" s="62">
        <v>17.399999999999999</v>
      </c>
      <c r="C20" s="62"/>
      <c r="D20" s="63"/>
      <c r="E20" s="63"/>
      <c r="F20" s="63"/>
      <c r="G20" s="65">
        <f t="shared" si="0"/>
        <v>250.55999999999997</v>
      </c>
      <c r="H20" s="67">
        <f t="shared" si="1"/>
        <v>278.39999999999998</v>
      </c>
      <c r="I20" s="65">
        <f t="shared" si="2"/>
        <v>306.24</v>
      </c>
      <c r="J20" s="66"/>
      <c r="K20" s="65"/>
      <c r="L20" s="60"/>
      <c r="M20" s="60"/>
    </row>
    <row r="21" spans="1:13">
      <c r="A21" s="61">
        <v>76800</v>
      </c>
      <c r="B21" s="62">
        <v>13</v>
      </c>
      <c r="C21" s="62"/>
      <c r="D21" s="63"/>
      <c r="E21" s="63"/>
      <c r="F21" s="63">
        <v>76800</v>
      </c>
      <c r="G21" s="65">
        <f t="shared" si="0"/>
        <v>187.20000000000002</v>
      </c>
      <c r="H21" s="75">
        <f t="shared" si="1"/>
        <v>208</v>
      </c>
      <c r="I21" s="65">
        <f t="shared" si="2"/>
        <v>228.8</v>
      </c>
      <c r="J21" s="66"/>
      <c r="K21" s="65"/>
      <c r="L21" s="60"/>
      <c r="M21" s="60"/>
    </row>
    <row r="22" spans="1:13">
      <c r="A22" s="69">
        <v>115200</v>
      </c>
      <c r="B22" s="70">
        <v>8.68</v>
      </c>
      <c r="C22" s="71">
        <v>115200</v>
      </c>
      <c r="D22" s="71">
        <v>115200</v>
      </c>
      <c r="E22" s="71">
        <v>115200</v>
      </c>
      <c r="F22" s="71">
        <v>115200</v>
      </c>
      <c r="G22" s="73">
        <f t="shared" si="0"/>
        <v>124.992</v>
      </c>
      <c r="H22" s="72">
        <f t="shared" si="1"/>
        <v>138.88</v>
      </c>
      <c r="I22" s="73">
        <f t="shared" si="2"/>
        <v>152.768</v>
      </c>
      <c r="J22" s="73"/>
      <c r="K22" s="73"/>
      <c r="L22" s="74"/>
      <c r="M22" s="60"/>
    </row>
    <row r="23" spans="1:13">
      <c r="A23" s="61">
        <v>128000</v>
      </c>
      <c r="B23" s="62">
        <v>7.81</v>
      </c>
      <c r="C23" s="62"/>
      <c r="D23" s="63"/>
      <c r="E23" s="76">
        <v>128000</v>
      </c>
      <c r="F23" s="76"/>
      <c r="G23" s="65">
        <f t="shared" si="0"/>
        <v>112.464</v>
      </c>
      <c r="H23" s="75">
        <f t="shared" si="1"/>
        <v>124.96</v>
      </c>
      <c r="I23" s="65">
        <f t="shared" si="2"/>
        <v>137.45600000000002</v>
      </c>
      <c r="J23" s="66"/>
      <c r="K23" s="65"/>
      <c r="L23" s="60"/>
      <c r="M23" s="60"/>
    </row>
    <row r="24" spans="1:13">
      <c r="A24" s="61">
        <v>230400</v>
      </c>
      <c r="B24" s="62">
        <v>4.34</v>
      </c>
      <c r="C24" s="62"/>
      <c r="D24" s="63">
        <v>230400</v>
      </c>
      <c r="E24" s="63"/>
      <c r="F24" s="63">
        <v>230400</v>
      </c>
      <c r="G24" s="65">
        <f t="shared" si="0"/>
        <v>62.496000000000002</v>
      </c>
      <c r="H24" s="75">
        <f t="shared" si="1"/>
        <v>69.44</v>
      </c>
      <c r="I24" s="65">
        <f t="shared" si="2"/>
        <v>76.384</v>
      </c>
      <c r="J24" s="66"/>
      <c r="K24" s="65"/>
      <c r="L24" s="60"/>
      <c r="M24" s="60"/>
    </row>
    <row r="25" spans="1:13">
      <c r="A25" s="61"/>
      <c r="B25" s="62">
        <v>4</v>
      </c>
      <c r="C25" s="62"/>
      <c r="D25" s="63"/>
      <c r="E25" s="63"/>
      <c r="F25" s="63">
        <v>250000</v>
      </c>
      <c r="G25" s="65">
        <f t="shared" si="0"/>
        <v>57.6</v>
      </c>
      <c r="H25" s="75">
        <f t="shared" si="1"/>
        <v>64</v>
      </c>
      <c r="I25" s="65">
        <f t="shared" si="2"/>
        <v>70.400000000000006</v>
      </c>
      <c r="J25" s="66"/>
      <c r="K25" s="65"/>
      <c r="L25" s="60"/>
      <c r="M25" s="60"/>
    </row>
    <row r="26" spans="1:13">
      <c r="A26" s="61">
        <v>256000</v>
      </c>
      <c r="B26" s="62">
        <v>3.91</v>
      </c>
      <c r="C26" s="62"/>
      <c r="D26" s="63"/>
      <c r="E26" s="76">
        <v>256000</v>
      </c>
      <c r="F26" s="76">
        <v>256000</v>
      </c>
      <c r="G26" s="65">
        <f t="shared" si="0"/>
        <v>56.304000000000002</v>
      </c>
      <c r="H26" s="75">
        <f t="shared" si="1"/>
        <v>62.56</v>
      </c>
      <c r="I26" s="65">
        <f t="shared" si="2"/>
        <v>68.816000000000003</v>
      </c>
      <c r="J26" s="66"/>
      <c r="K26" s="65"/>
      <c r="L26" s="60"/>
      <c r="M26" s="60"/>
    </row>
    <row r="27" spans="1:13">
      <c r="A27" s="61">
        <v>460800</v>
      </c>
      <c r="B27" s="62">
        <v>2.17</v>
      </c>
      <c r="C27" s="62"/>
      <c r="D27" s="63">
        <v>460800</v>
      </c>
      <c r="E27" s="63"/>
      <c r="F27" s="63"/>
      <c r="G27" s="65">
        <f t="shared" si="0"/>
        <v>31.248000000000001</v>
      </c>
      <c r="H27" s="75">
        <f t="shared" si="1"/>
        <v>34.72</v>
      </c>
      <c r="I27" s="65">
        <f t="shared" si="2"/>
        <v>38.192</v>
      </c>
      <c r="J27" s="66"/>
      <c r="K27" s="65"/>
      <c r="L27" s="60"/>
      <c r="M27" s="60"/>
    </row>
    <row r="28" spans="1:13">
      <c r="A28" s="61"/>
      <c r="B28" s="62">
        <v>2</v>
      </c>
      <c r="C28" s="62"/>
      <c r="D28" s="63"/>
      <c r="E28" s="63"/>
      <c r="F28" s="63">
        <v>500000</v>
      </c>
      <c r="G28" s="65">
        <f t="shared" si="0"/>
        <v>28.8</v>
      </c>
      <c r="H28" s="75">
        <f t="shared" si="1"/>
        <v>32</v>
      </c>
      <c r="I28" s="65">
        <f t="shared" si="2"/>
        <v>35.200000000000003</v>
      </c>
      <c r="J28" s="66"/>
      <c r="K28" s="65"/>
      <c r="L28" s="60"/>
      <c r="M28" s="60"/>
    </row>
    <row r="29" spans="1:13">
      <c r="A29" s="77"/>
      <c r="B29" s="62">
        <v>1.085</v>
      </c>
      <c r="C29" s="62"/>
      <c r="D29" s="63">
        <v>921600</v>
      </c>
      <c r="E29" s="63"/>
      <c r="F29" s="63"/>
      <c r="G29" s="65">
        <f t="shared" si="0"/>
        <v>15.624000000000001</v>
      </c>
      <c r="H29" s="75">
        <f t="shared" si="1"/>
        <v>17.36</v>
      </c>
      <c r="I29" s="65">
        <f t="shared" si="2"/>
        <v>19.096</v>
      </c>
      <c r="J29" s="66">
        <v>4</v>
      </c>
      <c r="K29" s="65"/>
      <c r="L29" s="60"/>
      <c r="M29" s="60"/>
    </row>
    <row r="30" spans="1:13">
      <c r="A30" s="77"/>
      <c r="B30" s="62">
        <v>1</v>
      </c>
      <c r="C30" s="62"/>
      <c r="D30" s="63"/>
      <c r="E30" s="63"/>
      <c r="F30" s="63">
        <v>1000000</v>
      </c>
      <c r="G30" s="65">
        <f t="shared" si="0"/>
        <v>14.4</v>
      </c>
      <c r="H30" s="75">
        <f t="shared" si="1"/>
        <v>16</v>
      </c>
      <c r="I30" s="65">
        <f t="shared" si="2"/>
        <v>17.600000000000001</v>
      </c>
      <c r="J30" s="66"/>
      <c r="K30" s="65"/>
      <c r="L30" s="60"/>
      <c r="M30" s="60"/>
    </row>
    <row r="31" spans="1:13" s="41" customFormat="1">
      <c r="A31" s="78" t="s">
        <v>397</v>
      </c>
      <c r="B31" s="79" t="s">
        <v>397</v>
      </c>
      <c r="C31" s="79" t="s">
        <v>397</v>
      </c>
      <c r="D31" s="80" t="s">
        <v>398</v>
      </c>
      <c r="E31" s="80" t="s">
        <v>399</v>
      </c>
      <c r="F31" s="80" t="s">
        <v>402</v>
      </c>
      <c r="G31" s="65"/>
      <c r="H31" s="79"/>
      <c r="I31" s="65"/>
      <c r="J31" s="65"/>
      <c r="K31" s="80"/>
      <c r="L31" s="81"/>
      <c r="M31" s="81"/>
    </row>
    <row r="32" spans="1:13">
      <c r="G32" s="50">
        <f>$H32*0.9</f>
        <v>53083.35</v>
      </c>
      <c r="H32" s="45">
        <f>I32*0.9</f>
        <v>58981.5</v>
      </c>
      <c r="I32" s="50">
        <v>65535</v>
      </c>
      <c r="M32" t="s">
        <v>453</v>
      </c>
    </row>
    <row r="33" spans="1:13">
      <c r="G33" s="45">
        <f>G32/4</f>
        <v>13270.8375</v>
      </c>
      <c r="H33" s="45">
        <f>H32/4</f>
        <v>14745.375</v>
      </c>
      <c r="I33" s="45">
        <f>I32/4</f>
        <v>16383.75</v>
      </c>
      <c r="M33" t="s">
        <v>454</v>
      </c>
    </row>
    <row r="34" spans="1:13">
      <c r="A34" s="46" t="s">
        <v>168</v>
      </c>
      <c r="G34" s="50" t="s">
        <v>455</v>
      </c>
      <c r="H34" s="82" t="s">
        <v>456</v>
      </c>
      <c r="I34" s="50" t="s">
        <v>457</v>
      </c>
      <c r="M34" t="s">
        <v>461</v>
      </c>
    </row>
    <row r="35" spans="1:13">
      <c r="A35" s="46" t="s">
        <v>394</v>
      </c>
      <c r="M35" s="83" t="s">
        <v>459</v>
      </c>
    </row>
    <row r="36" spans="1:13">
      <c r="A36" s="46" t="s">
        <v>395</v>
      </c>
      <c r="M36" s="84" t="s">
        <v>458</v>
      </c>
    </row>
    <row r="37" spans="1:13">
      <c r="A37" s="46" t="s">
        <v>396</v>
      </c>
      <c r="M37" s="83" t="s">
        <v>460</v>
      </c>
    </row>
    <row r="38" spans="1:13">
      <c r="A38" s="46" t="s">
        <v>403</v>
      </c>
      <c r="M38" t="s">
        <v>462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5F9E-1E85-8F45-B616-811489487780}">
  <dimension ref="G3:G7"/>
  <sheetViews>
    <sheetView workbookViewId="0">
      <selection activeCell="G32" sqref="G32"/>
    </sheetView>
  </sheetViews>
  <sheetFormatPr baseColWidth="10" defaultRowHeight="16"/>
  <cols>
    <col min="7" max="7" width="38" bestFit="1" customWidth="1"/>
  </cols>
  <sheetData>
    <row r="3" spans="7:7">
      <c r="G3" t="s">
        <v>410</v>
      </c>
    </row>
    <row r="5" spans="7:7">
      <c r="G5" t="s">
        <v>411</v>
      </c>
    </row>
    <row r="6" spans="7:7">
      <c r="G6" t="s">
        <v>412</v>
      </c>
    </row>
    <row r="7" spans="7:7">
      <c r="G7" t="s">
        <v>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1654-BCF6-4C47-A026-84EBB5533990}">
  <dimension ref="A4:S262"/>
  <sheetViews>
    <sheetView workbookViewId="0">
      <selection activeCell="S7" sqref="S7"/>
    </sheetView>
  </sheetViews>
  <sheetFormatPr baseColWidth="10" defaultRowHeight="16"/>
  <cols>
    <col min="1" max="1" width="25" bestFit="1" customWidth="1"/>
    <col min="2" max="2" width="27" customWidth="1"/>
    <col min="3" max="3" width="28.6640625" customWidth="1"/>
    <col min="6" max="6" width="4.1640625" customWidth="1"/>
    <col min="8" max="8" width="6.33203125" style="41" customWidth="1"/>
    <col min="9" max="9" width="5.83203125" style="41" customWidth="1"/>
  </cols>
  <sheetData>
    <row r="4" spans="2:19">
      <c r="H4" s="41" t="s">
        <v>418</v>
      </c>
    </row>
    <row r="5" spans="2:19">
      <c r="H5" s="41" t="s">
        <v>420</v>
      </c>
      <c r="L5">
        <v>0</v>
      </c>
      <c r="N5">
        <v>0</v>
      </c>
      <c r="O5">
        <v>0</v>
      </c>
      <c r="P5" s="49" t="str">
        <f>DEC2HEX(O5)</f>
        <v>0</v>
      </c>
      <c r="R5">
        <v>160853</v>
      </c>
    </row>
    <row r="6" spans="2:19">
      <c r="H6" s="41" t="s">
        <v>416</v>
      </c>
      <c r="I6" s="41" t="s">
        <v>417</v>
      </c>
      <c r="L6">
        <v>1</v>
      </c>
      <c r="N6">
        <f>MOD(N5+6550,65536)</f>
        <v>6550</v>
      </c>
      <c r="O6">
        <v>6550</v>
      </c>
      <c r="P6" s="49" t="str">
        <f t="shared" ref="P6:P26" si="0">DEC2HEX(O6)</f>
        <v>1996</v>
      </c>
      <c r="R6">
        <v>171501</v>
      </c>
      <c r="S6">
        <f>R6-R5</f>
        <v>10648</v>
      </c>
    </row>
    <row r="7" spans="2:19">
      <c r="E7" s="41" t="s">
        <v>414</v>
      </c>
      <c r="H7" s="41">
        <v>0</v>
      </c>
      <c r="I7" s="41">
        <v>0</v>
      </c>
      <c r="J7" t="s">
        <v>422</v>
      </c>
      <c r="L7">
        <v>2</v>
      </c>
      <c r="N7">
        <f t="shared" ref="N7:N26" si="1">MOD(N6+6550,65536)</f>
        <v>13100</v>
      </c>
      <c r="O7">
        <v>13100</v>
      </c>
      <c r="P7" s="49" t="str">
        <f t="shared" si="0"/>
        <v>332C</v>
      </c>
    </row>
    <row r="8" spans="2:19">
      <c r="B8">
        <v>0</v>
      </c>
      <c r="C8">
        <v>0</v>
      </c>
      <c r="H8" s="41">
        <v>1</v>
      </c>
      <c r="I8" s="41">
        <f>256-H8</f>
        <v>255</v>
      </c>
      <c r="J8">
        <v>-1</v>
      </c>
      <c r="L8">
        <v>3</v>
      </c>
      <c r="M8">
        <v>0</v>
      </c>
      <c r="N8">
        <f t="shared" si="1"/>
        <v>19650</v>
      </c>
      <c r="P8" s="49"/>
    </row>
    <row r="9" spans="2:19">
      <c r="B9">
        <v>111</v>
      </c>
      <c r="C9">
        <v>111</v>
      </c>
      <c r="D9">
        <f>C8-C9</f>
        <v>-111</v>
      </c>
      <c r="E9">
        <v>145</v>
      </c>
      <c r="F9" s="41" t="s">
        <v>63</v>
      </c>
      <c r="H9" s="41">
        <v>2</v>
      </c>
      <c r="I9" s="41">
        <f>256-H9</f>
        <v>254</v>
      </c>
      <c r="J9">
        <v>-2</v>
      </c>
      <c r="L9">
        <v>4</v>
      </c>
      <c r="N9">
        <f t="shared" si="1"/>
        <v>26200</v>
      </c>
      <c r="O9">
        <v>26200</v>
      </c>
      <c r="P9" s="49" t="str">
        <f t="shared" si="0"/>
        <v>6658</v>
      </c>
    </row>
    <row r="10" spans="2:19">
      <c r="B10">
        <v>222</v>
      </c>
      <c r="C10">
        <v>222</v>
      </c>
      <c r="D10">
        <f t="shared" ref="D10:D17" si="2">C9-C10</f>
        <v>-111</v>
      </c>
      <c r="E10">
        <v>145</v>
      </c>
      <c r="F10" s="41" t="s">
        <v>63</v>
      </c>
      <c r="H10" s="41">
        <v>3</v>
      </c>
      <c r="I10" s="41">
        <f t="shared" ref="I10:I73" si="3">256-H10</f>
        <v>253</v>
      </c>
      <c r="J10">
        <v>-3</v>
      </c>
      <c r="L10">
        <v>5</v>
      </c>
      <c r="N10">
        <f t="shared" si="1"/>
        <v>32750</v>
      </c>
      <c r="O10">
        <v>32750</v>
      </c>
      <c r="P10" s="49" t="str">
        <f t="shared" si="0"/>
        <v>7FEE</v>
      </c>
    </row>
    <row r="11" spans="2:19">
      <c r="B11">
        <v>333</v>
      </c>
      <c r="C11">
        <v>77</v>
      </c>
      <c r="D11">
        <f>C10-C11</f>
        <v>145</v>
      </c>
      <c r="E11">
        <v>145</v>
      </c>
      <c r="F11" s="41" t="s">
        <v>415</v>
      </c>
      <c r="H11" s="41">
        <v>4</v>
      </c>
      <c r="I11" s="41">
        <f t="shared" si="3"/>
        <v>252</v>
      </c>
      <c r="J11">
        <v>-4</v>
      </c>
      <c r="L11">
        <v>6</v>
      </c>
      <c r="N11">
        <f t="shared" si="1"/>
        <v>39300</v>
      </c>
      <c r="O11">
        <v>39300</v>
      </c>
      <c r="P11" s="49" t="str">
        <f t="shared" si="0"/>
        <v>9984</v>
      </c>
    </row>
    <row r="12" spans="2:19">
      <c r="B12">
        <v>444</v>
      </c>
      <c r="C12">
        <v>188</v>
      </c>
      <c r="D12">
        <f t="shared" si="2"/>
        <v>-111</v>
      </c>
      <c r="E12">
        <v>145</v>
      </c>
      <c r="F12" s="41" t="s">
        <v>63</v>
      </c>
      <c r="H12" s="41">
        <v>5</v>
      </c>
      <c r="I12" s="41">
        <f t="shared" si="3"/>
        <v>251</v>
      </c>
      <c r="J12">
        <v>-5</v>
      </c>
      <c r="L12">
        <v>7</v>
      </c>
      <c r="N12">
        <f t="shared" si="1"/>
        <v>45850</v>
      </c>
      <c r="O12">
        <v>45850</v>
      </c>
      <c r="P12" s="49" t="str">
        <f t="shared" si="0"/>
        <v>B31A</v>
      </c>
    </row>
    <row r="13" spans="2:19">
      <c r="B13">
        <v>555</v>
      </c>
      <c r="C13">
        <v>43</v>
      </c>
      <c r="D13">
        <f t="shared" si="2"/>
        <v>145</v>
      </c>
      <c r="E13">
        <v>145</v>
      </c>
      <c r="F13" s="41" t="s">
        <v>415</v>
      </c>
      <c r="H13" s="41">
        <v>6</v>
      </c>
      <c r="I13" s="41">
        <f t="shared" si="3"/>
        <v>250</v>
      </c>
      <c r="J13">
        <v>-6</v>
      </c>
      <c r="L13">
        <v>8</v>
      </c>
      <c r="N13">
        <f t="shared" si="1"/>
        <v>52400</v>
      </c>
      <c r="O13">
        <v>52400</v>
      </c>
      <c r="P13" s="49" t="str">
        <f t="shared" si="0"/>
        <v>CCB0</v>
      </c>
    </row>
    <row r="14" spans="2:19">
      <c r="B14">
        <v>666</v>
      </c>
      <c r="C14">
        <v>154</v>
      </c>
      <c r="D14">
        <f t="shared" si="2"/>
        <v>-111</v>
      </c>
      <c r="E14">
        <v>145</v>
      </c>
      <c r="F14" s="41" t="s">
        <v>63</v>
      </c>
      <c r="H14" s="41">
        <v>7</v>
      </c>
      <c r="I14" s="41">
        <f t="shared" si="3"/>
        <v>249</v>
      </c>
      <c r="L14">
        <v>9</v>
      </c>
      <c r="M14">
        <v>0</v>
      </c>
      <c r="N14">
        <f t="shared" si="1"/>
        <v>58950</v>
      </c>
      <c r="P14" s="49"/>
    </row>
    <row r="15" spans="2:19">
      <c r="B15">
        <v>777</v>
      </c>
      <c r="C15">
        <v>9</v>
      </c>
      <c r="D15">
        <f t="shared" si="2"/>
        <v>145</v>
      </c>
      <c r="E15">
        <v>145</v>
      </c>
      <c r="F15" s="41" t="s">
        <v>415</v>
      </c>
      <c r="H15" s="41">
        <v>8</v>
      </c>
      <c r="I15" s="41">
        <f t="shared" si="3"/>
        <v>248</v>
      </c>
      <c r="L15">
        <v>10</v>
      </c>
      <c r="N15">
        <f t="shared" si="1"/>
        <v>65500</v>
      </c>
      <c r="O15">
        <v>65500</v>
      </c>
      <c r="P15" s="49" t="str">
        <f t="shared" si="0"/>
        <v>FFDC</v>
      </c>
    </row>
    <row r="16" spans="2:19">
      <c r="B16">
        <v>888</v>
      </c>
      <c r="C16">
        <v>120</v>
      </c>
      <c r="D16">
        <f t="shared" si="2"/>
        <v>-111</v>
      </c>
      <c r="E16">
        <v>145</v>
      </c>
      <c r="F16" s="41" t="s">
        <v>63</v>
      </c>
      <c r="H16" s="41">
        <v>9</v>
      </c>
      <c r="I16" s="41">
        <f t="shared" si="3"/>
        <v>247</v>
      </c>
      <c r="L16">
        <v>11</v>
      </c>
      <c r="M16">
        <v>0</v>
      </c>
      <c r="N16">
        <f t="shared" si="1"/>
        <v>6514</v>
      </c>
      <c r="P16" s="49"/>
    </row>
    <row r="17" spans="1:16">
      <c r="B17">
        <v>999</v>
      </c>
      <c r="C17">
        <v>231</v>
      </c>
      <c r="D17">
        <f t="shared" si="2"/>
        <v>-111</v>
      </c>
      <c r="E17">
        <v>145</v>
      </c>
      <c r="F17" s="41" t="s">
        <v>63</v>
      </c>
      <c r="H17" s="41">
        <v>10</v>
      </c>
      <c r="I17" s="41">
        <f t="shared" si="3"/>
        <v>246</v>
      </c>
      <c r="L17">
        <v>12</v>
      </c>
      <c r="N17">
        <f t="shared" si="1"/>
        <v>13064</v>
      </c>
      <c r="O17">
        <v>13064</v>
      </c>
      <c r="P17" s="49" t="str">
        <f t="shared" si="0"/>
        <v>3308</v>
      </c>
    </row>
    <row r="18" spans="1:16">
      <c r="H18" s="41">
        <v>11</v>
      </c>
      <c r="I18" s="41">
        <f t="shared" si="3"/>
        <v>245</v>
      </c>
      <c r="L18">
        <v>13</v>
      </c>
      <c r="M18">
        <v>0</v>
      </c>
      <c r="N18">
        <f t="shared" si="1"/>
        <v>19614</v>
      </c>
      <c r="P18" s="49"/>
    </row>
    <row r="19" spans="1:16">
      <c r="B19" s="52" t="s">
        <v>423</v>
      </c>
      <c r="C19" s="51" t="s">
        <v>423</v>
      </c>
      <c r="H19" s="41">
        <v>12</v>
      </c>
      <c r="I19" s="41">
        <f t="shared" si="3"/>
        <v>244</v>
      </c>
      <c r="L19">
        <v>14</v>
      </c>
      <c r="N19">
        <f t="shared" si="1"/>
        <v>26164</v>
      </c>
      <c r="O19">
        <v>26164</v>
      </c>
      <c r="P19" s="49" t="str">
        <f t="shared" si="0"/>
        <v>6634</v>
      </c>
    </row>
    <row r="20" spans="1:16">
      <c r="B20" s="52" t="s">
        <v>421</v>
      </c>
      <c r="C20" s="51" t="s">
        <v>428</v>
      </c>
      <c r="H20" s="41">
        <v>13</v>
      </c>
      <c r="I20" s="41">
        <f t="shared" si="3"/>
        <v>243</v>
      </c>
      <c r="L20">
        <v>15</v>
      </c>
      <c r="N20">
        <f t="shared" si="1"/>
        <v>32714</v>
      </c>
      <c r="O20">
        <v>32714</v>
      </c>
      <c r="P20" s="49" t="str">
        <f t="shared" si="0"/>
        <v>7FCA</v>
      </c>
    </row>
    <row r="21" spans="1:16">
      <c r="A21" s="41"/>
      <c r="B21" s="41" t="s">
        <v>425</v>
      </c>
      <c r="C21" s="41" t="s">
        <v>429</v>
      </c>
      <c r="D21" t="s">
        <v>430</v>
      </c>
      <c r="H21" s="41">
        <v>14</v>
      </c>
      <c r="I21" s="41">
        <f t="shared" si="3"/>
        <v>242</v>
      </c>
      <c r="L21">
        <v>16</v>
      </c>
      <c r="N21">
        <f t="shared" si="1"/>
        <v>39264</v>
      </c>
      <c r="O21">
        <v>39264</v>
      </c>
      <c r="P21" s="49" t="str">
        <f t="shared" si="0"/>
        <v>9960</v>
      </c>
    </row>
    <row r="22" spans="1:16">
      <c r="A22" s="41"/>
      <c r="B22" s="41" t="s">
        <v>426</v>
      </c>
      <c r="C22" s="41" t="s">
        <v>431</v>
      </c>
      <c r="H22" s="41">
        <v>15</v>
      </c>
      <c r="I22" s="41">
        <f t="shared" si="3"/>
        <v>241</v>
      </c>
      <c r="L22">
        <v>17</v>
      </c>
      <c r="N22">
        <f t="shared" si="1"/>
        <v>45814</v>
      </c>
      <c r="O22">
        <v>45814</v>
      </c>
      <c r="P22" s="49" t="str">
        <f t="shared" si="0"/>
        <v>B2F6</v>
      </c>
    </row>
    <row r="23" spans="1:16">
      <c r="A23" s="41" t="s">
        <v>424</v>
      </c>
      <c r="B23" s="41" t="s">
        <v>427</v>
      </c>
      <c r="C23" s="41" t="s">
        <v>432</v>
      </c>
      <c r="H23" s="41">
        <v>16</v>
      </c>
      <c r="I23" s="41">
        <f t="shared" si="3"/>
        <v>240</v>
      </c>
      <c r="L23">
        <v>18</v>
      </c>
      <c r="N23">
        <f t="shared" si="1"/>
        <v>52364</v>
      </c>
      <c r="O23">
        <v>52364</v>
      </c>
      <c r="P23" s="49" t="str">
        <f t="shared" si="0"/>
        <v>CC8C</v>
      </c>
    </row>
    <row r="24" spans="1:16">
      <c r="A24" s="41"/>
      <c r="B24" s="41"/>
      <c r="C24" s="41"/>
      <c r="H24" s="41">
        <v>17</v>
      </c>
      <c r="I24" s="41">
        <f t="shared" si="3"/>
        <v>239</v>
      </c>
      <c r="L24">
        <v>19</v>
      </c>
      <c r="M24">
        <v>0</v>
      </c>
      <c r="N24">
        <f t="shared" si="1"/>
        <v>58914</v>
      </c>
      <c r="P24" s="49"/>
    </row>
    <row r="25" spans="1:16">
      <c r="A25" s="41" t="s">
        <v>419</v>
      </c>
      <c r="B25" s="41"/>
      <c r="C25" s="41" t="s">
        <v>433</v>
      </c>
      <c r="H25" s="41">
        <v>18</v>
      </c>
      <c r="I25" s="41">
        <f t="shared" si="3"/>
        <v>238</v>
      </c>
      <c r="L25">
        <v>20</v>
      </c>
      <c r="N25">
        <f t="shared" si="1"/>
        <v>65464</v>
      </c>
      <c r="O25">
        <v>65464</v>
      </c>
      <c r="P25" s="49" t="str">
        <f t="shared" si="0"/>
        <v>FFB8</v>
      </c>
    </row>
    <row r="26" spans="1:16">
      <c r="A26" s="41"/>
      <c r="B26" s="41" t="s">
        <v>444</v>
      </c>
      <c r="C26" s="41" t="s">
        <v>420</v>
      </c>
      <c r="H26" s="41">
        <v>19</v>
      </c>
      <c r="I26" s="41">
        <f t="shared" si="3"/>
        <v>237</v>
      </c>
      <c r="L26">
        <v>21</v>
      </c>
      <c r="N26">
        <f t="shared" si="1"/>
        <v>6478</v>
      </c>
      <c r="O26">
        <v>6478</v>
      </c>
      <c r="P26" s="49" t="str">
        <f t="shared" si="0"/>
        <v>194E</v>
      </c>
    </row>
    <row r="27" spans="1:16">
      <c r="A27" s="41"/>
      <c r="B27" s="41"/>
      <c r="C27" s="41"/>
      <c r="H27" s="41">
        <v>20</v>
      </c>
      <c r="I27" s="41">
        <f t="shared" si="3"/>
        <v>236</v>
      </c>
      <c r="O27" t="s">
        <v>445</v>
      </c>
    </row>
    <row r="28" spans="1:16">
      <c r="H28" s="41">
        <v>21</v>
      </c>
      <c r="I28" s="41">
        <f t="shared" si="3"/>
        <v>235</v>
      </c>
    </row>
    <row r="29" spans="1:16">
      <c r="A29" s="41"/>
      <c r="B29" s="41" t="s">
        <v>438</v>
      </c>
      <c r="C29" s="41" t="s">
        <v>429</v>
      </c>
      <c r="D29" s="41"/>
      <c r="H29" s="41">
        <v>22</v>
      </c>
      <c r="I29" s="41">
        <f t="shared" si="3"/>
        <v>234</v>
      </c>
    </row>
    <row r="30" spans="1:16">
      <c r="A30" s="41"/>
      <c r="B30" s="53" t="s">
        <v>434</v>
      </c>
      <c r="C30" s="53" t="s">
        <v>435</v>
      </c>
      <c r="D30" s="41"/>
      <c r="H30" s="41">
        <v>23</v>
      </c>
      <c r="I30" s="41">
        <f t="shared" si="3"/>
        <v>233</v>
      </c>
    </row>
    <row r="31" spans="1:16">
      <c r="A31" s="41"/>
      <c r="B31" s="41" t="s">
        <v>436</v>
      </c>
      <c r="C31" s="41" t="s">
        <v>437</v>
      </c>
      <c r="D31" s="41"/>
      <c r="H31" s="41">
        <v>24</v>
      </c>
      <c r="I31" s="41">
        <f t="shared" si="3"/>
        <v>232</v>
      </c>
    </row>
    <row r="32" spans="1:16">
      <c r="A32" s="41" t="s">
        <v>439</v>
      </c>
      <c r="B32" s="41"/>
      <c r="C32" s="41"/>
      <c r="D32" s="41"/>
      <c r="H32" s="41">
        <v>25</v>
      </c>
      <c r="I32" s="41">
        <f t="shared" si="3"/>
        <v>231</v>
      </c>
    </row>
    <row r="33" spans="1:9">
      <c r="A33" s="41" t="s">
        <v>440</v>
      </c>
      <c r="B33" s="41"/>
      <c r="C33" s="41"/>
      <c r="D33" s="41"/>
      <c r="H33" s="41">
        <v>26</v>
      </c>
      <c r="I33" s="41">
        <f t="shared" si="3"/>
        <v>230</v>
      </c>
    </row>
    <row r="34" spans="1:9">
      <c r="A34" s="41"/>
      <c r="B34" s="41" t="s">
        <v>441</v>
      </c>
      <c r="C34" s="41" t="s">
        <v>442</v>
      </c>
      <c r="D34" s="41"/>
      <c r="H34" s="41">
        <v>27</v>
      </c>
      <c r="I34" s="41">
        <f t="shared" si="3"/>
        <v>229</v>
      </c>
    </row>
    <row r="35" spans="1:9">
      <c r="A35" s="41"/>
      <c r="B35" s="53" t="s">
        <v>439</v>
      </c>
      <c r="C35" s="53" t="s">
        <v>443</v>
      </c>
      <c r="D35" s="41"/>
      <c r="H35" s="41">
        <v>28</v>
      </c>
      <c r="I35" s="41">
        <f t="shared" si="3"/>
        <v>228</v>
      </c>
    </row>
    <row r="36" spans="1:9">
      <c r="A36" s="41"/>
      <c r="B36" s="41"/>
      <c r="C36" s="41"/>
      <c r="D36" s="41"/>
      <c r="H36" s="41">
        <v>29</v>
      </c>
      <c r="I36" s="41">
        <f t="shared" si="3"/>
        <v>227</v>
      </c>
    </row>
    <row r="37" spans="1:9">
      <c r="A37" s="41"/>
      <c r="B37" s="41"/>
      <c r="C37" s="41"/>
      <c r="D37" s="41"/>
      <c r="H37" s="41">
        <v>30</v>
      </c>
      <c r="I37" s="41">
        <f t="shared" si="3"/>
        <v>226</v>
      </c>
    </row>
    <row r="38" spans="1:9">
      <c r="A38" s="41"/>
      <c r="B38" s="41"/>
      <c r="C38" s="41"/>
      <c r="D38" s="41"/>
      <c r="H38" s="41">
        <v>31</v>
      </c>
      <c r="I38" s="41">
        <f t="shared" si="3"/>
        <v>225</v>
      </c>
    </row>
    <row r="39" spans="1:9">
      <c r="H39" s="41">
        <v>32</v>
      </c>
      <c r="I39" s="41">
        <f t="shared" si="3"/>
        <v>224</v>
      </c>
    </row>
    <row r="40" spans="1:9">
      <c r="H40" s="41">
        <v>33</v>
      </c>
      <c r="I40" s="41">
        <f t="shared" si="3"/>
        <v>223</v>
      </c>
    </row>
    <row r="41" spans="1:9">
      <c r="H41" s="41">
        <v>34</v>
      </c>
      <c r="I41" s="41">
        <f t="shared" si="3"/>
        <v>222</v>
      </c>
    </row>
    <row r="42" spans="1:9">
      <c r="H42" s="41">
        <v>35</v>
      </c>
      <c r="I42" s="41">
        <f t="shared" si="3"/>
        <v>221</v>
      </c>
    </row>
    <row r="43" spans="1:9">
      <c r="H43" s="41">
        <v>36</v>
      </c>
      <c r="I43" s="41">
        <f t="shared" si="3"/>
        <v>220</v>
      </c>
    </row>
    <row r="44" spans="1:9">
      <c r="H44" s="41">
        <v>37</v>
      </c>
      <c r="I44" s="41">
        <f>256-H44</f>
        <v>219</v>
      </c>
    </row>
    <row r="45" spans="1:9">
      <c r="H45" s="41">
        <v>38</v>
      </c>
      <c r="I45" s="41">
        <f t="shared" si="3"/>
        <v>218</v>
      </c>
    </row>
    <row r="46" spans="1:9">
      <c r="H46" s="41">
        <v>39</v>
      </c>
      <c r="I46" s="41">
        <f t="shared" si="3"/>
        <v>217</v>
      </c>
    </row>
    <row r="47" spans="1:9">
      <c r="H47" s="41">
        <v>40</v>
      </c>
      <c r="I47" s="41">
        <f t="shared" si="3"/>
        <v>216</v>
      </c>
    </row>
    <row r="48" spans="1:9">
      <c r="H48" s="41">
        <v>41</v>
      </c>
      <c r="I48" s="41">
        <f t="shared" si="3"/>
        <v>215</v>
      </c>
    </row>
    <row r="49" spans="8:9">
      <c r="H49" s="41">
        <v>42</v>
      </c>
      <c r="I49" s="41">
        <f t="shared" si="3"/>
        <v>214</v>
      </c>
    </row>
    <row r="50" spans="8:9">
      <c r="H50" s="41">
        <v>43</v>
      </c>
      <c r="I50" s="41">
        <f t="shared" si="3"/>
        <v>213</v>
      </c>
    </row>
    <row r="51" spans="8:9">
      <c r="H51" s="41">
        <v>44</v>
      </c>
      <c r="I51" s="41">
        <f t="shared" si="3"/>
        <v>212</v>
      </c>
    </row>
    <row r="52" spans="8:9">
      <c r="H52" s="41">
        <v>45</v>
      </c>
      <c r="I52" s="41">
        <f t="shared" si="3"/>
        <v>211</v>
      </c>
    </row>
    <row r="53" spans="8:9">
      <c r="H53" s="41">
        <v>46</v>
      </c>
      <c r="I53" s="41">
        <f t="shared" si="3"/>
        <v>210</v>
      </c>
    </row>
    <row r="54" spans="8:9">
      <c r="H54" s="41">
        <v>47</v>
      </c>
      <c r="I54" s="41">
        <f t="shared" si="3"/>
        <v>209</v>
      </c>
    </row>
    <row r="55" spans="8:9">
      <c r="H55" s="41">
        <v>48</v>
      </c>
      <c r="I55" s="41">
        <f t="shared" si="3"/>
        <v>208</v>
      </c>
    </row>
    <row r="56" spans="8:9">
      <c r="H56" s="41">
        <v>49</v>
      </c>
      <c r="I56" s="41">
        <f t="shared" si="3"/>
        <v>207</v>
      </c>
    </row>
    <row r="57" spans="8:9">
      <c r="H57" s="41">
        <v>50</v>
      </c>
      <c r="I57" s="41">
        <f t="shared" si="3"/>
        <v>206</v>
      </c>
    </row>
    <row r="58" spans="8:9">
      <c r="H58" s="41">
        <v>51</v>
      </c>
      <c r="I58" s="41">
        <f t="shared" si="3"/>
        <v>205</v>
      </c>
    </row>
    <row r="59" spans="8:9">
      <c r="H59" s="41">
        <v>52</v>
      </c>
      <c r="I59" s="41">
        <f t="shared" si="3"/>
        <v>204</v>
      </c>
    </row>
    <row r="60" spans="8:9">
      <c r="H60" s="41">
        <v>53</v>
      </c>
      <c r="I60" s="41">
        <f t="shared" si="3"/>
        <v>203</v>
      </c>
    </row>
    <row r="61" spans="8:9">
      <c r="H61" s="41">
        <v>54</v>
      </c>
      <c r="I61" s="41">
        <f t="shared" si="3"/>
        <v>202</v>
      </c>
    </row>
    <row r="62" spans="8:9">
      <c r="H62" s="41">
        <v>55</v>
      </c>
      <c r="I62" s="41">
        <f t="shared" si="3"/>
        <v>201</v>
      </c>
    </row>
    <row r="63" spans="8:9">
      <c r="H63" s="41">
        <v>56</v>
      </c>
      <c r="I63" s="41">
        <f t="shared" si="3"/>
        <v>200</v>
      </c>
    </row>
    <row r="64" spans="8:9">
      <c r="H64" s="41">
        <v>57</v>
      </c>
      <c r="I64" s="41">
        <f t="shared" si="3"/>
        <v>199</v>
      </c>
    </row>
    <row r="65" spans="8:9">
      <c r="H65" s="41">
        <v>58</v>
      </c>
      <c r="I65" s="41">
        <f t="shared" si="3"/>
        <v>198</v>
      </c>
    </row>
    <row r="66" spans="8:9">
      <c r="H66" s="41">
        <v>59</v>
      </c>
      <c r="I66" s="41">
        <f t="shared" si="3"/>
        <v>197</v>
      </c>
    </row>
    <row r="67" spans="8:9">
      <c r="H67" s="41">
        <v>60</v>
      </c>
      <c r="I67" s="41">
        <f t="shared" si="3"/>
        <v>196</v>
      </c>
    </row>
    <row r="68" spans="8:9">
      <c r="H68" s="41">
        <v>61</v>
      </c>
      <c r="I68" s="41">
        <f t="shared" si="3"/>
        <v>195</v>
      </c>
    </row>
    <row r="69" spans="8:9">
      <c r="H69" s="41">
        <v>62</v>
      </c>
      <c r="I69" s="41">
        <f t="shared" si="3"/>
        <v>194</v>
      </c>
    </row>
    <row r="70" spans="8:9">
      <c r="H70" s="41">
        <v>63</v>
      </c>
      <c r="I70" s="41">
        <f t="shared" si="3"/>
        <v>193</v>
      </c>
    </row>
    <row r="71" spans="8:9">
      <c r="H71" s="41">
        <v>64</v>
      </c>
      <c r="I71" s="41">
        <f t="shared" si="3"/>
        <v>192</v>
      </c>
    </row>
    <row r="72" spans="8:9">
      <c r="H72" s="41">
        <v>65</v>
      </c>
      <c r="I72" s="41">
        <f t="shared" si="3"/>
        <v>191</v>
      </c>
    </row>
    <row r="73" spans="8:9">
      <c r="H73" s="41">
        <v>66</v>
      </c>
      <c r="I73" s="41">
        <f t="shared" si="3"/>
        <v>190</v>
      </c>
    </row>
    <row r="74" spans="8:9">
      <c r="H74" s="41">
        <v>67</v>
      </c>
      <c r="I74" s="41">
        <f t="shared" ref="I74:I78" si="4">256-H74</f>
        <v>189</v>
      </c>
    </row>
    <row r="75" spans="8:9">
      <c r="H75" s="41">
        <v>68</v>
      </c>
      <c r="I75" s="41">
        <f t="shared" si="4"/>
        <v>188</v>
      </c>
    </row>
    <row r="76" spans="8:9">
      <c r="H76" s="41">
        <v>69</v>
      </c>
      <c r="I76" s="41">
        <f t="shared" si="4"/>
        <v>187</v>
      </c>
    </row>
    <row r="77" spans="8:9">
      <c r="H77" s="41">
        <v>70</v>
      </c>
      <c r="I77" s="41">
        <f t="shared" si="4"/>
        <v>186</v>
      </c>
    </row>
    <row r="78" spans="8:9">
      <c r="H78" s="41">
        <v>71</v>
      </c>
      <c r="I78" s="41">
        <f t="shared" si="4"/>
        <v>185</v>
      </c>
    </row>
    <row r="79" spans="8:9">
      <c r="H79" s="41">
        <v>72</v>
      </c>
      <c r="I79" s="41">
        <f>256-H79</f>
        <v>184</v>
      </c>
    </row>
    <row r="80" spans="8:9">
      <c r="H80" s="41">
        <v>73</v>
      </c>
      <c r="I80" s="41">
        <f t="shared" ref="I80:I118" si="5">256-H80</f>
        <v>183</v>
      </c>
    </row>
    <row r="81" spans="8:9">
      <c r="H81" s="41">
        <v>74</v>
      </c>
      <c r="I81" s="41">
        <f t="shared" si="5"/>
        <v>182</v>
      </c>
    </row>
    <row r="82" spans="8:9">
      <c r="H82" s="41">
        <v>75</v>
      </c>
      <c r="I82" s="41">
        <f t="shared" si="5"/>
        <v>181</v>
      </c>
    </row>
    <row r="83" spans="8:9">
      <c r="H83" s="41">
        <v>76</v>
      </c>
      <c r="I83" s="41">
        <f t="shared" si="5"/>
        <v>180</v>
      </c>
    </row>
    <row r="84" spans="8:9">
      <c r="H84" s="41">
        <v>77</v>
      </c>
      <c r="I84" s="41">
        <f t="shared" si="5"/>
        <v>179</v>
      </c>
    </row>
    <row r="85" spans="8:9">
      <c r="H85" s="41">
        <v>78</v>
      </c>
      <c r="I85" s="41">
        <f t="shared" si="5"/>
        <v>178</v>
      </c>
    </row>
    <row r="86" spans="8:9">
      <c r="H86" s="41">
        <v>79</v>
      </c>
      <c r="I86" s="41">
        <f t="shared" si="5"/>
        <v>177</v>
      </c>
    </row>
    <row r="87" spans="8:9">
      <c r="H87" s="41">
        <v>80</v>
      </c>
      <c r="I87" s="41">
        <f t="shared" si="5"/>
        <v>176</v>
      </c>
    </row>
    <row r="88" spans="8:9">
      <c r="H88" s="41">
        <v>81</v>
      </c>
      <c r="I88" s="41">
        <f t="shared" si="5"/>
        <v>175</v>
      </c>
    </row>
    <row r="89" spans="8:9">
      <c r="H89" s="41">
        <v>82</v>
      </c>
      <c r="I89" s="41">
        <f t="shared" si="5"/>
        <v>174</v>
      </c>
    </row>
    <row r="90" spans="8:9">
      <c r="H90" s="41">
        <v>83</v>
      </c>
      <c r="I90" s="41">
        <f t="shared" si="5"/>
        <v>173</v>
      </c>
    </row>
    <row r="91" spans="8:9">
      <c r="H91" s="41">
        <v>84</v>
      </c>
      <c r="I91" s="41">
        <f t="shared" si="5"/>
        <v>172</v>
      </c>
    </row>
    <row r="92" spans="8:9">
      <c r="H92" s="41">
        <v>85</v>
      </c>
      <c r="I92" s="41">
        <f t="shared" si="5"/>
        <v>171</v>
      </c>
    </row>
    <row r="93" spans="8:9">
      <c r="H93" s="41">
        <v>86</v>
      </c>
      <c r="I93" s="41">
        <f t="shared" si="5"/>
        <v>170</v>
      </c>
    </row>
    <row r="94" spans="8:9">
      <c r="H94" s="41">
        <v>87</v>
      </c>
      <c r="I94" s="41">
        <f t="shared" si="5"/>
        <v>169</v>
      </c>
    </row>
    <row r="95" spans="8:9">
      <c r="H95" s="41">
        <v>88</v>
      </c>
      <c r="I95" s="41">
        <f t="shared" si="5"/>
        <v>168</v>
      </c>
    </row>
    <row r="96" spans="8:9">
      <c r="H96" s="41">
        <v>89</v>
      </c>
      <c r="I96" s="41">
        <f t="shared" si="5"/>
        <v>167</v>
      </c>
    </row>
    <row r="97" spans="8:9">
      <c r="H97" s="41">
        <v>90</v>
      </c>
      <c r="I97" s="41">
        <f t="shared" si="5"/>
        <v>166</v>
      </c>
    </row>
    <row r="98" spans="8:9">
      <c r="H98" s="41">
        <v>91</v>
      </c>
      <c r="I98" s="41">
        <f t="shared" si="5"/>
        <v>165</v>
      </c>
    </row>
    <row r="99" spans="8:9">
      <c r="H99" s="41">
        <v>92</v>
      </c>
      <c r="I99" s="41">
        <f t="shared" si="5"/>
        <v>164</v>
      </c>
    </row>
    <row r="100" spans="8:9">
      <c r="H100" s="41">
        <v>93</v>
      </c>
      <c r="I100" s="41">
        <f t="shared" si="5"/>
        <v>163</v>
      </c>
    </row>
    <row r="101" spans="8:9">
      <c r="H101" s="41">
        <v>94</v>
      </c>
      <c r="I101" s="41">
        <f t="shared" si="5"/>
        <v>162</v>
      </c>
    </row>
    <row r="102" spans="8:9">
      <c r="H102" s="41">
        <v>95</v>
      </c>
      <c r="I102" s="41">
        <f t="shared" si="5"/>
        <v>161</v>
      </c>
    </row>
    <row r="103" spans="8:9">
      <c r="H103" s="41">
        <v>96</v>
      </c>
      <c r="I103" s="41">
        <f t="shared" si="5"/>
        <v>160</v>
      </c>
    </row>
    <row r="104" spans="8:9">
      <c r="H104" s="41">
        <v>97</v>
      </c>
      <c r="I104" s="41">
        <f t="shared" si="5"/>
        <v>159</v>
      </c>
    </row>
    <row r="105" spans="8:9">
      <c r="H105" s="41">
        <v>98</v>
      </c>
      <c r="I105" s="41">
        <f t="shared" si="5"/>
        <v>158</v>
      </c>
    </row>
    <row r="106" spans="8:9">
      <c r="H106" s="41">
        <v>99</v>
      </c>
      <c r="I106" s="41">
        <f t="shared" si="5"/>
        <v>157</v>
      </c>
    </row>
    <row r="107" spans="8:9">
      <c r="H107" s="41">
        <v>100</v>
      </c>
      <c r="I107" s="41">
        <f t="shared" si="5"/>
        <v>156</v>
      </c>
    </row>
    <row r="108" spans="8:9">
      <c r="H108" s="41">
        <v>101</v>
      </c>
      <c r="I108" s="41">
        <f t="shared" si="5"/>
        <v>155</v>
      </c>
    </row>
    <row r="109" spans="8:9">
      <c r="H109" s="41">
        <v>102</v>
      </c>
      <c r="I109" s="41">
        <f t="shared" si="5"/>
        <v>154</v>
      </c>
    </row>
    <row r="110" spans="8:9">
      <c r="H110" s="41">
        <v>103</v>
      </c>
      <c r="I110" s="41">
        <f t="shared" si="5"/>
        <v>153</v>
      </c>
    </row>
    <row r="111" spans="8:9">
      <c r="H111" s="41">
        <v>104</v>
      </c>
      <c r="I111" s="41">
        <f t="shared" si="5"/>
        <v>152</v>
      </c>
    </row>
    <row r="112" spans="8:9">
      <c r="H112" s="41">
        <v>105</v>
      </c>
      <c r="I112" s="41">
        <f t="shared" si="5"/>
        <v>151</v>
      </c>
    </row>
    <row r="113" spans="8:9">
      <c r="H113" s="41">
        <v>106</v>
      </c>
      <c r="I113" s="41">
        <f t="shared" si="5"/>
        <v>150</v>
      </c>
    </row>
    <row r="114" spans="8:9">
      <c r="H114" s="41">
        <v>107</v>
      </c>
      <c r="I114" s="41">
        <f>256-H114</f>
        <v>149</v>
      </c>
    </row>
    <row r="115" spans="8:9">
      <c r="H115" s="41">
        <v>108</v>
      </c>
      <c r="I115" s="41">
        <f t="shared" si="5"/>
        <v>148</v>
      </c>
    </row>
    <row r="116" spans="8:9">
      <c r="H116" s="41">
        <v>109</v>
      </c>
      <c r="I116" s="41">
        <f t="shared" si="5"/>
        <v>147</v>
      </c>
    </row>
    <row r="117" spans="8:9">
      <c r="H117" s="41">
        <v>110</v>
      </c>
      <c r="I117" s="41">
        <f t="shared" si="5"/>
        <v>146</v>
      </c>
    </row>
    <row r="118" spans="8:9">
      <c r="H118" s="41">
        <v>111</v>
      </c>
      <c r="I118" s="41">
        <f t="shared" si="5"/>
        <v>145</v>
      </c>
    </row>
    <row r="119" spans="8:9">
      <c r="H119" s="41">
        <v>112</v>
      </c>
      <c r="I119" s="41">
        <f>256-H119</f>
        <v>144</v>
      </c>
    </row>
    <row r="120" spans="8:9">
      <c r="H120" s="41">
        <v>113</v>
      </c>
      <c r="I120" s="41">
        <f t="shared" ref="I120:I139" si="6">256-H120</f>
        <v>143</v>
      </c>
    </row>
    <row r="121" spans="8:9">
      <c r="H121" s="41">
        <v>114</v>
      </c>
      <c r="I121" s="41">
        <f t="shared" si="6"/>
        <v>142</v>
      </c>
    </row>
    <row r="122" spans="8:9">
      <c r="H122" s="41">
        <v>115</v>
      </c>
      <c r="I122" s="41">
        <f t="shared" si="6"/>
        <v>141</v>
      </c>
    </row>
    <row r="123" spans="8:9">
      <c r="H123" s="41">
        <v>116</v>
      </c>
      <c r="I123" s="41">
        <f t="shared" si="6"/>
        <v>140</v>
      </c>
    </row>
    <row r="124" spans="8:9">
      <c r="H124" s="41">
        <v>117</v>
      </c>
      <c r="I124" s="41">
        <f t="shared" si="6"/>
        <v>139</v>
      </c>
    </row>
    <row r="125" spans="8:9">
      <c r="H125" s="41">
        <v>118</v>
      </c>
      <c r="I125" s="41">
        <f t="shared" si="6"/>
        <v>138</v>
      </c>
    </row>
    <row r="126" spans="8:9">
      <c r="H126" s="41">
        <v>119</v>
      </c>
      <c r="I126" s="41">
        <f t="shared" si="6"/>
        <v>137</v>
      </c>
    </row>
    <row r="127" spans="8:9">
      <c r="H127" s="41">
        <v>120</v>
      </c>
      <c r="I127" s="41">
        <f t="shared" si="6"/>
        <v>136</v>
      </c>
    </row>
    <row r="128" spans="8:9">
      <c r="H128" s="41">
        <v>121</v>
      </c>
      <c r="I128" s="41">
        <f t="shared" si="6"/>
        <v>135</v>
      </c>
    </row>
    <row r="129" spans="8:10">
      <c r="H129" s="41">
        <v>122</v>
      </c>
      <c r="I129" s="41">
        <f t="shared" si="6"/>
        <v>134</v>
      </c>
    </row>
    <row r="130" spans="8:10">
      <c r="H130" s="41">
        <v>123</v>
      </c>
      <c r="I130" s="41">
        <f t="shared" si="6"/>
        <v>133</v>
      </c>
    </row>
    <row r="131" spans="8:10">
      <c r="H131" s="41">
        <v>124</v>
      </c>
      <c r="I131" s="41">
        <f t="shared" si="6"/>
        <v>132</v>
      </c>
    </row>
    <row r="132" spans="8:10">
      <c r="H132" s="41">
        <v>125</v>
      </c>
      <c r="I132" s="41">
        <f t="shared" si="6"/>
        <v>131</v>
      </c>
    </row>
    <row r="133" spans="8:10">
      <c r="H133" s="41">
        <v>126</v>
      </c>
      <c r="I133" s="41">
        <f t="shared" si="6"/>
        <v>130</v>
      </c>
    </row>
    <row r="134" spans="8:10">
      <c r="H134" s="41">
        <v>127</v>
      </c>
      <c r="I134" s="41">
        <f t="shared" si="6"/>
        <v>129</v>
      </c>
      <c r="J134">
        <v>-127</v>
      </c>
    </row>
    <row r="135" spans="8:10">
      <c r="H135" s="51">
        <v>128</v>
      </c>
      <c r="I135" s="51">
        <f t="shared" si="6"/>
        <v>128</v>
      </c>
    </row>
    <row r="136" spans="8:10">
      <c r="H136" s="41">
        <v>129</v>
      </c>
      <c r="I136" s="41">
        <f t="shared" si="6"/>
        <v>127</v>
      </c>
    </row>
    <row r="137" spans="8:10">
      <c r="H137" s="41">
        <v>130</v>
      </c>
      <c r="I137" s="41">
        <f t="shared" si="6"/>
        <v>126</v>
      </c>
    </row>
    <row r="138" spans="8:10">
      <c r="H138" s="41">
        <v>131</v>
      </c>
      <c r="I138" s="41">
        <f t="shared" si="6"/>
        <v>125</v>
      </c>
    </row>
    <row r="139" spans="8:10">
      <c r="H139" s="41">
        <v>132</v>
      </c>
      <c r="I139" s="41">
        <f t="shared" si="6"/>
        <v>124</v>
      </c>
    </row>
    <row r="140" spans="8:10">
      <c r="H140" s="41">
        <v>133</v>
      </c>
      <c r="I140" s="41">
        <f>256-H140</f>
        <v>123</v>
      </c>
    </row>
    <row r="141" spans="8:10">
      <c r="H141" s="41">
        <v>134</v>
      </c>
      <c r="I141" s="41">
        <f t="shared" ref="I141:I174" si="7">256-H141</f>
        <v>122</v>
      </c>
    </row>
    <row r="142" spans="8:10">
      <c r="H142" s="41">
        <v>135</v>
      </c>
      <c r="I142" s="41">
        <f t="shared" si="7"/>
        <v>121</v>
      </c>
    </row>
    <row r="143" spans="8:10">
      <c r="H143" s="41">
        <v>136</v>
      </c>
      <c r="I143" s="41">
        <f t="shared" si="7"/>
        <v>120</v>
      </c>
    </row>
    <row r="144" spans="8:10">
      <c r="H144" s="41">
        <v>137</v>
      </c>
      <c r="I144" s="41">
        <f t="shared" si="7"/>
        <v>119</v>
      </c>
    </row>
    <row r="145" spans="8:9">
      <c r="H145" s="41">
        <v>138</v>
      </c>
      <c r="I145" s="41">
        <f t="shared" si="7"/>
        <v>118</v>
      </c>
    </row>
    <row r="146" spans="8:9">
      <c r="H146" s="41">
        <v>139</v>
      </c>
      <c r="I146" s="41">
        <f t="shared" si="7"/>
        <v>117</v>
      </c>
    </row>
    <row r="147" spans="8:9">
      <c r="H147" s="41">
        <v>140</v>
      </c>
      <c r="I147" s="41">
        <f t="shared" si="7"/>
        <v>116</v>
      </c>
    </row>
    <row r="148" spans="8:9">
      <c r="H148" s="41">
        <v>141</v>
      </c>
      <c r="I148" s="41">
        <f t="shared" si="7"/>
        <v>115</v>
      </c>
    </row>
    <row r="149" spans="8:9">
      <c r="H149" s="41">
        <v>142</v>
      </c>
      <c r="I149" s="41">
        <f t="shared" si="7"/>
        <v>114</v>
      </c>
    </row>
    <row r="150" spans="8:9">
      <c r="H150" s="41">
        <v>143</v>
      </c>
      <c r="I150" s="41">
        <f t="shared" si="7"/>
        <v>113</v>
      </c>
    </row>
    <row r="151" spans="8:9">
      <c r="H151" s="41">
        <v>144</v>
      </c>
      <c r="I151" s="41">
        <f t="shared" si="7"/>
        <v>112</v>
      </c>
    </row>
    <row r="152" spans="8:9">
      <c r="H152" s="41">
        <v>145</v>
      </c>
      <c r="I152" s="41">
        <f t="shared" si="7"/>
        <v>111</v>
      </c>
    </row>
    <row r="153" spans="8:9">
      <c r="H153" s="41">
        <v>146</v>
      </c>
      <c r="I153" s="41">
        <f t="shared" si="7"/>
        <v>110</v>
      </c>
    </row>
    <row r="154" spans="8:9">
      <c r="H154" s="41">
        <v>147</v>
      </c>
      <c r="I154" s="41">
        <f t="shared" si="7"/>
        <v>109</v>
      </c>
    </row>
    <row r="155" spans="8:9">
      <c r="H155" s="41">
        <v>148</v>
      </c>
      <c r="I155" s="41">
        <f t="shared" si="7"/>
        <v>108</v>
      </c>
    </row>
    <row r="156" spans="8:9">
      <c r="H156" s="41">
        <v>149</v>
      </c>
      <c r="I156" s="41">
        <f t="shared" si="7"/>
        <v>107</v>
      </c>
    </row>
    <row r="157" spans="8:9">
      <c r="H157" s="41">
        <v>150</v>
      </c>
      <c r="I157" s="41">
        <f t="shared" si="7"/>
        <v>106</v>
      </c>
    </row>
    <row r="158" spans="8:9">
      <c r="H158" s="41">
        <v>151</v>
      </c>
      <c r="I158" s="41">
        <f t="shared" si="7"/>
        <v>105</v>
      </c>
    </row>
    <row r="159" spans="8:9">
      <c r="H159" s="41">
        <v>152</v>
      </c>
      <c r="I159" s="41">
        <f t="shared" si="7"/>
        <v>104</v>
      </c>
    </row>
    <row r="160" spans="8:9">
      <c r="H160" s="41">
        <v>153</v>
      </c>
      <c r="I160" s="41">
        <f t="shared" si="7"/>
        <v>103</v>
      </c>
    </row>
    <row r="161" spans="8:9">
      <c r="H161" s="41">
        <v>154</v>
      </c>
      <c r="I161" s="41">
        <f t="shared" si="7"/>
        <v>102</v>
      </c>
    </row>
    <row r="162" spans="8:9">
      <c r="H162" s="41">
        <v>155</v>
      </c>
      <c r="I162" s="41">
        <f t="shared" si="7"/>
        <v>101</v>
      </c>
    </row>
    <row r="163" spans="8:9">
      <c r="H163" s="41">
        <v>156</v>
      </c>
      <c r="I163" s="41">
        <f t="shared" si="7"/>
        <v>100</v>
      </c>
    </row>
    <row r="164" spans="8:9">
      <c r="H164" s="41">
        <v>157</v>
      </c>
      <c r="I164" s="41">
        <f t="shared" si="7"/>
        <v>99</v>
      </c>
    </row>
    <row r="165" spans="8:9">
      <c r="H165" s="41">
        <v>158</v>
      </c>
      <c r="I165" s="41">
        <f t="shared" si="7"/>
        <v>98</v>
      </c>
    </row>
    <row r="166" spans="8:9">
      <c r="H166" s="41">
        <v>159</v>
      </c>
      <c r="I166" s="41">
        <f t="shared" si="7"/>
        <v>97</v>
      </c>
    </row>
    <row r="167" spans="8:9">
      <c r="H167" s="41">
        <v>160</v>
      </c>
      <c r="I167" s="41">
        <f t="shared" si="7"/>
        <v>96</v>
      </c>
    </row>
    <row r="168" spans="8:9">
      <c r="H168" s="41">
        <v>161</v>
      </c>
      <c r="I168" s="41">
        <f t="shared" si="7"/>
        <v>95</v>
      </c>
    </row>
    <row r="169" spans="8:9">
      <c r="H169" s="41">
        <v>162</v>
      </c>
      <c r="I169" s="41">
        <f t="shared" si="7"/>
        <v>94</v>
      </c>
    </row>
    <row r="170" spans="8:9">
      <c r="H170" s="41">
        <v>163</v>
      </c>
      <c r="I170" s="41">
        <f t="shared" si="7"/>
        <v>93</v>
      </c>
    </row>
    <row r="171" spans="8:9">
      <c r="H171" s="41">
        <v>164</v>
      </c>
      <c r="I171" s="41">
        <f t="shared" si="7"/>
        <v>92</v>
      </c>
    </row>
    <row r="172" spans="8:9">
      <c r="H172" s="41">
        <v>165</v>
      </c>
      <c r="I172" s="41">
        <f t="shared" si="7"/>
        <v>91</v>
      </c>
    </row>
    <row r="173" spans="8:9">
      <c r="H173" s="41">
        <v>166</v>
      </c>
      <c r="I173" s="41">
        <f t="shared" si="7"/>
        <v>90</v>
      </c>
    </row>
    <row r="174" spans="8:9">
      <c r="H174" s="41">
        <v>167</v>
      </c>
      <c r="I174" s="41">
        <f t="shared" si="7"/>
        <v>89</v>
      </c>
    </row>
    <row r="175" spans="8:9">
      <c r="H175" s="41">
        <v>168</v>
      </c>
      <c r="I175" s="41">
        <f>256-H175</f>
        <v>88</v>
      </c>
    </row>
    <row r="176" spans="8:9">
      <c r="H176" s="41">
        <v>169</v>
      </c>
      <c r="I176" s="41">
        <f t="shared" ref="I176:I200" si="8">256-H176</f>
        <v>87</v>
      </c>
    </row>
    <row r="177" spans="8:9">
      <c r="H177" s="41">
        <v>170</v>
      </c>
      <c r="I177" s="41">
        <f t="shared" si="8"/>
        <v>86</v>
      </c>
    </row>
    <row r="178" spans="8:9">
      <c r="H178" s="41">
        <v>171</v>
      </c>
      <c r="I178" s="41">
        <f t="shared" si="8"/>
        <v>85</v>
      </c>
    </row>
    <row r="179" spans="8:9">
      <c r="H179" s="41">
        <v>172</v>
      </c>
      <c r="I179" s="41">
        <f t="shared" si="8"/>
        <v>84</v>
      </c>
    </row>
    <row r="180" spans="8:9">
      <c r="H180" s="41">
        <v>173</v>
      </c>
      <c r="I180" s="41">
        <f t="shared" si="8"/>
        <v>83</v>
      </c>
    </row>
    <row r="181" spans="8:9">
      <c r="H181" s="41">
        <v>174</v>
      </c>
      <c r="I181" s="41">
        <f t="shared" si="8"/>
        <v>82</v>
      </c>
    </row>
    <row r="182" spans="8:9">
      <c r="H182" s="41">
        <v>175</v>
      </c>
      <c r="I182" s="41">
        <f t="shared" si="8"/>
        <v>81</v>
      </c>
    </row>
    <row r="183" spans="8:9">
      <c r="H183" s="41">
        <v>176</v>
      </c>
      <c r="I183" s="41">
        <f t="shared" si="8"/>
        <v>80</v>
      </c>
    </row>
    <row r="184" spans="8:9">
      <c r="H184" s="41">
        <v>177</v>
      </c>
      <c r="I184" s="41">
        <f t="shared" si="8"/>
        <v>79</v>
      </c>
    </row>
    <row r="185" spans="8:9">
      <c r="H185" s="41">
        <v>178</v>
      </c>
      <c r="I185" s="41">
        <f t="shared" si="8"/>
        <v>78</v>
      </c>
    </row>
    <row r="186" spans="8:9">
      <c r="H186" s="41">
        <v>179</v>
      </c>
      <c r="I186" s="41">
        <f t="shared" si="8"/>
        <v>77</v>
      </c>
    </row>
    <row r="187" spans="8:9">
      <c r="H187" s="41">
        <v>180</v>
      </c>
      <c r="I187" s="41">
        <f t="shared" si="8"/>
        <v>76</v>
      </c>
    </row>
    <row r="188" spans="8:9">
      <c r="H188" s="41">
        <v>181</v>
      </c>
      <c r="I188" s="41">
        <f t="shared" si="8"/>
        <v>75</v>
      </c>
    </row>
    <row r="189" spans="8:9">
      <c r="H189" s="41">
        <v>182</v>
      </c>
      <c r="I189" s="41">
        <f t="shared" si="8"/>
        <v>74</v>
      </c>
    </row>
    <row r="190" spans="8:9">
      <c r="H190" s="41">
        <v>183</v>
      </c>
      <c r="I190" s="41">
        <f t="shared" si="8"/>
        <v>73</v>
      </c>
    </row>
    <row r="191" spans="8:9">
      <c r="H191" s="41">
        <v>184</v>
      </c>
      <c r="I191" s="41">
        <f t="shared" si="8"/>
        <v>72</v>
      </c>
    </row>
    <row r="192" spans="8:9">
      <c r="H192" s="41">
        <v>185</v>
      </c>
      <c r="I192" s="41">
        <f t="shared" si="8"/>
        <v>71</v>
      </c>
    </row>
    <row r="193" spans="8:9">
      <c r="H193" s="41">
        <v>186</v>
      </c>
      <c r="I193" s="41">
        <f t="shared" si="8"/>
        <v>70</v>
      </c>
    </row>
    <row r="194" spans="8:9">
      <c r="H194" s="41">
        <v>187</v>
      </c>
      <c r="I194" s="41">
        <f t="shared" si="8"/>
        <v>69</v>
      </c>
    </row>
    <row r="195" spans="8:9">
      <c r="H195" s="41">
        <v>188</v>
      </c>
      <c r="I195" s="41">
        <f t="shared" si="8"/>
        <v>68</v>
      </c>
    </row>
    <row r="196" spans="8:9">
      <c r="H196" s="41">
        <v>189</v>
      </c>
      <c r="I196" s="41">
        <f t="shared" si="8"/>
        <v>67</v>
      </c>
    </row>
    <row r="197" spans="8:9">
      <c r="H197" s="41">
        <v>190</v>
      </c>
      <c r="I197" s="41">
        <f t="shared" si="8"/>
        <v>66</v>
      </c>
    </row>
    <row r="198" spans="8:9">
      <c r="H198" s="41">
        <v>191</v>
      </c>
      <c r="I198" s="41">
        <f t="shared" si="8"/>
        <v>65</v>
      </c>
    </row>
    <row r="199" spans="8:9">
      <c r="H199" s="41">
        <v>192</v>
      </c>
      <c r="I199" s="41">
        <f t="shared" si="8"/>
        <v>64</v>
      </c>
    </row>
    <row r="200" spans="8:9">
      <c r="H200" s="41">
        <v>193</v>
      </c>
      <c r="I200" s="41">
        <f t="shared" si="8"/>
        <v>63</v>
      </c>
    </row>
    <row r="201" spans="8:9">
      <c r="H201" s="41">
        <v>194</v>
      </c>
      <c r="I201" s="41">
        <f>256-H201</f>
        <v>62</v>
      </c>
    </row>
    <row r="202" spans="8:9">
      <c r="H202" s="41">
        <v>195</v>
      </c>
      <c r="I202" s="41">
        <f t="shared" ref="I202:I230" si="9">256-H202</f>
        <v>61</v>
      </c>
    </row>
    <row r="203" spans="8:9">
      <c r="H203" s="41">
        <v>196</v>
      </c>
      <c r="I203" s="41">
        <f t="shared" si="9"/>
        <v>60</v>
      </c>
    </row>
    <row r="204" spans="8:9">
      <c r="H204" s="41">
        <v>197</v>
      </c>
      <c r="I204" s="41">
        <f t="shared" si="9"/>
        <v>59</v>
      </c>
    </row>
    <row r="205" spans="8:9">
      <c r="H205" s="41">
        <v>198</v>
      </c>
      <c r="I205" s="41">
        <f t="shared" si="9"/>
        <v>58</v>
      </c>
    </row>
    <row r="206" spans="8:9">
      <c r="H206" s="41">
        <v>199</v>
      </c>
      <c r="I206" s="41">
        <f t="shared" si="9"/>
        <v>57</v>
      </c>
    </row>
    <row r="207" spans="8:9">
      <c r="H207" s="41">
        <v>200</v>
      </c>
      <c r="I207" s="41">
        <f t="shared" si="9"/>
        <v>56</v>
      </c>
    </row>
    <row r="208" spans="8:9">
      <c r="H208" s="41">
        <v>201</v>
      </c>
      <c r="I208" s="41">
        <f t="shared" si="9"/>
        <v>55</v>
      </c>
    </row>
    <row r="209" spans="8:9">
      <c r="H209" s="41">
        <v>202</v>
      </c>
      <c r="I209" s="41">
        <f t="shared" si="9"/>
        <v>54</v>
      </c>
    </row>
    <row r="210" spans="8:9">
      <c r="H210" s="41">
        <v>203</v>
      </c>
      <c r="I210" s="41">
        <f t="shared" si="9"/>
        <v>53</v>
      </c>
    </row>
    <row r="211" spans="8:9">
      <c r="H211" s="41">
        <v>204</v>
      </c>
      <c r="I211" s="41">
        <f t="shared" si="9"/>
        <v>52</v>
      </c>
    </row>
    <row r="212" spans="8:9">
      <c r="H212" s="41">
        <v>205</v>
      </c>
      <c r="I212" s="41">
        <f t="shared" si="9"/>
        <v>51</v>
      </c>
    </row>
    <row r="213" spans="8:9">
      <c r="H213" s="41">
        <v>206</v>
      </c>
      <c r="I213" s="41">
        <f t="shared" si="9"/>
        <v>50</v>
      </c>
    </row>
    <row r="214" spans="8:9">
      <c r="H214" s="41">
        <v>207</v>
      </c>
      <c r="I214" s="41">
        <f t="shared" si="9"/>
        <v>49</v>
      </c>
    </row>
    <row r="215" spans="8:9">
      <c r="H215" s="41">
        <v>208</v>
      </c>
      <c r="I215" s="41">
        <f t="shared" si="9"/>
        <v>48</v>
      </c>
    </row>
    <row r="216" spans="8:9">
      <c r="H216" s="41">
        <v>209</v>
      </c>
      <c r="I216" s="41">
        <f t="shared" si="9"/>
        <v>47</v>
      </c>
    </row>
    <row r="217" spans="8:9">
      <c r="H217" s="41">
        <v>210</v>
      </c>
      <c r="I217" s="41">
        <f t="shared" si="9"/>
        <v>46</v>
      </c>
    </row>
    <row r="218" spans="8:9">
      <c r="H218" s="41">
        <v>211</v>
      </c>
      <c r="I218" s="41">
        <f t="shared" si="9"/>
        <v>45</v>
      </c>
    </row>
    <row r="219" spans="8:9">
      <c r="H219" s="41">
        <v>212</v>
      </c>
      <c r="I219" s="41">
        <f t="shared" si="9"/>
        <v>44</v>
      </c>
    </row>
    <row r="220" spans="8:9">
      <c r="H220" s="41">
        <v>213</v>
      </c>
      <c r="I220" s="41">
        <f t="shared" si="9"/>
        <v>43</v>
      </c>
    </row>
    <row r="221" spans="8:9">
      <c r="H221" s="41">
        <v>214</v>
      </c>
      <c r="I221" s="41">
        <f t="shared" si="9"/>
        <v>42</v>
      </c>
    </row>
    <row r="222" spans="8:9">
      <c r="H222" s="41">
        <v>215</v>
      </c>
      <c r="I222" s="41">
        <f t="shared" si="9"/>
        <v>41</v>
      </c>
    </row>
    <row r="223" spans="8:9">
      <c r="H223" s="41">
        <v>216</v>
      </c>
      <c r="I223" s="41">
        <f t="shared" si="9"/>
        <v>40</v>
      </c>
    </row>
    <row r="224" spans="8:9">
      <c r="H224" s="41">
        <v>217</v>
      </c>
      <c r="I224" s="41">
        <f t="shared" si="9"/>
        <v>39</v>
      </c>
    </row>
    <row r="225" spans="8:9">
      <c r="H225" s="41">
        <v>218</v>
      </c>
      <c r="I225" s="41">
        <f t="shared" si="9"/>
        <v>38</v>
      </c>
    </row>
    <row r="226" spans="8:9">
      <c r="H226" s="41">
        <v>219</v>
      </c>
      <c r="I226" s="41">
        <f t="shared" si="9"/>
        <v>37</v>
      </c>
    </row>
    <row r="227" spans="8:9">
      <c r="H227" s="41">
        <v>220</v>
      </c>
      <c r="I227" s="41">
        <f t="shared" si="9"/>
        <v>36</v>
      </c>
    </row>
    <row r="228" spans="8:9">
      <c r="H228" s="41">
        <v>221</v>
      </c>
      <c r="I228" s="41">
        <f t="shared" si="9"/>
        <v>35</v>
      </c>
    </row>
    <row r="229" spans="8:9">
      <c r="H229" s="41">
        <v>222</v>
      </c>
      <c r="I229" s="41">
        <f t="shared" si="9"/>
        <v>34</v>
      </c>
    </row>
    <row r="230" spans="8:9">
      <c r="H230" s="41">
        <v>223</v>
      </c>
      <c r="I230" s="41">
        <f t="shared" si="9"/>
        <v>33</v>
      </c>
    </row>
    <row r="231" spans="8:9">
      <c r="H231" s="41">
        <v>224</v>
      </c>
      <c r="I231" s="41">
        <f>256-H231</f>
        <v>32</v>
      </c>
    </row>
    <row r="232" spans="8:9">
      <c r="H232" s="41">
        <v>225</v>
      </c>
      <c r="I232" s="41">
        <f t="shared" ref="I232:I253" si="10">256-H232</f>
        <v>31</v>
      </c>
    </row>
    <row r="233" spans="8:9">
      <c r="H233" s="41">
        <v>226</v>
      </c>
      <c r="I233" s="41">
        <f t="shared" si="10"/>
        <v>30</v>
      </c>
    </row>
    <row r="234" spans="8:9">
      <c r="H234" s="41">
        <v>227</v>
      </c>
      <c r="I234" s="41">
        <f t="shared" si="10"/>
        <v>29</v>
      </c>
    </row>
    <row r="235" spans="8:9">
      <c r="H235" s="41">
        <v>228</v>
      </c>
      <c r="I235" s="41">
        <f t="shared" si="10"/>
        <v>28</v>
      </c>
    </row>
    <row r="236" spans="8:9">
      <c r="H236" s="41">
        <v>229</v>
      </c>
      <c r="I236" s="41">
        <f t="shared" si="10"/>
        <v>27</v>
      </c>
    </row>
    <row r="237" spans="8:9">
      <c r="H237" s="41">
        <v>230</v>
      </c>
      <c r="I237" s="41">
        <f t="shared" si="10"/>
        <v>26</v>
      </c>
    </row>
    <row r="238" spans="8:9">
      <c r="H238" s="41">
        <v>231</v>
      </c>
      <c r="I238" s="41">
        <f t="shared" si="10"/>
        <v>25</v>
      </c>
    </row>
    <row r="239" spans="8:9">
      <c r="H239" s="41">
        <v>232</v>
      </c>
      <c r="I239" s="41">
        <f t="shared" si="10"/>
        <v>24</v>
      </c>
    </row>
    <row r="240" spans="8:9">
      <c r="H240" s="41">
        <v>233</v>
      </c>
      <c r="I240" s="41">
        <f t="shared" si="10"/>
        <v>23</v>
      </c>
    </row>
    <row r="241" spans="8:9">
      <c r="H241" s="41">
        <v>234</v>
      </c>
      <c r="I241" s="41">
        <f t="shared" si="10"/>
        <v>22</v>
      </c>
    </row>
    <row r="242" spans="8:9">
      <c r="H242" s="41">
        <v>235</v>
      </c>
      <c r="I242" s="41">
        <f t="shared" si="10"/>
        <v>21</v>
      </c>
    </row>
    <row r="243" spans="8:9">
      <c r="H243" s="41">
        <v>236</v>
      </c>
      <c r="I243" s="41">
        <f t="shared" si="10"/>
        <v>20</v>
      </c>
    </row>
    <row r="244" spans="8:9">
      <c r="H244" s="41">
        <v>237</v>
      </c>
      <c r="I244" s="41">
        <f t="shared" si="10"/>
        <v>19</v>
      </c>
    </row>
    <row r="245" spans="8:9">
      <c r="H245" s="41">
        <v>238</v>
      </c>
      <c r="I245" s="41">
        <f t="shared" si="10"/>
        <v>18</v>
      </c>
    </row>
    <row r="246" spans="8:9">
      <c r="H246" s="41">
        <v>239</v>
      </c>
      <c r="I246" s="41">
        <f t="shared" si="10"/>
        <v>17</v>
      </c>
    </row>
    <row r="247" spans="8:9">
      <c r="H247" s="41">
        <v>240</v>
      </c>
      <c r="I247" s="41">
        <f t="shared" si="10"/>
        <v>16</v>
      </c>
    </row>
    <row r="248" spans="8:9">
      <c r="H248" s="41">
        <v>241</v>
      </c>
      <c r="I248" s="41">
        <f t="shared" si="10"/>
        <v>15</v>
      </c>
    </row>
    <row r="249" spans="8:9">
      <c r="H249" s="41">
        <v>242</v>
      </c>
      <c r="I249" s="41">
        <f t="shared" si="10"/>
        <v>14</v>
      </c>
    </row>
    <row r="250" spans="8:9">
      <c r="H250" s="41">
        <v>243</v>
      </c>
      <c r="I250" s="41">
        <f t="shared" si="10"/>
        <v>13</v>
      </c>
    </row>
    <row r="251" spans="8:9">
      <c r="H251" s="41">
        <v>244</v>
      </c>
      <c r="I251" s="41">
        <f t="shared" si="10"/>
        <v>12</v>
      </c>
    </row>
    <row r="252" spans="8:9">
      <c r="H252" s="41">
        <v>245</v>
      </c>
      <c r="I252" s="41">
        <f t="shared" si="10"/>
        <v>11</v>
      </c>
    </row>
    <row r="253" spans="8:9">
      <c r="H253" s="41">
        <v>246</v>
      </c>
      <c r="I253" s="41">
        <f t="shared" si="10"/>
        <v>10</v>
      </c>
    </row>
    <row r="254" spans="8:9">
      <c r="H254" s="41">
        <v>247</v>
      </c>
      <c r="I254" s="41">
        <f>256-H254</f>
        <v>9</v>
      </c>
    </row>
    <row r="255" spans="8:9">
      <c r="H255" s="41">
        <v>248</v>
      </c>
      <c r="I255" s="41">
        <f t="shared" ref="I255:I262" si="11">256-H255</f>
        <v>8</v>
      </c>
    </row>
    <row r="256" spans="8:9">
      <c r="H256" s="41">
        <v>249</v>
      </c>
      <c r="I256" s="41">
        <f t="shared" si="11"/>
        <v>7</v>
      </c>
    </row>
    <row r="257" spans="8:9">
      <c r="H257" s="41">
        <v>250</v>
      </c>
      <c r="I257" s="41">
        <f t="shared" si="11"/>
        <v>6</v>
      </c>
    </row>
    <row r="258" spans="8:9">
      <c r="H258" s="41">
        <v>251</v>
      </c>
      <c r="I258" s="41">
        <f t="shared" si="11"/>
        <v>5</v>
      </c>
    </row>
    <row r="259" spans="8:9">
      <c r="H259" s="41">
        <v>252</v>
      </c>
      <c r="I259" s="41">
        <f t="shared" si="11"/>
        <v>4</v>
      </c>
    </row>
    <row r="260" spans="8:9">
      <c r="H260" s="41">
        <v>253</v>
      </c>
      <c r="I260" s="41">
        <f t="shared" si="11"/>
        <v>3</v>
      </c>
    </row>
    <row r="261" spans="8:9">
      <c r="H261" s="41">
        <v>254</v>
      </c>
      <c r="I261" s="41">
        <f t="shared" si="11"/>
        <v>2</v>
      </c>
    </row>
    <row r="262" spans="8:9">
      <c r="H262" s="41">
        <v>255</v>
      </c>
      <c r="I262" s="41">
        <f t="shared" si="11"/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9C73-F8BA-0C4B-98C5-38AF3978241A}">
  <dimension ref="A1:N41"/>
  <sheetViews>
    <sheetView workbookViewId="0">
      <selection activeCell="H12" sqref="H12"/>
    </sheetView>
  </sheetViews>
  <sheetFormatPr baseColWidth="10" defaultRowHeight="16"/>
  <cols>
    <col min="1" max="2" width="10.83203125" style="85"/>
    <col min="3" max="3" width="9.33203125" customWidth="1"/>
    <col min="4" max="4" width="3.33203125" customWidth="1"/>
    <col min="8" max="8" width="2.1640625" bestFit="1" customWidth="1"/>
    <col min="9" max="9" width="5.33203125" bestFit="1" customWidth="1"/>
    <col min="10" max="10" width="6.1640625" bestFit="1" customWidth="1"/>
    <col min="11" max="11" width="5.5" style="49" bestFit="1" customWidth="1"/>
    <col min="12" max="12" width="6.83203125" bestFit="1" customWidth="1"/>
    <col min="13" max="13" width="6" bestFit="1" customWidth="1"/>
    <col min="14" max="14" width="2.1640625" bestFit="1" customWidth="1"/>
  </cols>
  <sheetData>
    <row r="1" spans="1:14">
      <c r="J1">
        <v>10752</v>
      </c>
    </row>
    <row r="2" spans="1:14">
      <c r="A2" s="85" t="s">
        <v>464</v>
      </c>
      <c r="G2">
        <v>1</v>
      </c>
      <c r="J2">
        <v>1</v>
      </c>
      <c r="K2" s="49" t="str">
        <f>DEC2HEX(J1)</f>
        <v>2A00</v>
      </c>
    </row>
    <row r="3" spans="1:14">
      <c r="A3" s="85" t="s">
        <v>474</v>
      </c>
      <c r="B3" s="85" t="s">
        <v>501</v>
      </c>
      <c r="C3" t="s">
        <v>465</v>
      </c>
      <c r="D3">
        <v>7</v>
      </c>
      <c r="E3" t="s">
        <v>493</v>
      </c>
      <c r="G3" t="s">
        <v>524</v>
      </c>
      <c r="J3">
        <f>J1+J2</f>
        <v>10753</v>
      </c>
      <c r="K3" s="49" t="str">
        <f t="shared" ref="K3:K28" si="0">DEC2HEX(J3)</f>
        <v>2A01</v>
      </c>
      <c r="L3">
        <f>J3-J2</f>
        <v>10752</v>
      </c>
      <c r="M3" t="s">
        <v>523</v>
      </c>
      <c r="N3">
        <v>7</v>
      </c>
    </row>
    <row r="4" spans="1:14">
      <c r="A4" s="85">
        <v>101</v>
      </c>
      <c r="B4" s="85" t="s">
        <v>502</v>
      </c>
      <c r="C4" t="s">
        <v>465</v>
      </c>
      <c r="D4">
        <v>6</v>
      </c>
      <c r="E4" t="s">
        <v>494</v>
      </c>
      <c r="G4" t="s">
        <v>378</v>
      </c>
      <c r="H4">
        <v>7</v>
      </c>
      <c r="I4">
        <v>1</v>
      </c>
      <c r="J4">
        <f>J3+3584</f>
        <v>14337</v>
      </c>
      <c r="K4" s="49" t="str">
        <f t="shared" si="0"/>
        <v>3801</v>
      </c>
      <c r="L4">
        <f>J4-J3</f>
        <v>3584</v>
      </c>
      <c r="M4" t="s">
        <v>526</v>
      </c>
      <c r="N4">
        <v>6</v>
      </c>
    </row>
    <row r="5" spans="1:14">
      <c r="A5" s="85">
        <v>102</v>
      </c>
      <c r="B5" s="85" t="s">
        <v>503</v>
      </c>
      <c r="C5" t="s">
        <v>487</v>
      </c>
      <c r="D5">
        <v>5</v>
      </c>
      <c r="E5" t="s">
        <v>495</v>
      </c>
      <c r="H5">
        <v>6</v>
      </c>
      <c r="I5">
        <v>2</v>
      </c>
      <c r="J5">
        <f t="shared" ref="J5:J27" si="1">J4+3584</f>
        <v>17921</v>
      </c>
      <c r="K5" s="49" t="str">
        <f t="shared" si="0"/>
        <v>4601</v>
      </c>
      <c r="L5">
        <f>J5-J4</f>
        <v>3584</v>
      </c>
      <c r="M5" t="s">
        <v>527</v>
      </c>
      <c r="N5">
        <v>5</v>
      </c>
    </row>
    <row r="6" spans="1:14">
      <c r="A6" s="85">
        <v>103</v>
      </c>
      <c r="B6" s="85" t="s">
        <v>504</v>
      </c>
      <c r="C6" t="s">
        <v>488</v>
      </c>
      <c r="D6">
        <v>4</v>
      </c>
      <c r="E6" t="s">
        <v>496</v>
      </c>
      <c r="H6">
        <v>5</v>
      </c>
      <c r="I6">
        <v>3</v>
      </c>
      <c r="J6">
        <f t="shared" si="1"/>
        <v>21505</v>
      </c>
      <c r="K6" s="49" t="str">
        <f t="shared" si="0"/>
        <v>5401</v>
      </c>
      <c r="L6">
        <f t="shared" ref="L6:L28" si="2">J6-J5</f>
        <v>3584</v>
      </c>
      <c r="M6" t="s">
        <v>528</v>
      </c>
      <c r="N6">
        <v>4</v>
      </c>
    </row>
    <row r="7" spans="1:14">
      <c r="A7" s="85">
        <v>104</v>
      </c>
      <c r="B7" s="85" t="s">
        <v>505</v>
      </c>
      <c r="C7" t="s">
        <v>467</v>
      </c>
      <c r="D7">
        <v>3</v>
      </c>
      <c r="E7" t="s">
        <v>497</v>
      </c>
      <c r="H7">
        <v>4</v>
      </c>
      <c r="I7">
        <v>4</v>
      </c>
      <c r="J7">
        <f t="shared" si="1"/>
        <v>25089</v>
      </c>
      <c r="K7" s="49" t="str">
        <f t="shared" si="0"/>
        <v>6201</v>
      </c>
      <c r="L7">
        <f t="shared" si="2"/>
        <v>3584</v>
      </c>
      <c r="M7" t="s">
        <v>529</v>
      </c>
      <c r="N7">
        <v>3</v>
      </c>
    </row>
    <row r="8" spans="1:14">
      <c r="A8" s="85">
        <v>105</v>
      </c>
      <c r="B8" s="85" t="s">
        <v>506</v>
      </c>
      <c r="C8" t="s">
        <v>467</v>
      </c>
      <c r="D8">
        <v>2</v>
      </c>
      <c r="E8" t="s">
        <v>498</v>
      </c>
      <c r="H8">
        <v>3</v>
      </c>
      <c r="I8">
        <v>5</v>
      </c>
      <c r="J8">
        <f t="shared" si="1"/>
        <v>28673</v>
      </c>
      <c r="K8" s="49" t="str">
        <f t="shared" si="0"/>
        <v>7001</v>
      </c>
      <c r="L8">
        <f t="shared" si="2"/>
        <v>3584</v>
      </c>
      <c r="M8" t="s">
        <v>530</v>
      </c>
      <c r="N8">
        <v>2</v>
      </c>
    </row>
    <row r="9" spans="1:14">
      <c r="A9" s="85">
        <v>106</v>
      </c>
      <c r="B9" s="85" t="s">
        <v>507</v>
      </c>
      <c r="C9" t="s">
        <v>468</v>
      </c>
      <c r="D9">
        <v>1</v>
      </c>
      <c r="E9" t="s">
        <v>500</v>
      </c>
      <c r="H9">
        <v>2</v>
      </c>
      <c r="I9">
        <v>6</v>
      </c>
      <c r="J9">
        <f t="shared" si="1"/>
        <v>32257</v>
      </c>
      <c r="K9" s="49" t="str">
        <f t="shared" si="0"/>
        <v>7E01</v>
      </c>
      <c r="L9">
        <f t="shared" si="2"/>
        <v>3584</v>
      </c>
      <c r="M9" t="s">
        <v>531</v>
      </c>
      <c r="N9">
        <v>1</v>
      </c>
    </row>
    <row r="10" spans="1:14">
      <c r="A10" s="85">
        <v>107</v>
      </c>
      <c r="B10" s="85" t="s">
        <v>508</v>
      </c>
      <c r="C10" t="s">
        <v>468</v>
      </c>
      <c r="D10">
        <v>0</v>
      </c>
      <c r="E10" t="s">
        <v>499</v>
      </c>
      <c r="H10">
        <v>1</v>
      </c>
      <c r="I10">
        <v>7</v>
      </c>
      <c r="J10">
        <f>J9+3584</f>
        <v>35841</v>
      </c>
      <c r="K10" s="49" t="str">
        <f t="shared" si="0"/>
        <v>8C01</v>
      </c>
      <c r="L10">
        <f t="shared" si="2"/>
        <v>3584</v>
      </c>
      <c r="M10" t="s">
        <v>532</v>
      </c>
      <c r="N10">
        <v>0</v>
      </c>
    </row>
    <row r="11" spans="1:14">
      <c r="A11" s="85">
        <v>108</v>
      </c>
      <c r="B11" s="85" t="s">
        <v>509</v>
      </c>
      <c r="C11" t="s">
        <v>469</v>
      </c>
      <c r="H11">
        <v>0</v>
      </c>
      <c r="I11">
        <v>8</v>
      </c>
      <c r="J11">
        <f t="shared" si="1"/>
        <v>39425</v>
      </c>
      <c r="K11" s="49" t="str">
        <f t="shared" si="0"/>
        <v>9A01</v>
      </c>
      <c r="L11">
        <f t="shared" si="2"/>
        <v>3584</v>
      </c>
    </row>
    <row r="12" spans="1:14">
      <c r="A12" s="85">
        <v>109</v>
      </c>
      <c r="B12" s="85" t="s">
        <v>510</v>
      </c>
      <c r="C12" t="s">
        <v>470</v>
      </c>
      <c r="G12" t="s">
        <v>539</v>
      </c>
      <c r="H12">
        <v>7</v>
      </c>
      <c r="I12">
        <v>1</v>
      </c>
      <c r="J12">
        <f t="shared" si="1"/>
        <v>43009</v>
      </c>
      <c r="K12" s="49" t="str">
        <f t="shared" si="0"/>
        <v>A801</v>
      </c>
      <c r="L12">
        <f t="shared" si="2"/>
        <v>3584</v>
      </c>
    </row>
    <row r="13" spans="1:14">
      <c r="A13" s="85" t="s">
        <v>475</v>
      </c>
      <c r="B13" s="85" t="s">
        <v>511</v>
      </c>
      <c r="C13" t="s">
        <v>471</v>
      </c>
      <c r="H13">
        <v>6</v>
      </c>
      <c r="I13">
        <v>2</v>
      </c>
      <c r="J13">
        <f t="shared" si="1"/>
        <v>46593</v>
      </c>
      <c r="K13" s="49" t="str">
        <f t="shared" si="0"/>
        <v>B601</v>
      </c>
      <c r="L13">
        <f t="shared" si="2"/>
        <v>3584</v>
      </c>
    </row>
    <row r="14" spans="1:14">
      <c r="A14" s="85" t="s">
        <v>476</v>
      </c>
      <c r="B14" s="85" t="s">
        <v>512</v>
      </c>
      <c r="C14" t="s">
        <v>472</v>
      </c>
      <c r="H14">
        <v>5</v>
      </c>
      <c r="I14">
        <v>3</v>
      </c>
      <c r="J14">
        <f t="shared" si="1"/>
        <v>50177</v>
      </c>
      <c r="K14" s="49" t="str">
        <f t="shared" si="0"/>
        <v>C401</v>
      </c>
      <c r="L14">
        <f t="shared" si="2"/>
        <v>3584</v>
      </c>
    </row>
    <row r="15" spans="1:14">
      <c r="A15" s="85" t="s">
        <v>477</v>
      </c>
      <c r="B15" s="85" t="s">
        <v>513</v>
      </c>
      <c r="C15" t="s">
        <v>473</v>
      </c>
      <c r="H15">
        <v>4</v>
      </c>
      <c r="I15">
        <v>4</v>
      </c>
      <c r="J15">
        <f t="shared" si="1"/>
        <v>53761</v>
      </c>
      <c r="K15" s="49" t="str">
        <f t="shared" si="0"/>
        <v>D201</v>
      </c>
      <c r="L15">
        <f t="shared" si="2"/>
        <v>3584</v>
      </c>
    </row>
    <row r="16" spans="1:14">
      <c r="A16" s="85" t="s">
        <v>478</v>
      </c>
      <c r="B16" s="85" t="s">
        <v>514</v>
      </c>
      <c r="C16" s="86" t="s">
        <v>465</v>
      </c>
      <c r="H16">
        <v>3</v>
      </c>
      <c r="I16">
        <v>5</v>
      </c>
      <c r="J16">
        <f t="shared" si="1"/>
        <v>57345</v>
      </c>
      <c r="K16" s="49" t="str">
        <f t="shared" si="0"/>
        <v>E001</v>
      </c>
      <c r="L16">
        <f t="shared" si="2"/>
        <v>3584</v>
      </c>
    </row>
    <row r="17" spans="1:12">
      <c r="A17" s="85" t="s">
        <v>479</v>
      </c>
      <c r="B17" s="85" t="s">
        <v>515</v>
      </c>
      <c r="C17" s="86" t="s">
        <v>465</v>
      </c>
      <c r="H17">
        <v>2</v>
      </c>
      <c r="I17">
        <v>6</v>
      </c>
      <c r="J17">
        <f t="shared" si="1"/>
        <v>60929</v>
      </c>
      <c r="K17" s="49" t="str">
        <f t="shared" si="0"/>
        <v>EE01</v>
      </c>
      <c r="L17">
        <f t="shared" si="2"/>
        <v>3584</v>
      </c>
    </row>
    <row r="18" spans="1:12">
      <c r="A18" s="85" t="s">
        <v>480</v>
      </c>
      <c r="B18" s="85" t="s">
        <v>516</v>
      </c>
      <c r="C18" s="86" t="s">
        <v>466</v>
      </c>
      <c r="H18">
        <v>1</v>
      </c>
      <c r="I18">
        <v>7</v>
      </c>
      <c r="J18">
        <f>J17+3584+1792-65536</f>
        <v>769</v>
      </c>
      <c r="K18" s="49" t="str">
        <f t="shared" si="0"/>
        <v>301</v>
      </c>
      <c r="L18">
        <f t="shared" si="2"/>
        <v>-60160</v>
      </c>
    </row>
    <row r="19" spans="1:12">
      <c r="A19" s="85">
        <v>110</v>
      </c>
      <c r="B19" s="85">
        <v>70</v>
      </c>
      <c r="C19" s="86" t="s">
        <v>466</v>
      </c>
      <c r="H19">
        <v>0</v>
      </c>
      <c r="I19">
        <v>8</v>
      </c>
      <c r="J19">
        <f>J18+3584</f>
        <v>4353</v>
      </c>
      <c r="K19" s="49" t="str">
        <f t="shared" si="0"/>
        <v>1101</v>
      </c>
      <c r="L19">
        <f t="shared" si="2"/>
        <v>3584</v>
      </c>
    </row>
    <row r="20" spans="1:12">
      <c r="A20" s="85">
        <v>111</v>
      </c>
      <c r="B20" s="85">
        <v>71</v>
      </c>
      <c r="C20" s="86" t="s">
        <v>467</v>
      </c>
      <c r="G20" t="s">
        <v>380</v>
      </c>
      <c r="H20">
        <v>7</v>
      </c>
      <c r="I20">
        <v>1</v>
      </c>
      <c r="J20">
        <f t="shared" si="1"/>
        <v>7937</v>
      </c>
      <c r="K20" s="49" t="str">
        <f t="shared" si="0"/>
        <v>1F01</v>
      </c>
      <c r="L20">
        <f t="shared" si="2"/>
        <v>3584</v>
      </c>
    </row>
    <row r="21" spans="1:12">
      <c r="A21" s="85">
        <v>112</v>
      </c>
      <c r="B21" s="85">
        <v>72</v>
      </c>
      <c r="C21" s="86" t="s">
        <v>467</v>
      </c>
      <c r="H21">
        <v>6</v>
      </c>
      <c r="I21">
        <v>2</v>
      </c>
      <c r="J21">
        <f t="shared" si="1"/>
        <v>11521</v>
      </c>
      <c r="K21" s="49" t="str">
        <f t="shared" si="0"/>
        <v>2D01</v>
      </c>
      <c r="L21">
        <f t="shared" si="2"/>
        <v>3584</v>
      </c>
    </row>
    <row r="22" spans="1:12">
      <c r="A22" s="85">
        <v>113</v>
      </c>
      <c r="B22" s="85">
        <v>73</v>
      </c>
      <c r="C22" s="86" t="s">
        <v>468</v>
      </c>
      <c r="H22">
        <v>5</v>
      </c>
      <c r="I22">
        <v>3</v>
      </c>
      <c r="J22">
        <f t="shared" si="1"/>
        <v>15105</v>
      </c>
      <c r="K22" s="49" t="str">
        <f t="shared" si="0"/>
        <v>3B01</v>
      </c>
      <c r="L22">
        <f t="shared" si="2"/>
        <v>3584</v>
      </c>
    </row>
    <row r="23" spans="1:12">
      <c r="A23" s="85">
        <v>114</v>
      </c>
      <c r="B23" s="85">
        <v>74</v>
      </c>
      <c r="C23" s="86" t="s">
        <v>468</v>
      </c>
      <c r="H23">
        <v>4</v>
      </c>
      <c r="I23">
        <v>4</v>
      </c>
      <c r="J23">
        <f t="shared" si="1"/>
        <v>18689</v>
      </c>
      <c r="K23" s="49" t="str">
        <f t="shared" si="0"/>
        <v>4901</v>
      </c>
      <c r="L23">
        <f t="shared" si="2"/>
        <v>3584</v>
      </c>
    </row>
    <row r="24" spans="1:12">
      <c r="A24" s="85">
        <v>115</v>
      </c>
      <c r="B24" s="85">
        <v>75</v>
      </c>
      <c r="C24" s="86" t="s">
        <v>469</v>
      </c>
      <c r="H24">
        <v>3</v>
      </c>
      <c r="I24">
        <v>5</v>
      </c>
      <c r="J24">
        <f t="shared" si="1"/>
        <v>22273</v>
      </c>
      <c r="K24" s="49" t="str">
        <f t="shared" si="0"/>
        <v>5701</v>
      </c>
      <c r="L24">
        <f t="shared" si="2"/>
        <v>3584</v>
      </c>
    </row>
    <row r="25" spans="1:12">
      <c r="A25" s="85">
        <v>116</v>
      </c>
      <c r="B25" s="85">
        <v>76</v>
      </c>
      <c r="C25" s="86" t="s">
        <v>470</v>
      </c>
      <c r="H25">
        <v>2</v>
      </c>
      <c r="I25">
        <v>6</v>
      </c>
      <c r="J25">
        <f t="shared" si="1"/>
        <v>25857</v>
      </c>
      <c r="K25" s="49" t="str">
        <f t="shared" si="0"/>
        <v>6501</v>
      </c>
      <c r="L25">
        <f t="shared" si="2"/>
        <v>3584</v>
      </c>
    </row>
    <row r="26" spans="1:12">
      <c r="A26" s="85">
        <v>117</v>
      </c>
      <c r="B26" s="85">
        <v>77</v>
      </c>
      <c r="C26" s="86" t="s">
        <v>471</v>
      </c>
      <c r="H26">
        <v>1</v>
      </c>
      <c r="I26">
        <v>7</v>
      </c>
      <c r="J26">
        <f t="shared" si="1"/>
        <v>29441</v>
      </c>
      <c r="K26" s="49" t="str">
        <f t="shared" si="0"/>
        <v>7301</v>
      </c>
      <c r="L26">
        <f t="shared" si="2"/>
        <v>3584</v>
      </c>
    </row>
    <row r="27" spans="1:12">
      <c r="A27" s="85">
        <v>118</v>
      </c>
      <c r="B27" s="85">
        <v>78</v>
      </c>
      <c r="C27" t="s">
        <v>465</v>
      </c>
      <c r="H27">
        <v>0</v>
      </c>
      <c r="I27">
        <v>8</v>
      </c>
      <c r="J27">
        <f t="shared" si="1"/>
        <v>33025</v>
      </c>
      <c r="K27" s="49" t="str">
        <f t="shared" si="0"/>
        <v>8101</v>
      </c>
      <c r="L27">
        <f t="shared" si="2"/>
        <v>3584</v>
      </c>
    </row>
    <row r="28" spans="1:12">
      <c r="A28" s="85">
        <v>119</v>
      </c>
      <c r="B28" s="85">
        <v>79</v>
      </c>
      <c r="C28" t="s">
        <v>465</v>
      </c>
      <c r="G28" t="s">
        <v>525</v>
      </c>
      <c r="J28">
        <f>J27+12544</f>
        <v>45569</v>
      </c>
      <c r="K28" s="49" t="str">
        <f t="shared" si="0"/>
        <v>B201</v>
      </c>
      <c r="L28">
        <f t="shared" si="2"/>
        <v>12544</v>
      </c>
    </row>
    <row r="29" spans="1:12">
      <c r="A29" s="85" t="s">
        <v>481</v>
      </c>
      <c r="B29" s="85" t="s">
        <v>517</v>
      </c>
      <c r="C29" t="s">
        <v>466</v>
      </c>
    </row>
    <row r="30" spans="1:12">
      <c r="A30" s="85" t="s">
        <v>482</v>
      </c>
      <c r="B30" s="85" t="s">
        <v>518</v>
      </c>
      <c r="C30" t="s">
        <v>466</v>
      </c>
    </row>
    <row r="31" spans="1:12">
      <c r="A31" s="85" t="s">
        <v>483</v>
      </c>
      <c r="B31" s="85" t="s">
        <v>519</v>
      </c>
      <c r="C31" t="s">
        <v>467</v>
      </c>
      <c r="I31" t="s">
        <v>533</v>
      </c>
      <c r="J31">
        <v>1792</v>
      </c>
      <c r="K31" s="49" t="str">
        <f>DEC2HEX(J31)</f>
        <v>700</v>
      </c>
    </row>
    <row r="32" spans="1:12">
      <c r="A32" s="85" t="s">
        <v>484</v>
      </c>
      <c r="B32" s="85" t="s">
        <v>520</v>
      </c>
      <c r="C32" t="s">
        <v>467</v>
      </c>
      <c r="I32" t="s">
        <v>534</v>
      </c>
      <c r="J32">
        <v>3584</v>
      </c>
      <c r="K32" s="49" t="str">
        <f t="shared" ref="K32:K36" si="3">DEC2HEX(J32)</f>
        <v>E00</v>
      </c>
    </row>
    <row r="33" spans="1:11">
      <c r="A33" s="85" t="s">
        <v>485</v>
      </c>
      <c r="B33" s="85" t="s">
        <v>521</v>
      </c>
      <c r="C33" t="s">
        <v>468</v>
      </c>
      <c r="I33" t="s">
        <v>535</v>
      </c>
      <c r="J33">
        <v>5376</v>
      </c>
      <c r="K33" s="49" t="str">
        <f t="shared" si="3"/>
        <v>1500</v>
      </c>
    </row>
    <row r="34" spans="1:11">
      <c r="A34" s="85" t="s">
        <v>486</v>
      </c>
      <c r="B34" s="85" t="s">
        <v>522</v>
      </c>
      <c r="C34" t="s">
        <v>468</v>
      </c>
      <c r="I34" t="s">
        <v>536</v>
      </c>
      <c r="J34">
        <v>7168</v>
      </c>
      <c r="K34" s="49" t="str">
        <f t="shared" si="3"/>
        <v>1C00</v>
      </c>
    </row>
    <row r="35" spans="1:11">
      <c r="A35" s="85">
        <v>120</v>
      </c>
      <c r="B35" s="85">
        <v>80</v>
      </c>
      <c r="C35" t="s">
        <v>469</v>
      </c>
      <c r="I35" t="s">
        <v>537</v>
      </c>
      <c r="J35">
        <v>10752</v>
      </c>
      <c r="K35" s="49" t="str">
        <f t="shared" si="3"/>
        <v>2A00</v>
      </c>
    </row>
    <row r="36" spans="1:11">
      <c r="A36" s="85">
        <v>121</v>
      </c>
      <c r="B36" s="85">
        <v>81</v>
      </c>
      <c r="C36" t="s">
        <v>470</v>
      </c>
      <c r="I36" t="s">
        <v>540</v>
      </c>
      <c r="J36">
        <v>12544</v>
      </c>
      <c r="K36" s="49" t="str">
        <f t="shared" si="3"/>
        <v>3100</v>
      </c>
    </row>
    <row r="37" spans="1:11">
      <c r="A37" s="85">
        <v>122</v>
      </c>
      <c r="B37" s="85">
        <v>82</v>
      </c>
      <c r="C37" t="s">
        <v>471</v>
      </c>
      <c r="I37" t="s">
        <v>538</v>
      </c>
      <c r="J37">
        <v>14336</v>
      </c>
      <c r="K37" s="49" t="str">
        <f>DEC2HEX(J37)</f>
        <v>3800</v>
      </c>
    </row>
    <row r="38" spans="1:11">
      <c r="A38" s="87">
        <v>123</v>
      </c>
      <c r="B38" s="87"/>
      <c r="C38" s="86" t="s">
        <v>489</v>
      </c>
    </row>
    <row r="39" spans="1:11">
      <c r="A39" s="87">
        <v>124</v>
      </c>
      <c r="B39" s="87"/>
      <c r="C39" s="86" t="s">
        <v>490</v>
      </c>
    </row>
    <row r="40" spans="1:11">
      <c r="A40" s="87">
        <v>125</v>
      </c>
      <c r="B40" s="87"/>
      <c r="C40" s="86" t="s">
        <v>491</v>
      </c>
    </row>
    <row r="41" spans="1:11">
      <c r="A41" s="87">
        <v>126</v>
      </c>
      <c r="B41" s="87"/>
      <c r="C41" s="86" t="s">
        <v>492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3B607-B6B3-764A-B3F3-DC7AF32008A9}">
  <dimension ref="A1:N13"/>
  <sheetViews>
    <sheetView workbookViewId="0">
      <selection activeCell="B3" sqref="B3"/>
    </sheetView>
  </sheetViews>
  <sheetFormatPr baseColWidth="10" defaultRowHeight="16"/>
  <cols>
    <col min="1" max="1" width="13.83203125" bestFit="1" customWidth="1"/>
    <col min="3" max="3" width="7.6640625" bestFit="1" customWidth="1"/>
    <col min="4" max="4" width="6.1640625" bestFit="1" customWidth="1"/>
    <col min="5" max="6" width="5.6640625" bestFit="1" customWidth="1"/>
    <col min="13" max="13" width="14.83203125" bestFit="1" customWidth="1"/>
  </cols>
  <sheetData>
    <row r="1" spans="1:14" ht="17">
      <c r="A1" t="s">
        <v>780</v>
      </c>
      <c r="B1">
        <v>16</v>
      </c>
      <c r="I1" s="196" t="s">
        <v>781</v>
      </c>
      <c r="L1" s="197" t="s">
        <v>782</v>
      </c>
      <c r="M1" s="41" t="s">
        <v>783</v>
      </c>
      <c r="N1" s="41" t="s">
        <v>784</v>
      </c>
    </row>
    <row r="2" spans="1:14" ht="17">
      <c r="A2" t="s">
        <v>785</v>
      </c>
      <c r="B2">
        <v>5</v>
      </c>
      <c r="I2" s="198" t="s">
        <v>786</v>
      </c>
      <c r="L2" s="199" t="s">
        <v>787</v>
      </c>
      <c r="M2" s="200">
        <v>0.49</v>
      </c>
      <c r="N2" s="201">
        <f t="shared" ref="N2:N8" si="0">1-(M2/0.5)</f>
        <v>2.0000000000000018E-2</v>
      </c>
    </row>
    <row r="3" spans="1:14" ht="17">
      <c r="A3" t="s">
        <v>788</v>
      </c>
      <c r="B3">
        <f>2*B2</f>
        <v>10</v>
      </c>
      <c r="C3" s="86" t="s">
        <v>789</v>
      </c>
      <c r="I3" s="198" t="s">
        <v>790</v>
      </c>
      <c r="L3" s="199" t="s">
        <v>791</v>
      </c>
      <c r="M3" s="200">
        <v>0.49</v>
      </c>
      <c r="N3" s="201">
        <f t="shared" si="0"/>
        <v>2.0000000000000018E-2</v>
      </c>
    </row>
    <row r="4" spans="1:14" ht="17">
      <c r="B4" t="s">
        <v>792</v>
      </c>
      <c r="I4" s="198" t="s">
        <v>793</v>
      </c>
      <c r="L4" s="199" t="s">
        <v>794</v>
      </c>
      <c r="M4" s="200">
        <v>0.48</v>
      </c>
      <c r="N4" s="201">
        <f t="shared" si="0"/>
        <v>4.0000000000000036E-2</v>
      </c>
    </row>
    <row r="5" spans="1:14" ht="17">
      <c r="A5" t="s">
        <v>792</v>
      </c>
      <c r="B5">
        <f>(1000*B1)/B3</f>
        <v>1600</v>
      </c>
      <c r="I5" s="198" t="s">
        <v>795</v>
      </c>
      <c r="L5" s="199" t="s">
        <v>796</v>
      </c>
      <c r="M5" s="200">
        <v>0.47</v>
      </c>
      <c r="N5" s="201">
        <f t="shared" si="0"/>
        <v>6.0000000000000053E-2</v>
      </c>
    </row>
    <row r="6" spans="1:14" ht="17">
      <c r="A6" t="s">
        <v>533</v>
      </c>
      <c r="B6">
        <f>1*B$5</f>
        <v>1600</v>
      </c>
      <c r="I6" s="198" t="s">
        <v>797</v>
      </c>
      <c r="L6" s="199" t="s">
        <v>798</v>
      </c>
      <c r="M6" s="200">
        <v>0.43</v>
      </c>
      <c r="N6" s="201">
        <f t="shared" si="0"/>
        <v>0.14000000000000001</v>
      </c>
    </row>
    <row r="7" spans="1:14" ht="17">
      <c r="A7" s="86" t="s">
        <v>534</v>
      </c>
      <c r="B7">
        <f>2*B$5</f>
        <v>3200</v>
      </c>
      <c r="C7" s="86">
        <f>$B7*E7</f>
        <v>2400</v>
      </c>
      <c r="D7" s="86">
        <f>$B7*F7</f>
        <v>4000</v>
      </c>
      <c r="E7" s="202">
        <f>0.75/1</f>
        <v>0.75</v>
      </c>
      <c r="F7" s="202">
        <f>1.25/1</f>
        <v>1.25</v>
      </c>
      <c r="I7" s="198" t="s">
        <v>799</v>
      </c>
      <c r="L7" s="203" t="s">
        <v>800</v>
      </c>
      <c r="M7" s="204">
        <v>0.37</v>
      </c>
      <c r="N7" s="205">
        <f>1-(M7/0.5)</f>
        <v>0.26</v>
      </c>
    </row>
    <row r="8" spans="1:14" ht="17">
      <c r="A8" t="s">
        <v>535</v>
      </c>
      <c r="B8">
        <f>3*B$5</f>
        <v>4800</v>
      </c>
      <c r="C8" s="86">
        <f t="shared" ref="C8:D13" si="1">$B8*E8</f>
        <v>4000</v>
      </c>
      <c r="D8" s="86">
        <f t="shared" si="1"/>
        <v>5600</v>
      </c>
      <c r="E8" s="202">
        <f>1.25/1.5</f>
        <v>0.83333333333333337</v>
      </c>
      <c r="F8" s="202">
        <f>1.75/1.5</f>
        <v>1.1666666666666667</v>
      </c>
      <c r="I8" s="198" t="s">
        <v>801</v>
      </c>
      <c r="L8" s="199" t="s">
        <v>802</v>
      </c>
      <c r="M8" s="200">
        <v>0.26</v>
      </c>
      <c r="N8" s="201">
        <f t="shared" si="0"/>
        <v>0.48</v>
      </c>
    </row>
    <row r="9" spans="1:14" ht="17">
      <c r="A9" s="86" t="s">
        <v>536</v>
      </c>
      <c r="B9">
        <f>4*B$5</f>
        <v>6400</v>
      </c>
      <c r="C9" s="86">
        <f>$B9*E9</f>
        <v>5600</v>
      </c>
      <c r="D9" s="86">
        <f t="shared" si="1"/>
        <v>7200</v>
      </c>
      <c r="E9" s="202">
        <f>1.75/2</f>
        <v>0.875</v>
      </c>
      <c r="F9" s="202">
        <f>2.25/2</f>
        <v>1.125</v>
      </c>
      <c r="I9" s="198" t="s">
        <v>803</v>
      </c>
      <c r="L9" s="199" t="s">
        <v>804</v>
      </c>
      <c r="M9" s="197" t="s">
        <v>805</v>
      </c>
      <c r="N9" s="201">
        <f>1-(0.2/0.5)</f>
        <v>0.6</v>
      </c>
    </row>
    <row r="10" spans="1:14" ht="17">
      <c r="A10" t="s">
        <v>806</v>
      </c>
      <c r="B10">
        <f>5*B$5</f>
        <v>8000</v>
      </c>
      <c r="C10">
        <f t="shared" ref="C10:C13" si="2">$B10*E10</f>
        <v>7200</v>
      </c>
      <c r="D10">
        <f t="shared" si="1"/>
        <v>8800</v>
      </c>
      <c r="E10" s="206">
        <v>0.9</v>
      </c>
      <c r="F10" s="206">
        <v>1.1000000000000001</v>
      </c>
      <c r="I10" s="198" t="s">
        <v>807</v>
      </c>
      <c r="L10" s="199" t="s">
        <v>808</v>
      </c>
      <c r="M10" s="197" t="s">
        <v>809</v>
      </c>
      <c r="N10" s="41"/>
    </row>
    <row r="11" spans="1:14">
      <c r="A11" t="s">
        <v>537</v>
      </c>
      <c r="B11">
        <f>6*B$5</f>
        <v>9600</v>
      </c>
      <c r="C11">
        <f t="shared" si="2"/>
        <v>8800</v>
      </c>
      <c r="D11">
        <f t="shared" si="1"/>
        <v>10400.000000000002</v>
      </c>
      <c r="E11" s="206">
        <f>D10/B11</f>
        <v>0.91666666666666663</v>
      </c>
      <c r="F11" s="206">
        <f>2-E11</f>
        <v>1.0833333333333335</v>
      </c>
    </row>
    <row r="12" spans="1:14">
      <c r="A12" t="s">
        <v>540</v>
      </c>
      <c r="B12">
        <f>7*B$5</f>
        <v>11200</v>
      </c>
      <c r="C12">
        <f t="shared" si="2"/>
        <v>10400.000000000002</v>
      </c>
      <c r="D12">
        <f t="shared" si="1"/>
        <v>11999.999999999996</v>
      </c>
      <c r="E12" s="206">
        <f>D11/B12</f>
        <v>0.92857142857142871</v>
      </c>
      <c r="F12" s="206">
        <f>2-E12</f>
        <v>1.0714285714285712</v>
      </c>
    </row>
    <row r="13" spans="1:14">
      <c r="A13" s="86" t="s">
        <v>538</v>
      </c>
      <c r="B13">
        <f>8*B$5</f>
        <v>12800</v>
      </c>
      <c r="C13">
        <f t="shared" si="2"/>
        <v>11999.999999999996</v>
      </c>
      <c r="D13">
        <f t="shared" si="1"/>
        <v>13600.000000000005</v>
      </c>
      <c r="E13" s="206">
        <f>D12/B13</f>
        <v>0.93749999999999967</v>
      </c>
      <c r="F13" s="206">
        <f>2-E13</f>
        <v>1.0625000000000004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7E91-1E43-2141-9580-F71C5CB8C7E2}">
  <sheetPr>
    <pageSetUpPr fitToPage="1"/>
  </sheetPr>
  <dimension ref="A2:I37"/>
  <sheetViews>
    <sheetView zoomScale="120" zoomScaleNormal="120" workbookViewId="0">
      <selection activeCell="B16" sqref="B16"/>
    </sheetView>
  </sheetViews>
  <sheetFormatPr baseColWidth="10" defaultColWidth="8.83203125" defaultRowHeight="13"/>
  <cols>
    <col min="1" max="1" width="10" style="207" bestFit="1" customWidth="1"/>
    <col min="2" max="2" width="30.83203125" style="207" customWidth="1"/>
    <col min="3" max="3" width="22" style="207" customWidth="1"/>
    <col min="4" max="4" width="21.1640625" style="207" bestFit="1" customWidth="1"/>
    <col min="5" max="5" width="21.1640625" style="207" customWidth="1"/>
    <col min="6" max="6" width="18.83203125" style="207" bestFit="1" customWidth="1"/>
    <col min="7" max="7" width="9" style="207" bestFit="1" customWidth="1"/>
    <col min="8" max="8" width="12" style="207" bestFit="1" customWidth="1"/>
    <col min="9" max="9" width="18.83203125" style="207" bestFit="1" customWidth="1"/>
    <col min="10" max="256" width="8.83203125" style="207"/>
    <col min="257" max="257" width="10" style="207" bestFit="1" customWidth="1"/>
    <col min="258" max="258" width="30.83203125" style="207" customWidth="1"/>
    <col min="259" max="259" width="22" style="207" customWidth="1"/>
    <col min="260" max="260" width="21.1640625" style="207" bestFit="1" customWidth="1"/>
    <col min="261" max="261" width="21.1640625" style="207" customWidth="1"/>
    <col min="262" max="262" width="18.83203125" style="207" bestFit="1" customWidth="1"/>
    <col min="263" max="263" width="9" style="207" bestFit="1" customWidth="1"/>
    <col min="264" max="264" width="12" style="207" bestFit="1" customWidth="1"/>
    <col min="265" max="265" width="18.83203125" style="207" bestFit="1" customWidth="1"/>
    <col min="266" max="512" width="8.83203125" style="207"/>
    <col min="513" max="513" width="10" style="207" bestFit="1" customWidth="1"/>
    <col min="514" max="514" width="30.83203125" style="207" customWidth="1"/>
    <col min="515" max="515" width="22" style="207" customWidth="1"/>
    <col min="516" max="516" width="21.1640625" style="207" bestFit="1" customWidth="1"/>
    <col min="517" max="517" width="21.1640625" style="207" customWidth="1"/>
    <col min="518" max="518" width="18.83203125" style="207" bestFit="1" customWidth="1"/>
    <col min="519" max="519" width="9" style="207" bestFit="1" customWidth="1"/>
    <col min="520" max="520" width="12" style="207" bestFit="1" customWidth="1"/>
    <col min="521" max="521" width="18.83203125" style="207" bestFit="1" customWidth="1"/>
    <col min="522" max="768" width="8.83203125" style="207"/>
    <col min="769" max="769" width="10" style="207" bestFit="1" customWidth="1"/>
    <col min="770" max="770" width="30.83203125" style="207" customWidth="1"/>
    <col min="771" max="771" width="22" style="207" customWidth="1"/>
    <col min="772" max="772" width="21.1640625" style="207" bestFit="1" customWidth="1"/>
    <col min="773" max="773" width="21.1640625" style="207" customWidth="1"/>
    <col min="774" max="774" width="18.83203125" style="207" bestFit="1" customWidth="1"/>
    <col min="775" max="775" width="9" style="207" bestFit="1" customWidth="1"/>
    <col min="776" max="776" width="12" style="207" bestFit="1" customWidth="1"/>
    <col min="777" max="777" width="18.83203125" style="207" bestFit="1" customWidth="1"/>
    <col min="778" max="1024" width="8.83203125" style="207"/>
    <col min="1025" max="1025" width="10" style="207" bestFit="1" customWidth="1"/>
    <col min="1026" max="1026" width="30.83203125" style="207" customWidth="1"/>
    <col min="1027" max="1027" width="22" style="207" customWidth="1"/>
    <col min="1028" max="1028" width="21.1640625" style="207" bestFit="1" customWidth="1"/>
    <col min="1029" max="1029" width="21.1640625" style="207" customWidth="1"/>
    <col min="1030" max="1030" width="18.83203125" style="207" bestFit="1" customWidth="1"/>
    <col min="1031" max="1031" width="9" style="207" bestFit="1" customWidth="1"/>
    <col min="1032" max="1032" width="12" style="207" bestFit="1" customWidth="1"/>
    <col min="1033" max="1033" width="18.83203125" style="207" bestFit="1" customWidth="1"/>
    <col min="1034" max="1280" width="8.83203125" style="207"/>
    <col min="1281" max="1281" width="10" style="207" bestFit="1" customWidth="1"/>
    <col min="1282" max="1282" width="30.83203125" style="207" customWidth="1"/>
    <col min="1283" max="1283" width="22" style="207" customWidth="1"/>
    <col min="1284" max="1284" width="21.1640625" style="207" bestFit="1" customWidth="1"/>
    <col min="1285" max="1285" width="21.1640625" style="207" customWidth="1"/>
    <col min="1286" max="1286" width="18.83203125" style="207" bestFit="1" customWidth="1"/>
    <col min="1287" max="1287" width="9" style="207" bestFit="1" customWidth="1"/>
    <col min="1288" max="1288" width="12" style="207" bestFit="1" customWidth="1"/>
    <col min="1289" max="1289" width="18.83203125" style="207" bestFit="1" customWidth="1"/>
    <col min="1290" max="1536" width="8.83203125" style="207"/>
    <col min="1537" max="1537" width="10" style="207" bestFit="1" customWidth="1"/>
    <col min="1538" max="1538" width="30.83203125" style="207" customWidth="1"/>
    <col min="1539" max="1539" width="22" style="207" customWidth="1"/>
    <col min="1540" max="1540" width="21.1640625" style="207" bestFit="1" customWidth="1"/>
    <col min="1541" max="1541" width="21.1640625" style="207" customWidth="1"/>
    <col min="1542" max="1542" width="18.83203125" style="207" bestFit="1" customWidth="1"/>
    <col min="1543" max="1543" width="9" style="207" bestFit="1" customWidth="1"/>
    <col min="1544" max="1544" width="12" style="207" bestFit="1" customWidth="1"/>
    <col min="1545" max="1545" width="18.83203125" style="207" bestFit="1" customWidth="1"/>
    <col min="1546" max="1792" width="8.83203125" style="207"/>
    <col min="1793" max="1793" width="10" style="207" bestFit="1" customWidth="1"/>
    <col min="1794" max="1794" width="30.83203125" style="207" customWidth="1"/>
    <col min="1795" max="1795" width="22" style="207" customWidth="1"/>
    <col min="1796" max="1796" width="21.1640625" style="207" bestFit="1" customWidth="1"/>
    <col min="1797" max="1797" width="21.1640625" style="207" customWidth="1"/>
    <col min="1798" max="1798" width="18.83203125" style="207" bestFit="1" customWidth="1"/>
    <col min="1799" max="1799" width="9" style="207" bestFit="1" customWidth="1"/>
    <col min="1800" max="1800" width="12" style="207" bestFit="1" customWidth="1"/>
    <col min="1801" max="1801" width="18.83203125" style="207" bestFit="1" customWidth="1"/>
    <col min="1802" max="2048" width="8.83203125" style="207"/>
    <col min="2049" max="2049" width="10" style="207" bestFit="1" customWidth="1"/>
    <col min="2050" max="2050" width="30.83203125" style="207" customWidth="1"/>
    <col min="2051" max="2051" width="22" style="207" customWidth="1"/>
    <col min="2052" max="2052" width="21.1640625" style="207" bestFit="1" customWidth="1"/>
    <col min="2053" max="2053" width="21.1640625" style="207" customWidth="1"/>
    <col min="2054" max="2054" width="18.83203125" style="207" bestFit="1" customWidth="1"/>
    <col min="2055" max="2055" width="9" style="207" bestFit="1" customWidth="1"/>
    <col min="2056" max="2056" width="12" style="207" bestFit="1" customWidth="1"/>
    <col min="2057" max="2057" width="18.83203125" style="207" bestFit="1" customWidth="1"/>
    <col min="2058" max="2304" width="8.83203125" style="207"/>
    <col min="2305" max="2305" width="10" style="207" bestFit="1" customWidth="1"/>
    <col min="2306" max="2306" width="30.83203125" style="207" customWidth="1"/>
    <col min="2307" max="2307" width="22" style="207" customWidth="1"/>
    <col min="2308" max="2308" width="21.1640625" style="207" bestFit="1" customWidth="1"/>
    <col min="2309" max="2309" width="21.1640625" style="207" customWidth="1"/>
    <col min="2310" max="2310" width="18.83203125" style="207" bestFit="1" customWidth="1"/>
    <col min="2311" max="2311" width="9" style="207" bestFit="1" customWidth="1"/>
    <col min="2312" max="2312" width="12" style="207" bestFit="1" customWidth="1"/>
    <col min="2313" max="2313" width="18.83203125" style="207" bestFit="1" customWidth="1"/>
    <col min="2314" max="2560" width="8.83203125" style="207"/>
    <col min="2561" max="2561" width="10" style="207" bestFit="1" customWidth="1"/>
    <col min="2562" max="2562" width="30.83203125" style="207" customWidth="1"/>
    <col min="2563" max="2563" width="22" style="207" customWidth="1"/>
    <col min="2564" max="2564" width="21.1640625" style="207" bestFit="1" customWidth="1"/>
    <col min="2565" max="2565" width="21.1640625" style="207" customWidth="1"/>
    <col min="2566" max="2566" width="18.83203125" style="207" bestFit="1" customWidth="1"/>
    <col min="2567" max="2567" width="9" style="207" bestFit="1" customWidth="1"/>
    <col min="2568" max="2568" width="12" style="207" bestFit="1" customWidth="1"/>
    <col min="2569" max="2569" width="18.83203125" style="207" bestFit="1" customWidth="1"/>
    <col min="2570" max="2816" width="8.83203125" style="207"/>
    <col min="2817" max="2817" width="10" style="207" bestFit="1" customWidth="1"/>
    <col min="2818" max="2818" width="30.83203125" style="207" customWidth="1"/>
    <col min="2819" max="2819" width="22" style="207" customWidth="1"/>
    <col min="2820" max="2820" width="21.1640625" style="207" bestFit="1" customWidth="1"/>
    <col min="2821" max="2821" width="21.1640625" style="207" customWidth="1"/>
    <col min="2822" max="2822" width="18.83203125" style="207" bestFit="1" customWidth="1"/>
    <col min="2823" max="2823" width="9" style="207" bestFit="1" customWidth="1"/>
    <col min="2824" max="2824" width="12" style="207" bestFit="1" customWidth="1"/>
    <col min="2825" max="2825" width="18.83203125" style="207" bestFit="1" customWidth="1"/>
    <col min="2826" max="3072" width="8.83203125" style="207"/>
    <col min="3073" max="3073" width="10" style="207" bestFit="1" customWidth="1"/>
    <col min="3074" max="3074" width="30.83203125" style="207" customWidth="1"/>
    <col min="3075" max="3075" width="22" style="207" customWidth="1"/>
    <col min="3076" max="3076" width="21.1640625" style="207" bestFit="1" customWidth="1"/>
    <col min="3077" max="3077" width="21.1640625" style="207" customWidth="1"/>
    <col min="3078" max="3078" width="18.83203125" style="207" bestFit="1" customWidth="1"/>
    <col min="3079" max="3079" width="9" style="207" bestFit="1" customWidth="1"/>
    <col min="3080" max="3080" width="12" style="207" bestFit="1" customWidth="1"/>
    <col min="3081" max="3081" width="18.83203125" style="207" bestFit="1" customWidth="1"/>
    <col min="3082" max="3328" width="8.83203125" style="207"/>
    <col min="3329" max="3329" width="10" style="207" bestFit="1" customWidth="1"/>
    <col min="3330" max="3330" width="30.83203125" style="207" customWidth="1"/>
    <col min="3331" max="3331" width="22" style="207" customWidth="1"/>
    <col min="3332" max="3332" width="21.1640625" style="207" bestFit="1" customWidth="1"/>
    <col min="3333" max="3333" width="21.1640625" style="207" customWidth="1"/>
    <col min="3334" max="3334" width="18.83203125" style="207" bestFit="1" customWidth="1"/>
    <col min="3335" max="3335" width="9" style="207" bestFit="1" customWidth="1"/>
    <col min="3336" max="3336" width="12" style="207" bestFit="1" customWidth="1"/>
    <col min="3337" max="3337" width="18.83203125" style="207" bestFit="1" customWidth="1"/>
    <col min="3338" max="3584" width="8.83203125" style="207"/>
    <col min="3585" max="3585" width="10" style="207" bestFit="1" customWidth="1"/>
    <col min="3586" max="3586" width="30.83203125" style="207" customWidth="1"/>
    <col min="3587" max="3587" width="22" style="207" customWidth="1"/>
    <col min="3588" max="3588" width="21.1640625" style="207" bestFit="1" customWidth="1"/>
    <col min="3589" max="3589" width="21.1640625" style="207" customWidth="1"/>
    <col min="3590" max="3590" width="18.83203125" style="207" bestFit="1" customWidth="1"/>
    <col min="3591" max="3591" width="9" style="207" bestFit="1" customWidth="1"/>
    <col min="3592" max="3592" width="12" style="207" bestFit="1" customWidth="1"/>
    <col min="3593" max="3593" width="18.83203125" style="207" bestFit="1" customWidth="1"/>
    <col min="3594" max="3840" width="8.83203125" style="207"/>
    <col min="3841" max="3841" width="10" style="207" bestFit="1" customWidth="1"/>
    <col min="3842" max="3842" width="30.83203125" style="207" customWidth="1"/>
    <col min="3843" max="3843" width="22" style="207" customWidth="1"/>
    <col min="3844" max="3844" width="21.1640625" style="207" bestFit="1" customWidth="1"/>
    <col min="3845" max="3845" width="21.1640625" style="207" customWidth="1"/>
    <col min="3846" max="3846" width="18.83203125" style="207" bestFit="1" customWidth="1"/>
    <col min="3847" max="3847" width="9" style="207" bestFit="1" customWidth="1"/>
    <col min="3848" max="3848" width="12" style="207" bestFit="1" customWidth="1"/>
    <col min="3849" max="3849" width="18.83203125" style="207" bestFit="1" customWidth="1"/>
    <col min="3850" max="4096" width="8.83203125" style="207"/>
    <col min="4097" max="4097" width="10" style="207" bestFit="1" customWidth="1"/>
    <col min="4098" max="4098" width="30.83203125" style="207" customWidth="1"/>
    <col min="4099" max="4099" width="22" style="207" customWidth="1"/>
    <col min="4100" max="4100" width="21.1640625" style="207" bestFit="1" customWidth="1"/>
    <col min="4101" max="4101" width="21.1640625" style="207" customWidth="1"/>
    <col min="4102" max="4102" width="18.83203125" style="207" bestFit="1" customWidth="1"/>
    <col min="4103" max="4103" width="9" style="207" bestFit="1" customWidth="1"/>
    <col min="4104" max="4104" width="12" style="207" bestFit="1" customWidth="1"/>
    <col min="4105" max="4105" width="18.83203125" style="207" bestFit="1" customWidth="1"/>
    <col min="4106" max="4352" width="8.83203125" style="207"/>
    <col min="4353" max="4353" width="10" style="207" bestFit="1" customWidth="1"/>
    <col min="4354" max="4354" width="30.83203125" style="207" customWidth="1"/>
    <col min="4355" max="4355" width="22" style="207" customWidth="1"/>
    <col min="4356" max="4356" width="21.1640625" style="207" bestFit="1" customWidth="1"/>
    <col min="4357" max="4357" width="21.1640625" style="207" customWidth="1"/>
    <col min="4358" max="4358" width="18.83203125" style="207" bestFit="1" customWidth="1"/>
    <col min="4359" max="4359" width="9" style="207" bestFit="1" customWidth="1"/>
    <col min="4360" max="4360" width="12" style="207" bestFit="1" customWidth="1"/>
    <col min="4361" max="4361" width="18.83203125" style="207" bestFit="1" customWidth="1"/>
    <col min="4362" max="4608" width="8.83203125" style="207"/>
    <col min="4609" max="4609" width="10" style="207" bestFit="1" customWidth="1"/>
    <col min="4610" max="4610" width="30.83203125" style="207" customWidth="1"/>
    <col min="4611" max="4611" width="22" style="207" customWidth="1"/>
    <col min="4612" max="4612" width="21.1640625" style="207" bestFit="1" customWidth="1"/>
    <col min="4613" max="4613" width="21.1640625" style="207" customWidth="1"/>
    <col min="4614" max="4614" width="18.83203125" style="207" bestFit="1" customWidth="1"/>
    <col min="4615" max="4615" width="9" style="207" bestFit="1" customWidth="1"/>
    <col min="4616" max="4616" width="12" style="207" bestFit="1" customWidth="1"/>
    <col min="4617" max="4617" width="18.83203125" style="207" bestFit="1" customWidth="1"/>
    <col min="4618" max="4864" width="8.83203125" style="207"/>
    <col min="4865" max="4865" width="10" style="207" bestFit="1" customWidth="1"/>
    <col min="4866" max="4866" width="30.83203125" style="207" customWidth="1"/>
    <col min="4867" max="4867" width="22" style="207" customWidth="1"/>
    <col min="4868" max="4868" width="21.1640625" style="207" bestFit="1" customWidth="1"/>
    <col min="4869" max="4869" width="21.1640625" style="207" customWidth="1"/>
    <col min="4870" max="4870" width="18.83203125" style="207" bestFit="1" customWidth="1"/>
    <col min="4871" max="4871" width="9" style="207" bestFit="1" customWidth="1"/>
    <col min="4872" max="4872" width="12" style="207" bestFit="1" customWidth="1"/>
    <col min="4873" max="4873" width="18.83203125" style="207" bestFit="1" customWidth="1"/>
    <col min="4874" max="5120" width="8.83203125" style="207"/>
    <col min="5121" max="5121" width="10" style="207" bestFit="1" customWidth="1"/>
    <col min="5122" max="5122" width="30.83203125" style="207" customWidth="1"/>
    <col min="5123" max="5123" width="22" style="207" customWidth="1"/>
    <col min="5124" max="5124" width="21.1640625" style="207" bestFit="1" customWidth="1"/>
    <col min="5125" max="5125" width="21.1640625" style="207" customWidth="1"/>
    <col min="5126" max="5126" width="18.83203125" style="207" bestFit="1" customWidth="1"/>
    <col min="5127" max="5127" width="9" style="207" bestFit="1" customWidth="1"/>
    <col min="5128" max="5128" width="12" style="207" bestFit="1" customWidth="1"/>
    <col min="5129" max="5129" width="18.83203125" style="207" bestFit="1" customWidth="1"/>
    <col min="5130" max="5376" width="8.83203125" style="207"/>
    <col min="5377" max="5377" width="10" style="207" bestFit="1" customWidth="1"/>
    <col min="5378" max="5378" width="30.83203125" style="207" customWidth="1"/>
    <col min="5379" max="5379" width="22" style="207" customWidth="1"/>
    <col min="5380" max="5380" width="21.1640625" style="207" bestFit="1" customWidth="1"/>
    <col min="5381" max="5381" width="21.1640625" style="207" customWidth="1"/>
    <col min="5382" max="5382" width="18.83203125" style="207" bestFit="1" customWidth="1"/>
    <col min="5383" max="5383" width="9" style="207" bestFit="1" customWidth="1"/>
    <col min="5384" max="5384" width="12" style="207" bestFit="1" customWidth="1"/>
    <col min="5385" max="5385" width="18.83203125" style="207" bestFit="1" customWidth="1"/>
    <col min="5386" max="5632" width="8.83203125" style="207"/>
    <col min="5633" max="5633" width="10" style="207" bestFit="1" customWidth="1"/>
    <col min="5634" max="5634" width="30.83203125" style="207" customWidth="1"/>
    <col min="5635" max="5635" width="22" style="207" customWidth="1"/>
    <col min="5636" max="5636" width="21.1640625" style="207" bestFit="1" customWidth="1"/>
    <col min="5637" max="5637" width="21.1640625" style="207" customWidth="1"/>
    <col min="5638" max="5638" width="18.83203125" style="207" bestFit="1" customWidth="1"/>
    <col min="5639" max="5639" width="9" style="207" bestFit="1" customWidth="1"/>
    <col min="5640" max="5640" width="12" style="207" bestFit="1" customWidth="1"/>
    <col min="5641" max="5641" width="18.83203125" style="207" bestFit="1" customWidth="1"/>
    <col min="5642" max="5888" width="8.83203125" style="207"/>
    <col min="5889" max="5889" width="10" style="207" bestFit="1" customWidth="1"/>
    <col min="5890" max="5890" width="30.83203125" style="207" customWidth="1"/>
    <col min="5891" max="5891" width="22" style="207" customWidth="1"/>
    <col min="5892" max="5892" width="21.1640625" style="207" bestFit="1" customWidth="1"/>
    <col min="5893" max="5893" width="21.1640625" style="207" customWidth="1"/>
    <col min="5894" max="5894" width="18.83203125" style="207" bestFit="1" customWidth="1"/>
    <col min="5895" max="5895" width="9" style="207" bestFit="1" customWidth="1"/>
    <col min="5896" max="5896" width="12" style="207" bestFit="1" customWidth="1"/>
    <col min="5897" max="5897" width="18.83203125" style="207" bestFit="1" customWidth="1"/>
    <col min="5898" max="6144" width="8.83203125" style="207"/>
    <col min="6145" max="6145" width="10" style="207" bestFit="1" customWidth="1"/>
    <col min="6146" max="6146" width="30.83203125" style="207" customWidth="1"/>
    <col min="6147" max="6147" width="22" style="207" customWidth="1"/>
    <col min="6148" max="6148" width="21.1640625" style="207" bestFit="1" customWidth="1"/>
    <col min="6149" max="6149" width="21.1640625" style="207" customWidth="1"/>
    <col min="6150" max="6150" width="18.83203125" style="207" bestFit="1" customWidth="1"/>
    <col min="6151" max="6151" width="9" style="207" bestFit="1" customWidth="1"/>
    <col min="6152" max="6152" width="12" style="207" bestFit="1" customWidth="1"/>
    <col min="6153" max="6153" width="18.83203125" style="207" bestFit="1" customWidth="1"/>
    <col min="6154" max="6400" width="8.83203125" style="207"/>
    <col min="6401" max="6401" width="10" style="207" bestFit="1" customWidth="1"/>
    <col min="6402" max="6402" width="30.83203125" style="207" customWidth="1"/>
    <col min="6403" max="6403" width="22" style="207" customWidth="1"/>
    <col min="6404" max="6404" width="21.1640625" style="207" bestFit="1" customWidth="1"/>
    <col min="6405" max="6405" width="21.1640625" style="207" customWidth="1"/>
    <col min="6406" max="6406" width="18.83203125" style="207" bestFit="1" customWidth="1"/>
    <col min="6407" max="6407" width="9" style="207" bestFit="1" customWidth="1"/>
    <col min="6408" max="6408" width="12" style="207" bestFit="1" customWidth="1"/>
    <col min="6409" max="6409" width="18.83203125" style="207" bestFit="1" customWidth="1"/>
    <col min="6410" max="6656" width="8.83203125" style="207"/>
    <col min="6657" max="6657" width="10" style="207" bestFit="1" customWidth="1"/>
    <col min="6658" max="6658" width="30.83203125" style="207" customWidth="1"/>
    <col min="6659" max="6659" width="22" style="207" customWidth="1"/>
    <col min="6660" max="6660" width="21.1640625" style="207" bestFit="1" customWidth="1"/>
    <col min="6661" max="6661" width="21.1640625" style="207" customWidth="1"/>
    <col min="6662" max="6662" width="18.83203125" style="207" bestFit="1" customWidth="1"/>
    <col min="6663" max="6663" width="9" style="207" bestFit="1" customWidth="1"/>
    <col min="6664" max="6664" width="12" style="207" bestFit="1" customWidth="1"/>
    <col min="6665" max="6665" width="18.83203125" style="207" bestFit="1" customWidth="1"/>
    <col min="6666" max="6912" width="8.83203125" style="207"/>
    <col min="6913" max="6913" width="10" style="207" bestFit="1" customWidth="1"/>
    <col min="6914" max="6914" width="30.83203125" style="207" customWidth="1"/>
    <col min="6915" max="6915" width="22" style="207" customWidth="1"/>
    <col min="6916" max="6916" width="21.1640625" style="207" bestFit="1" customWidth="1"/>
    <col min="6917" max="6917" width="21.1640625" style="207" customWidth="1"/>
    <col min="6918" max="6918" width="18.83203125" style="207" bestFit="1" customWidth="1"/>
    <col min="6919" max="6919" width="9" style="207" bestFit="1" customWidth="1"/>
    <col min="6920" max="6920" width="12" style="207" bestFit="1" customWidth="1"/>
    <col min="6921" max="6921" width="18.83203125" style="207" bestFit="1" customWidth="1"/>
    <col min="6922" max="7168" width="8.83203125" style="207"/>
    <col min="7169" max="7169" width="10" style="207" bestFit="1" customWidth="1"/>
    <col min="7170" max="7170" width="30.83203125" style="207" customWidth="1"/>
    <col min="7171" max="7171" width="22" style="207" customWidth="1"/>
    <col min="7172" max="7172" width="21.1640625" style="207" bestFit="1" customWidth="1"/>
    <col min="7173" max="7173" width="21.1640625" style="207" customWidth="1"/>
    <col min="7174" max="7174" width="18.83203125" style="207" bestFit="1" customWidth="1"/>
    <col min="7175" max="7175" width="9" style="207" bestFit="1" customWidth="1"/>
    <col min="7176" max="7176" width="12" style="207" bestFit="1" customWidth="1"/>
    <col min="7177" max="7177" width="18.83203125" style="207" bestFit="1" customWidth="1"/>
    <col min="7178" max="7424" width="8.83203125" style="207"/>
    <col min="7425" max="7425" width="10" style="207" bestFit="1" customWidth="1"/>
    <col min="7426" max="7426" width="30.83203125" style="207" customWidth="1"/>
    <col min="7427" max="7427" width="22" style="207" customWidth="1"/>
    <col min="7428" max="7428" width="21.1640625" style="207" bestFit="1" customWidth="1"/>
    <col min="7429" max="7429" width="21.1640625" style="207" customWidth="1"/>
    <col min="7430" max="7430" width="18.83203125" style="207" bestFit="1" customWidth="1"/>
    <col min="7431" max="7431" width="9" style="207" bestFit="1" customWidth="1"/>
    <col min="7432" max="7432" width="12" style="207" bestFit="1" customWidth="1"/>
    <col min="7433" max="7433" width="18.83203125" style="207" bestFit="1" customWidth="1"/>
    <col min="7434" max="7680" width="8.83203125" style="207"/>
    <col min="7681" max="7681" width="10" style="207" bestFit="1" customWidth="1"/>
    <col min="7682" max="7682" width="30.83203125" style="207" customWidth="1"/>
    <col min="7683" max="7683" width="22" style="207" customWidth="1"/>
    <col min="7684" max="7684" width="21.1640625" style="207" bestFit="1" customWidth="1"/>
    <col min="7685" max="7685" width="21.1640625" style="207" customWidth="1"/>
    <col min="7686" max="7686" width="18.83203125" style="207" bestFit="1" customWidth="1"/>
    <col min="7687" max="7687" width="9" style="207" bestFit="1" customWidth="1"/>
    <col min="7688" max="7688" width="12" style="207" bestFit="1" customWidth="1"/>
    <col min="7689" max="7689" width="18.83203125" style="207" bestFit="1" customWidth="1"/>
    <col min="7690" max="7936" width="8.83203125" style="207"/>
    <col min="7937" max="7937" width="10" style="207" bestFit="1" customWidth="1"/>
    <col min="7938" max="7938" width="30.83203125" style="207" customWidth="1"/>
    <col min="7939" max="7939" width="22" style="207" customWidth="1"/>
    <col min="7940" max="7940" width="21.1640625" style="207" bestFit="1" customWidth="1"/>
    <col min="7941" max="7941" width="21.1640625" style="207" customWidth="1"/>
    <col min="7942" max="7942" width="18.83203125" style="207" bestFit="1" customWidth="1"/>
    <col min="7943" max="7943" width="9" style="207" bestFit="1" customWidth="1"/>
    <col min="7944" max="7944" width="12" style="207" bestFit="1" customWidth="1"/>
    <col min="7945" max="7945" width="18.83203125" style="207" bestFit="1" customWidth="1"/>
    <col min="7946" max="8192" width="8.83203125" style="207"/>
    <col min="8193" max="8193" width="10" style="207" bestFit="1" customWidth="1"/>
    <col min="8194" max="8194" width="30.83203125" style="207" customWidth="1"/>
    <col min="8195" max="8195" width="22" style="207" customWidth="1"/>
    <col min="8196" max="8196" width="21.1640625" style="207" bestFit="1" customWidth="1"/>
    <col min="8197" max="8197" width="21.1640625" style="207" customWidth="1"/>
    <col min="8198" max="8198" width="18.83203125" style="207" bestFit="1" customWidth="1"/>
    <col min="8199" max="8199" width="9" style="207" bestFit="1" customWidth="1"/>
    <col min="8200" max="8200" width="12" style="207" bestFit="1" customWidth="1"/>
    <col min="8201" max="8201" width="18.83203125" style="207" bestFit="1" customWidth="1"/>
    <col min="8202" max="8448" width="8.83203125" style="207"/>
    <col min="8449" max="8449" width="10" style="207" bestFit="1" customWidth="1"/>
    <col min="8450" max="8450" width="30.83203125" style="207" customWidth="1"/>
    <col min="8451" max="8451" width="22" style="207" customWidth="1"/>
    <col min="8452" max="8452" width="21.1640625" style="207" bestFit="1" customWidth="1"/>
    <col min="8453" max="8453" width="21.1640625" style="207" customWidth="1"/>
    <col min="8454" max="8454" width="18.83203125" style="207" bestFit="1" customWidth="1"/>
    <col min="8455" max="8455" width="9" style="207" bestFit="1" customWidth="1"/>
    <col min="8456" max="8456" width="12" style="207" bestFit="1" customWidth="1"/>
    <col min="8457" max="8457" width="18.83203125" style="207" bestFit="1" customWidth="1"/>
    <col min="8458" max="8704" width="8.83203125" style="207"/>
    <col min="8705" max="8705" width="10" style="207" bestFit="1" customWidth="1"/>
    <col min="8706" max="8706" width="30.83203125" style="207" customWidth="1"/>
    <col min="8707" max="8707" width="22" style="207" customWidth="1"/>
    <col min="8708" max="8708" width="21.1640625" style="207" bestFit="1" customWidth="1"/>
    <col min="8709" max="8709" width="21.1640625" style="207" customWidth="1"/>
    <col min="8710" max="8710" width="18.83203125" style="207" bestFit="1" customWidth="1"/>
    <col min="8711" max="8711" width="9" style="207" bestFit="1" customWidth="1"/>
    <col min="8712" max="8712" width="12" style="207" bestFit="1" customWidth="1"/>
    <col min="8713" max="8713" width="18.83203125" style="207" bestFit="1" customWidth="1"/>
    <col min="8714" max="8960" width="8.83203125" style="207"/>
    <col min="8961" max="8961" width="10" style="207" bestFit="1" customWidth="1"/>
    <col min="8962" max="8962" width="30.83203125" style="207" customWidth="1"/>
    <col min="8963" max="8963" width="22" style="207" customWidth="1"/>
    <col min="8964" max="8964" width="21.1640625" style="207" bestFit="1" customWidth="1"/>
    <col min="8965" max="8965" width="21.1640625" style="207" customWidth="1"/>
    <col min="8966" max="8966" width="18.83203125" style="207" bestFit="1" customWidth="1"/>
    <col min="8967" max="8967" width="9" style="207" bestFit="1" customWidth="1"/>
    <col min="8968" max="8968" width="12" style="207" bestFit="1" customWidth="1"/>
    <col min="8969" max="8969" width="18.83203125" style="207" bestFit="1" customWidth="1"/>
    <col min="8970" max="9216" width="8.83203125" style="207"/>
    <col min="9217" max="9217" width="10" style="207" bestFit="1" customWidth="1"/>
    <col min="9218" max="9218" width="30.83203125" style="207" customWidth="1"/>
    <col min="9219" max="9219" width="22" style="207" customWidth="1"/>
    <col min="9220" max="9220" width="21.1640625" style="207" bestFit="1" customWidth="1"/>
    <col min="9221" max="9221" width="21.1640625" style="207" customWidth="1"/>
    <col min="9222" max="9222" width="18.83203125" style="207" bestFit="1" customWidth="1"/>
    <col min="9223" max="9223" width="9" style="207" bestFit="1" customWidth="1"/>
    <col min="9224" max="9224" width="12" style="207" bestFit="1" customWidth="1"/>
    <col min="9225" max="9225" width="18.83203125" style="207" bestFit="1" customWidth="1"/>
    <col min="9226" max="9472" width="8.83203125" style="207"/>
    <col min="9473" max="9473" width="10" style="207" bestFit="1" customWidth="1"/>
    <col min="9474" max="9474" width="30.83203125" style="207" customWidth="1"/>
    <col min="9475" max="9475" width="22" style="207" customWidth="1"/>
    <col min="9476" max="9476" width="21.1640625" style="207" bestFit="1" customWidth="1"/>
    <col min="9477" max="9477" width="21.1640625" style="207" customWidth="1"/>
    <col min="9478" max="9478" width="18.83203125" style="207" bestFit="1" customWidth="1"/>
    <col min="9479" max="9479" width="9" style="207" bestFit="1" customWidth="1"/>
    <col min="9480" max="9480" width="12" style="207" bestFit="1" customWidth="1"/>
    <col min="9481" max="9481" width="18.83203125" style="207" bestFit="1" customWidth="1"/>
    <col min="9482" max="9728" width="8.83203125" style="207"/>
    <col min="9729" max="9729" width="10" style="207" bestFit="1" customWidth="1"/>
    <col min="9730" max="9730" width="30.83203125" style="207" customWidth="1"/>
    <col min="9731" max="9731" width="22" style="207" customWidth="1"/>
    <col min="9732" max="9732" width="21.1640625" style="207" bestFit="1" customWidth="1"/>
    <col min="9733" max="9733" width="21.1640625" style="207" customWidth="1"/>
    <col min="9734" max="9734" width="18.83203125" style="207" bestFit="1" customWidth="1"/>
    <col min="9735" max="9735" width="9" style="207" bestFit="1" customWidth="1"/>
    <col min="9736" max="9736" width="12" style="207" bestFit="1" customWidth="1"/>
    <col min="9737" max="9737" width="18.83203125" style="207" bestFit="1" customWidth="1"/>
    <col min="9738" max="9984" width="8.83203125" style="207"/>
    <col min="9985" max="9985" width="10" style="207" bestFit="1" customWidth="1"/>
    <col min="9986" max="9986" width="30.83203125" style="207" customWidth="1"/>
    <col min="9987" max="9987" width="22" style="207" customWidth="1"/>
    <col min="9988" max="9988" width="21.1640625" style="207" bestFit="1" customWidth="1"/>
    <col min="9989" max="9989" width="21.1640625" style="207" customWidth="1"/>
    <col min="9990" max="9990" width="18.83203125" style="207" bestFit="1" customWidth="1"/>
    <col min="9991" max="9991" width="9" style="207" bestFit="1" customWidth="1"/>
    <col min="9992" max="9992" width="12" style="207" bestFit="1" customWidth="1"/>
    <col min="9993" max="9993" width="18.83203125" style="207" bestFit="1" customWidth="1"/>
    <col min="9994" max="10240" width="8.83203125" style="207"/>
    <col min="10241" max="10241" width="10" style="207" bestFit="1" customWidth="1"/>
    <col min="10242" max="10242" width="30.83203125" style="207" customWidth="1"/>
    <col min="10243" max="10243" width="22" style="207" customWidth="1"/>
    <col min="10244" max="10244" width="21.1640625" style="207" bestFit="1" customWidth="1"/>
    <col min="10245" max="10245" width="21.1640625" style="207" customWidth="1"/>
    <col min="10246" max="10246" width="18.83203125" style="207" bestFit="1" customWidth="1"/>
    <col min="10247" max="10247" width="9" style="207" bestFit="1" customWidth="1"/>
    <col min="10248" max="10248" width="12" style="207" bestFit="1" customWidth="1"/>
    <col min="10249" max="10249" width="18.83203125" style="207" bestFit="1" customWidth="1"/>
    <col min="10250" max="10496" width="8.83203125" style="207"/>
    <col min="10497" max="10497" width="10" style="207" bestFit="1" customWidth="1"/>
    <col min="10498" max="10498" width="30.83203125" style="207" customWidth="1"/>
    <col min="10499" max="10499" width="22" style="207" customWidth="1"/>
    <col min="10500" max="10500" width="21.1640625" style="207" bestFit="1" customWidth="1"/>
    <col min="10501" max="10501" width="21.1640625" style="207" customWidth="1"/>
    <col min="10502" max="10502" width="18.83203125" style="207" bestFit="1" customWidth="1"/>
    <col min="10503" max="10503" width="9" style="207" bestFit="1" customWidth="1"/>
    <col min="10504" max="10504" width="12" style="207" bestFit="1" customWidth="1"/>
    <col min="10505" max="10505" width="18.83203125" style="207" bestFit="1" customWidth="1"/>
    <col min="10506" max="10752" width="8.83203125" style="207"/>
    <col min="10753" max="10753" width="10" style="207" bestFit="1" customWidth="1"/>
    <col min="10754" max="10754" width="30.83203125" style="207" customWidth="1"/>
    <col min="10755" max="10755" width="22" style="207" customWidth="1"/>
    <col min="10756" max="10756" width="21.1640625" style="207" bestFit="1" customWidth="1"/>
    <col min="10757" max="10757" width="21.1640625" style="207" customWidth="1"/>
    <col min="10758" max="10758" width="18.83203125" style="207" bestFit="1" customWidth="1"/>
    <col min="10759" max="10759" width="9" style="207" bestFit="1" customWidth="1"/>
    <col min="10760" max="10760" width="12" style="207" bestFit="1" customWidth="1"/>
    <col min="10761" max="10761" width="18.83203125" style="207" bestFit="1" customWidth="1"/>
    <col min="10762" max="11008" width="8.83203125" style="207"/>
    <col min="11009" max="11009" width="10" style="207" bestFit="1" customWidth="1"/>
    <col min="11010" max="11010" width="30.83203125" style="207" customWidth="1"/>
    <col min="11011" max="11011" width="22" style="207" customWidth="1"/>
    <col min="11012" max="11012" width="21.1640625" style="207" bestFit="1" customWidth="1"/>
    <col min="11013" max="11013" width="21.1640625" style="207" customWidth="1"/>
    <col min="11014" max="11014" width="18.83203125" style="207" bestFit="1" customWidth="1"/>
    <col min="11015" max="11015" width="9" style="207" bestFit="1" customWidth="1"/>
    <col min="11016" max="11016" width="12" style="207" bestFit="1" customWidth="1"/>
    <col min="11017" max="11017" width="18.83203125" style="207" bestFit="1" customWidth="1"/>
    <col min="11018" max="11264" width="8.83203125" style="207"/>
    <col min="11265" max="11265" width="10" style="207" bestFit="1" customWidth="1"/>
    <col min="11266" max="11266" width="30.83203125" style="207" customWidth="1"/>
    <col min="11267" max="11267" width="22" style="207" customWidth="1"/>
    <col min="11268" max="11268" width="21.1640625" style="207" bestFit="1" customWidth="1"/>
    <col min="11269" max="11269" width="21.1640625" style="207" customWidth="1"/>
    <col min="11270" max="11270" width="18.83203125" style="207" bestFit="1" customWidth="1"/>
    <col min="11271" max="11271" width="9" style="207" bestFit="1" customWidth="1"/>
    <col min="11272" max="11272" width="12" style="207" bestFit="1" customWidth="1"/>
    <col min="11273" max="11273" width="18.83203125" style="207" bestFit="1" customWidth="1"/>
    <col min="11274" max="11520" width="8.83203125" style="207"/>
    <col min="11521" max="11521" width="10" style="207" bestFit="1" customWidth="1"/>
    <col min="11522" max="11522" width="30.83203125" style="207" customWidth="1"/>
    <col min="11523" max="11523" width="22" style="207" customWidth="1"/>
    <col min="11524" max="11524" width="21.1640625" style="207" bestFit="1" customWidth="1"/>
    <col min="11525" max="11525" width="21.1640625" style="207" customWidth="1"/>
    <col min="11526" max="11526" width="18.83203125" style="207" bestFit="1" customWidth="1"/>
    <col min="11527" max="11527" width="9" style="207" bestFit="1" customWidth="1"/>
    <col min="11528" max="11528" width="12" style="207" bestFit="1" customWidth="1"/>
    <col min="11529" max="11529" width="18.83203125" style="207" bestFit="1" customWidth="1"/>
    <col min="11530" max="11776" width="8.83203125" style="207"/>
    <col min="11777" max="11777" width="10" style="207" bestFit="1" customWidth="1"/>
    <col min="11778" max="11778" width="30.83203125" style="207" customWidth="1"/>
    <col min="11779" max="11779" width="22" style="207" customWidth="1"/>
    <col min="11780" max="11780" width="21.1640625" style="207" bestFit="1" customWidth="1"/>
    <col min="11781" max="11781" width="21.1640625" style="207" customWidth="1"/>
    <col min="11782" max="11782" width="18.83203125" style="207" bestFit="1" customWidth="1"/>
    <col min="11783" max="11783" width="9" style="207" bestFit="1" customWidth="1"/>
    <col min="11784" max="11784" width="12" style="207" bestFit="1" customWidth="1"/>
    <col min="11785" max="11785" width="18.83203125" style="207" bestFit="1" customWidth="1"/>
    <col min="11786" max="12032" width="8.83203125" style="207"/>
    <col min="12033" max="12033" width="10" style="207" bestFit="1" customWidth="1"/>
    <col min="12034" max="12034" width="30.83203125" style="207" customWidth="1"/>
    <col min="12035" max="12035" width="22" style="207" customWidth="1"/>
    <col min="12036" max="12036" width="21.1640625" style="207" bestFit="1" customWidth="1"/>
    <col min="12037" max="12037" width="21.1640625" style="207" customWidth="1"/>
    <col min="12038" max="12038" width="18.83203125" style="207" bestFit="1" customWidth="1"/>
    <col min="12039" max="12039" width="9" style="207" bestFit="1" customWidth="1"/>
    <col min="12040" max="12040" width="12" style="207" bestFit="1" customWidth="1"/>
    <col min="12041" max="12041" width="18.83203125" style="207" bestFit="1" customWidth="1"/>
    <col min="12042" max="12288" width="8.83203125" style="207"/>
    <col min="12289" max="12289" width="10" style="207" bestFit="1" customWidth="1"/>
    <col min="12290" max="12290" width="30.83203125" style="207" customWidth="1"/>
    <col min="12291" max="12291" width="22" style="207" customWidth="1"/>
    <col min="12292" max="12292" width="21.1640625" style="207" bestFit="1" customWidth="1"/>
    <col min="12293" max="12293" width="21.1640625" style="207" customWidth="1"/>
    <col min="12294" max="12294" width="18.83203125" style="207" bestFit="1" customWidth="1"/>
    <col min="12295" max="12295" width="9" style="207" bestFit="1" customWidth="1"/>
    <col min="12296" max="12296" width="12" style="207" bestFit="1" customWidth="1"/>
    <col min="12297" max="12297" width="18.83203125" style="207" bestFit="1" customWidth="1"/>
    <col min="12298" max="12544" width="8.83203125" style="207"/>
    <col min="12545" max="12545" width="10" style="207" bestFit="1" customWidth="1"/>
    <col min="12546" max="12546" width="30.83203125" style="207" customWidth="1"/>
    <col min="12547" max="12547" width="22" style="207" customWidth="1"/>
    <col min="12548" max="12548" width="21.1640625" style="207" bestFit="1" customWidth="1"/>
    <col min="12549" max="12549" width="21.1640625" style="207" customWidth="1"/>
    <col min="12550" max="12550" width="18.83203125" style="207" bestFit="1" customWidth="1"/>
    <col min="12551" max="12551" width="9" style="207" bestFit="1" customWidth="1"/>
    <col min="12552" max="12552" width="12" style="207" bestFit="1" customWidth="1"/>
    <col min="12553" max="12553" width="18.83203125" style="207" bestFit="1" customWidth="1"/>
    <col min="12554" max="12800" width="8.83203125" style="207"/>
    <col min="12801" max="12801" width="10" style="207" bestFit="1" customWidth="1"/>
    <col min="12802" max="12802" width="30.83203125" style="207" customWidth="1"/>
    <col min="12803" max="12803" width="22" style="207" customWidth="1"/>
    <col min="12804" max="12804" width="21.1640625" style="207" bestFit="1" customWidth="1"/>
    <col min="12805" max="12805" width="21.1640625" style="207" customWidth="1"/>
    <col min="12806" max="12806" width="18.83203125" style="207" bestFit="1" customWidth="1"/>
    <col min="12807" max="12807" width="9" style="207" bestFit="1" customWidth="1"/>
    <col min="12808" max="12808" width="12" style="207" bestFit="1" customWidth="1"/>
    <col min="12809" max="12809" width="18.83203125" style="207" bestFit="1" customWidth="1"/>
    <col min="12810" max="13056" width="8.83203125" style="207"/>
    <col min="13057" max="13057" width="10" style="207" bestFit="1" customWidth="1"/>
    <col min="13058" max="13058" width="30.83203125" style="207" customWidth="1"/>
    <col min="13059" max="13059" width="22" style="207" customWidth="1"/>
    <col min="13060" max="13060" width="21.1640625" style="207" bestFit="1" customWidth="1"/>
    <col min="13061" max="13061" width="21.1640625" style="207" customWidth="1"/>
    <col min="13062" max="13062" width="18.83203125" style="207" bestFit="1" customWidth="1"/>
    <col min="13063" max="13063" width="9" style="207" bestFit="1" customWidth="1"/>
    <col min="13064" max="13064" width="12" style="207" bestFit="1" customWidth="1"/>
    <col min="13065" max="13065" width="18.83203125" style="207" bestFit="1" customWidth="1"/>
    <col min="13066" max="13312" width="8.83203125" style="207"/>
    <col min="13313" max="13313" width="10" style="207" bestFit="1" customWidth="1"/>
    <col min="13314" max="13314" width="30.83203125" style="207" customWidth="1"/>
    <col min="13315" max="13315" width="22" style="207" customWidth="1"/>
    <col min="13316" max="13316" width="21.1640625" style="207" bestFit="1" customWidth="1"/>
    <col min="13317" max="13317" width="21.1640625" style="207" customWidth="1"/>
    <col min="13318" max="13318" width="18.83203125" style="207" bestFit="1" customWidth="1"/>
    <col min="13319" max="13319" width="9" style="207" bestFit="1" customWidth="1"/>
    <col min="13320" max="13320" width="12" style="207" bestFit="1" customWidth="1"/>
    <col min="13321" max="13321" width="18.83203125" style="207" bestFit="1" customWidth="1"/>
    <col min="13322" max="13568" width="8.83203125" style="207"/>
    <col min="13569" max="13569" width="10" style="207" bestFit="1" customWidth="1"/>
    <col min="13570" max="13570" width="30.83203125" style="207" customWidth="1"/>
    <col min="13571" max="13571" width="22" style="207" customWidth="1"/>
    <col min="13572" max="13572" width="21.1640625" style="207" bestFit="1" customWidth="1"/>
    <col min="13573" max="13573" width="21.1640625" style="207" customWidth="1"/>
    <col min="13574" max="13574" width="18.83203125" style="207" bestFit="1" customWidth="1"/>
    <col min="13575" max="13575" width="9" style="207" bestFit="1" customWidth="1"/>
    <col min="13576" max="13576" width="12" style="207" bestFit="1" customWidth="1"/>
    <col min="13577" max="13577" width="18.83203125" style="207" bestFit="1" customWidth="1"/>
    <col min="13578" max="13824" width="8.83203125" style="207"/>
    <col min="13825" max="13825" width="10" style="207" bestFit="1" customWidth="1"/>
    <col min="13826" max="13826" width="30.83203125" style="207" customWidth="1"/>
    <col min="13827" max="13827" width="22" style="207" customWidth="1"/>
    <col min="13828" max="13828" width="21.1640625" style="207" bestFit="1" customWidth="1"/>
    <col min="13829" max="13829" width="21.1640625" style="207" customWidth="1"/>
    <col min="13830" max="13830" width="18.83203125" style="207" bestFit="1" customWidth="1"/>
    <col min="13831" max="13831" width="9" style="207" bestFit="1" customWidth="1"/>
    <col min="13832" max="13832" width="12" style="207" bestFit="1" customWidth="1"/>
    <col min="13833" max="13833" width="18.83203125" style="207" bestFit="1" customWidth="1"/>
    <col min="13834" max="14080" width="8.83203125" style="207"/>
    <col min="14081" max="14081" width="10" style="207" bestFit="1" customWidth="1"/>
    <col min="14082" max="14082" width="30.83203125" style="207" customWidth="1"/>
    <col min="14083" max="14083" width="22" style="207" customWidth="1"/>
    <col min="14084" max="14084" width="21.1640625" style="207" bestFit="1" customWidth="1"/>
    <col min="14085" max="14085" width="21.1640625" style="207" customWidth="1"/>
    <col min="14086" max="14086" width="18.83203125" style="207" bestFit="1" customWidth="1"/>
    <col min="14087" max="14087" width="9" style="207" bestFit="1" customWidth="1"/>
    <col min="14088" max="14088" width="12" style="207" bestFit="1" customWidth="1"/>
    <col min="14089" max="14089" width="18.83203125" style="207" bestFit="1" customWidth="1"/>
    <col min="14090" max="14336" width="8.83203125" style="207"/>
    <col min="14337" max="14337" width="10" style="207" bestFit="1" customWidth="1"/>
    <col min="14338" max="14338" width="30.83203125" style="207" customWidth="1"/>
    <col min="14339" max="14339" width="22" style="207" customWidth="1"/>
    <col min="14340" max="14340" width="21.1640625" style="207" bestFit="1" customWidth="1"/>
    <col min="14341" max="14341" width="21.1640625" style="207" customWidth="1"/>
    <col min="14342" max="14342" width="18.83203125" style="207" bestFit="1" customWidth="1"/>
    <col min="14343" max="14343" width="9" style="207" bestFit="1" customWidth="1"/>
    <col min="14344" max="14344" width="12" style="207" bestFit="1" customWidth="1"/>
    <col min="14345" max="14345" width="18.83203125" style="207" bestFit="1" customWidth="1"/>
    <col min="14346" max="14592" width="8.83203125" style="207"/>
    <col min="14593" max="14593" width="10" style="207" bestFit="1" customWidth="1"/>
    <col min="14594" max="14594" width="30.83203125" style="207" customWidth="1"/>
    <col min="14595" max="14595" width="22" style="207" customWidth="1"/>
    <col min="14596" max="14596" width="21.1640625" style="207" bestFit="1" customWidth="1"/>
    <col min="14597" max="14597" width="21.1640625" style="207" customWidth="1"/>
    <col min="14598" max="14598" width="18.83203125" style="207" bestFit="1" customWidth="1"/>
    <col min="14599" max="14599" width="9" style="207" bestFit="1" customWidth="1"/>
    <col min="14600" max="14600" width="12" style="207" bestFit="1" customWidth="1"/>
    <col min="14601" max="14601" width="18.83203125" style="207" bestFit="1" customWidth="1"/>
    <col min="14602" max="14848" width="8.83203125" style="207"/>
    <col min="14849" max="14849" width="10" style="207" bestFit="1" customWidth="1"/>
    <col min="14850" max="14850" width="30.83203125" style="207" customWidth="1"/>
    <col min="14851" max="14851" width="22" style="207" customWidth="1"/>
    <col min="14852" max="14852" width="21.1640625" style="207" bestFit="1" customWidth="1"/>
    <col min="14853" max="14853" width="21.1640625" style="207" customWidth="1"/>
    <col min="14854" max="14854" width="18.83203125" style="207" bestFit="1" customWidth="1"/>
    <col min="14855" max="14855" width="9" style="207" bestFit="1" customWidth="1"/>
    <col min="14856" max="14856" width="12" style="207" bestFit="1" customWidth="1"/>
    <col min="14857" max="14857" width="18.83203125" style="207" bestFit="1" customWidth="1"/>
    <col min="14858" max="15104" width="8.83203125" style="207"/>
    <col min="15105" max="15105" width="10" style="207" bestFit="1" customWidth="1"/>
    <col min="15106" max="15106" width="30.83203125" style="207" customWidth="1"/>
    <col min="15107" max="15107" width="22" style="207" customWidth="1"/>
    <col min="15108" max="15108" width="21.1640625" style="207" bestFit="1" customWidth="1"/>
    <col min="15109" max="15109" width="21.1640625" style="207" customWidth="1"/>
    <col min="15110" max="15110" width="18.83203125" style="207" bestFit="1" customWidth="1"/>
    <col min="15111" max="15111" width="9" style="207" bestFit="1" customWidth="1"/>
    <col min="15112" max="15112" width="12" style="207" bestFit="1" customWidth="1"/>
    <col min="15113" max="15113" width="18.83203125" style="207" bestFit="1" customWidth="1"/>
    <col min="15114" max="15360" width="8.83203125" style="207"/>
    <col min="15361" max="15361" width="10" style="207" bestFit="1" customWidth="1"/>
    <col min="15362" max="15362" width="30.83203125" style="207" customWidth="1"/>
    <col min="15363" max="15363" width="22" style="207" customWidth="1"/>
    <col min="15364" max="15364" width="21.1640625" style="207" bestFit="1" customWidth="1"/>
    <col min="15365" max="15365" width="21.1640625" style="207" customWidth="1"/>
    <col min="15366" max="15366" width="18.83203125" style="207" bestFit="1" customWidth="1"/>
    <col min="15367" max="15367" width="9" style="207" bestFit="1" customWidth="1"/>
    <col min="15368" max="15368" width="12" style="207" bestFit="1" customWidth="1"/>
    <col min="15369" max="15369" width="18.83203125" style="207" bestFit="1" customWidth="1"/>
    <col min="15370" max="15616" width="8.83203125" style="207"/>
    <col min="15617" max="15617" width="10" style="207" bestFit="1" customWidth="1"/>
    <col min="15618" max="15618" width="30.83203125" style="207" customWidth="1"/>
    <col min="15619" max="15619" width="22" style="207" customWidth="1"/>
    <col min="15620" max="15620" width="21.1640625" style="207" bestFit="1" customWidth="1"/>
    <col min="15621" max="15621" width="21.1640625" style="207" customWidth="1"/>
    <col min="15622" max="15622" width="18.83203125" style="207" bestFit="1" customWidth="1"/>
    <col min="15623" max="15623" width="9" style="207" bestFit="1" customWidth="1"/>
    <col min="15624" max="15624" width="12" style="207" bestFit="1" customWidth="1"/>
    <col min="15625" max="15625" width="18.83203125" style="207" bestFit="1" customWidth="1"/>
    <col min="15626" max="15872" width="8.83203125" style="207"/>
    <col min="15873" max="15873" width="10" style="207" bestFit="1" customWidth="1"/>
    <col min="15874" max="15874" width="30.83203125" style="207" customWidth="1"/>
    <col min="15875" max="15875" width="22" style="207" customWidth="1"/>
    <col min="15876" max="15876" width="21.1640625" style="207" bestFit="1" customWidth="1"/>
    <col min="15877" max="15877" width="21.1640625" style="207" customWidth="1"/>
    <col min="15878" max="15878" width="18.83203125" style="207" bestFit="1" customWidth="1"/>
    <col min="15879" max="15879" width="9" style="207" bestFit="1" customWidth="1"/>
    <col min="15880" max="15880" width="12" style="207" bestFit="1" customWidth="1"/>
    <col min="15881" max="15881" width="18.83203125" style="207" bestFit="1" customWidth="1"/>
    <col min="15882" max="16128" width="8.83203125" style="207"/>
    <col min="16129" max="16129" width="10" style="207" bestFit="1" customWidth="1"/>
    <col min="16130" max="16130" width="30.83203125" style="207" customWidth="1"/>
    <col min="16131" max="16131" width="22" style="207" customWidth="1"/>
    <col min="16132" max="16132" width="21.1640625" style="207" bestFit="1" customWidth="1"/>
    <col min="16133" max="16133" width="21.1640625" style="207" customWidth="1"/>
    <col min="16134" max="16134" width="18.83203125" style="207" bestFit="1" customWidth="1"/>
    <col min="16135" max="16135" width="9" style="207" bestFit="1" customWidth="1"/>
    <col min="16136" max="16136" width="12" style="207" bestFit="1" customWidth="1"/>
    <col min="16137" max="16137" width="18.83203125" style="207" bestFit="1" customWidth="1"/>
    <col min="16138" max="16384" width="8.83203125" style="207"/>
  </cols>
  <sheetData>
    <row r="2" spans="1:9">
      <c r="B2" s="207" t="s">
        <v>810</v>
      </c>
    </row>
    <row r="3" spans="1:9">
      <c r="A3" s="207" t="s">
        <v>811</v>
      </c>
      <c r="B3" s="208">
        <v>16000000</v>
      </c>
      <c r="D3" s="207" t="s">
        <v>812</v>
      </c>
      <c r="E3" s="209">
        <f>1/B3</f>
        <v>6.2499999999999997E-8</v>
      </c>
    </row>
    <row r="5" spans="1:9">
      <c r="B5" s="207" t="s">
        <v>813</v>
      </c>
    </row>
    <row r="6" spans="1:9">
      <c r="B6" s="207" t="s">
        <v>814</v>
      </c>
      <c r="C6" s="207" t="s">
        <v>815</v>
      </c>
      <c r="D6" s="207" t="s">
        <v>816</v>
      </c>
      <c r="E6" s="207" t="s">
        <v>817</v>
      </c>
      <c r="F6" s="207" t="s">
        <v>818</v>
      </c>
      <c r="G6" s="207" t="s">
        <v>819</v>
      </c>
      <c r="H6" s="207" t="s">
        <v>820</v>
      </c>
      <c r="I6" s="207" t="s">
        <v>821</v>
      </c>
    </row>
    <row r="7" spans="1:9">
      <c r="B7" s="210">
        <v>0</v>
      </c>
      <c r="C7" s="210">
        <v>0</v>
      </c>
      <c r="D7" s="210">
        <v>1</v>
      </c>
      <c r="E7" s="210" t="s">
        <v>822</v>
      </c>
      <c r="F7" s="210">
        <v>255</v>
      </c>
      <c r="G7" s="210">
        <v>8</v>
      </c>
      <c r="H7" s="210">
        <f>$B$3/510</f>
        <v>31372.549019607843</v>
      </c>
      <c r="I7" s="211">
        <f t="shared" ref="I7:I12" si="0">1/H7</f>
        <v>3.1875000000000002E-5</v>
      </c>
    </row>
    <row r="8" spans="1:9">
      <c r="B8" s="210">
        <v>0</v>
      </c>
      <c r="C8" s="210">
        <v>1</v>
      </c>
      <c r="D8" s="210">
        <v>0</v>
      </c>
      <c r="E8" s="210" t="s">
        <v>823</v>
      </c>
      <c r="F8" s="210">
        <v>511</v>
      </c>
      <c r="G8" s="210">
        <v>9</v>
      </c>
      <c r="H8" s="210">
        <f>$B$3/1022</f>
        <v>15655.577299412917</v>
      </c>
      <c r="I8" s="211">
        <f t="shared" si="0"/>
        <v>6.3874999999999994E-5</v>
      </c>
    </row>
    <row r="9" spans="1:9">
      <c r="B9" s="210">
        <v>0</v>
      </c>
      <c r="C9" s="210">
        <v>1</v>
      </c>
      <c r="D9" s="210">
        <v>1</v>
      </c>
      <c r="E9" s="210" t="s">
        <v>824</v>
      </c>
      <c r="F9" s="210">
        <v>1023</v>
      </c>
      <c r="G9" s="210">
        <v>10</v>
      </c>
      <c r="H9" s="210">
        <f>$B$3/2046</f>
        <v>7820.1368523949168</v>
      </c>
      <c r="I9" s="211">
        <f t="shared" si="0"/>
        <v>1.27875E-4</v>
      </c>
    </row>
    <row r="10" spans="1:9">
      <c r="B10" s="210">
        <v>1</v>
      </c>
      <c r="C10" s="210">
        <v>0</v>
      </c>
      <c r="D10" s="210">
        <v>1</v>
      </c>
      <c r="E10" s="210" t="s">
        <v>822</v>
      </c>
      <c r="F10" s="210">
        <v>255</v>
      </c>
      <c r="G10" s="210">
        <v>8</v>
      </c>
      <c r="H10" s="210">
        <f>$B$3/256</f>
        <v>62500</v>
      </c>
      <c r="I10" s="211">
        <f t="shared" si="0"/>
        <v>1.5999999999999999E-5</v>
      </c>
    </row>
    <row r="11" spans="1:9">
      <c r="B11" s="210">
        <v>1</v>
      </c>
      <c r="C11" s="210">
        <v>1</v>
      </c>
      <c r="D11" s="210">
        <v>0</v>
      </c>
      <c r="E11" s="210" t="s">
        <v>823</v>
      </c>
      <c r="F11" s="210">
        <v>511</v>
      </c>
      <c r="G11" s="210">
        <v>9</v>
      </c>
      <c r="H11" s="210">
        <f>$B$3/512</f>
        <v>31250</v>
      </c>
      <c r="I11" s="211">
        <f t="shared" si="0"/>
        <v>3.1999999999999999E-5</v>
      </c>
    </row>
    <row r="12" spans="1:9">
      <c r="B12" s="210">
        <v>1</v>
      </c>
      <c r="C12" s="210">
        <v>1</v>
      </c>
      <c r="D12" s="210">
        <v>1</v>
      </c>
      <c r="E12" s="210" t="s">
        <v>824</v>
      </c>
      <c r="F12" s="210">
        <v>1023</v>
      </c>
      <c r="G12" s="210">
        <v>10</v>
      </c>
      <c r="H12" s="210">
        <f>$B$3/1024</f>
        <v>15625</v>
      </c>
      <c r="I12" s="211">
        <f t="shared" si="0"/>
        <v>6.3999999999999997E-5</v>
      </c>
    </row>
    <row r="15" spans="1:9">
      <c r="B15" s="207" t="s">
        <v>810</v>
      </c>
    </row>
    <row r="16" spans="1:9">
      <c r="A16" s="207" t="s">
        <v>811</v>
      </c>
      <c r="B16" s="208">
        <v>8000000</v>
      </c>
      <c r="D16" s="207" t="s">
        <v>812</v>
      </c>
      <c r="E16" s="209">
        <f>1/B16</f>
        <v>1.2499999999999999E-7</v>
      </c>
    </row>
    <row r="18" spans="2:9">
      <c r="B18" s="207" t="s">
        <v>813</v>
      </c>
    </row>
    <row r="19" spans="2:9">
      <c r="B19" s="207" t="s">
        <v>814</v>
      </c>
      <c r="C19" s="207" t="s">
        <v>815</v>
      </c>
      <c r="D19" s="207" t="s">
        <v>816</v>
      </c>
      <c r="E19" s="207" t="s">
        <v>817</v>
      </c>
      <c r="F19" s="207" t="s">
        <v>818</v>
      </c>
      <c r="G19" s="207" t="s">
        <v>819</v>
      </c>
      <c r="H19" s="207" t="s">
        <v>820</v>
      </c>
      <c r="I19" s="207" t="s">
        <v>821</v>
      </c>
    </row>
    <row r="20" spans="2:9">
      <c r="B20" s="210">
        <v>0</v>
      </c>
      <c r="C20" s="210">
        <v>0</v>
      </c>
      <c r="D20" s="210">
        <v>1</v>
      </c>
      <c r="E20" s="210" t="s">
        <v>822</v>
      </c>
      <c r="F20" s="210">
        <v>255</v>
      </c>
      <c r="G20" s="210">
        <v>8</v>
      </c>
      <c r="H20" s="210">
        <f>$B$16/510</f>
        <v>15686.274509803921</v>
      </c>
      <c r="I20" s="211">
        <f t="shared" ref="I20:I25" si="1">1/H20</f>
        <v>6.3750000000000005E-5</v>
      </c>
    </row>
    <row r="21" spans="2:9">
      <c r="B21" s="210">
        <v>0</v>
      </c>
      <c r="C21" s="210">
        <v>1</v>
      </c>
      <c r="D21" s="210">
        <v>0</v>
      </c>
      <c r="E21" s="210" t="s">
        <v>823</v>
      </c>
      <c r="F21" s="210">
        <v>511</v>
      </c>
      <c r="G21" s="210">
        <v>9</v>
      </c>
      <c r="H21" s="210">
        <f>$B$16/1022</f>
        <v>7827.7886497064583</v>
      </c>
      <c r="I21" s="211">
        <f t="shared" si="1"/>
        <v>1.2774999999999999E-4</v>
      </c>
    </row>
    <row r="22" spans="2:9">
      <c r="B22" s="210">
        <v>0</v>
      </c>
      <c r="C22" s="210">
        <v>1</v>
      </c>
      <c r="D22" s="210">
        <v>1</v>
      </c>
      <c r="E22" s="210" t="s">
        <v>824</v>
      </c>
      <c r="F22" s="210">
        <v>1023</v>
      </c>
      <c r="G22" s="210">
        <v>10</v>
      </c>
      <c r="H22" s="210">
        <f>$B$16/2046</f>
        <v>3910.0684261974584</v>
      </c>
      <c r="I22" s="211">
        <f t="shared" si="1"/>
        <v>2.5575000000000001E-4</v>
      </c>
    </row>
    <row r="23" spans="2:9">
      <c r="B23" s="210">
        <v>1</v>
      </c>
      <c r="C23" s="210">
        <v>0</v>
      </c>
      <c r="D23" s="210">
        <v>1</v>
      </c>
      <c r="E23" s="210" t="s">
        <v>822</v>
      </c>
      <c r="F23" s="210">
        <v>255</v>
      </c>
      <c r="G23" s="210">
        <v>8</v>
      </c>
      <c r="H23" s="210">
        <f>$B$16/256</f>
        <v>31250</v>
      </c>
      <c r="I23" s="211">
        <f t="shared" si="1"/>
        <v>3.1999999999999999E-5</v>
      </c>
    </row>
    <row r="24" spans="2:9">
      <c r="B24" s="210">
        <v>1</v>
      </c>
      <c r="C24" s="210">
        <v>1</v>
      </c>
      <c r="D24" s="210">
        <v>0</v>
      </c>
      <c r="E24" s="210" t="s">
        <v>823</v>
      </c>
      <c r="F24" s="210">
        <v>511</v>
      </c>
      <c r="G24" s="210">
        <v>9</v>
      </c>
      <c r="H24" s="210">
        <f>$B$16/512</f>
        <v>15625</v>
      </c>
      <c r="I24" s="211">
        <f t="shared" si="1"/>
        <v>6.3999999999999997E-5</v>
      </c>
    </row>
    <row r="25" spans="2:9">
      <c r="B25" s="210">
        <v>1</v>
      </c>
      <c r="C25" s="210">
        <v>1</v>
      </c>
      <c r="D25" s="210">
        <v>1</v>
      </c>
      <c r="E25" s="210" t="s">
        <v>824</v>
      </c>
      <c r="F25" s="210">
        <v>1023</v>
      </c>
      <c r="G25" s="210">
        <v>10</v>
      </c>
      <c r="H25" s="210">
        <f>$B$16/1024</f>
        <v>7812.5</v>
      </c>
      <c r="I25" s="211">
        <f t="shared" si="1"/>
        <v>1.2799999999999999E-4</v>
      </c>
    </row>
    <row r="29" spans="2:9">
      <c r="B29" s="207" t="s">
        <v>825</v>
      </c>
    </row>
    <row r="30" spans="2:9">
      <c r="B30" s="207" t="s">
        <v>826</v>
      </c>
      <c r="C30" s="207" t="s">
        <v>827</v>
      </c>
      <c r="D30" s="207" t="s">
        <v>828</v>
      </c>
      <c r="E30" s="207" t="s">
        <v>829</v>
      </c>
      <c r="F30" s="207" t="s">
        <v>830</v>
      </c>
      <c r="G30" s="207" t="s">
        <v>831</v>
      </c>
    </row>
    <row r="31" spans="2:9">
      <c r="B31" s="207">
        <v>12000</v>
      </c>
      <c r="C31" s="207">
        <f>B3</f>
        <v>16000000</v>
      </c>
      <c r="D31" s="210">
        <v>1</v>
      </c>
      <c r="E31" s="207">
        <f>$C$31/D31</f>
        <v>16000000</v>
      </c>
      <c r="F31" s="210">
        <f t="shared" ref="F31:F37" si="2">C$31/(B$31*D31)</f>
        <v>1333.3333333333333</v>
      </c>
      <c r="G31" s="210" t="str">
        <f t="shared" ref="G31:G37" si="3">IF(F31&lt;255,DEC2HEX(TRUNC(F31),2),"Greater than 8 Bits")</f>
        <v>Greater than 8 Bits</v>
      </c>
    </row>
    <row r="32" spans="2:9">
      <c r="D32" s="210">
        <v>8</v>
      </c>
      <c r="E32" s="207">
        <f t="shared" ref="E32:E37" si="4">$C$31/D32</f>
        <v>2000000</v>
      </c>
      <c r="F32" s="210">
        <f t="shared" si="2"/>
        <v>166.66666666666666</v>
      </c>
      <c r="G32" s="210" t="str">
        <f t="shared" si="3"/>
        <v>A6</v>
      </c>
    </row>
    <row r="33" spans="4:7">
      <c r="D33" s="210">
        <v>32</v>
      </c>
      <c r="E33" s="207">
        <f t="shared" si="4"/>
        <v>500000</v>
      </c>
      <c r="F33" s="210">
        <f t="shared" si="2"/>
        <v>41.666666666666664</v>
      </c>
      <c r="G33" s="210" t="str">
        <f t="shared" si="3"/>
        <v>29</v>
      </c>
    </row>
    <row r="34" spans="4:7">
      <c r="D34" s="210">
        <v>64</v>
      </c>
      <c r="E34" s="207">
        <f t="shared" si="4"/>
        <v>250000</v>
      </c>
      <c r="F34" s="210">
        <f t="shared" si="2"/>
        <v>20.833333333333332</v>
      </c>
      <c r="G34" s="210" t="str">
        <f t="shared" si="3"/>
        <v>14</v>
      </c>
    </row>
    <row r="35" spans="4:7">
      <c r="D35" s="210">
        <v>128</v>
      </c>
      <c r="E35" s="207">
        <f t="shared" si="4"/>
        <v>125000</v>
      </c>
      <c r="F35" s="210">
        <f t="shared" si="2"/>
        <v>10.416666666666666</v>
      </c>
      <c r="G35" s="210" t="str">
        <f t="shared" si="3"/>
        <v>0A</v>
      </c>
    </row>
    <row r="36" spans="4:7">
      <c r="D36" s="210">
        <v>256</v>
      </c>
      <c r="E36" s="207">
        <f t="shared" si="4"/>
        <v>62500</v>
      </c>
      <c r="F36" s="210">
        <f t="shared" si="2"/>
        <v>5.208333333333333</v>
      </c>
      <c r="G36" s="210" t="str">
        <f t="shared" si="3"/>
        <v>05</v>
      </c>
    </row>
    <row r="37" spans="4:7">
      <c r="D37" s="210">
        <v>1024</v>
      </c>
      <c r="E37" s="207">
        <f t="shared" si="4"/>
        <v>15625</v>
      </c>
      <c r="F37" s="210">
        <f t="shared" si="2"/>
        <v>1.3020833333333333</v>
      </c>
      <c r="G37" s="210" t="str">
        <f t="shared" si="3"/>
        <v>01</v>
      </c>
    </row>
  </sheetData>
  <printOptions horizontalCentered="1" verticalCentered="1" gridLines="1"/>
  <pageMargins left="0.75" right="0.75" top="1" bottom="1" header="0.5" footer="0.5"/>
  <pageSetup scale="98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3005-4261-EE41-9C9D-631AB74C2F0C}">
  <dimension ref="A1:J56"/>
  <sheetViews>
    <sheetView workbookViewId="0">
      <selection activeCell="B26" sqref="B26"/>
    </sheetView>
  </sheetViews>
  <sheetFormatPr baseColWidth="10" defaultColWidth="9.1640625" defaultRowHeight="13"/>
  <cols>
    <col min="1" max="1" width="28.1640625" style="212" customWidth="1"/>
    <col min="2" max="2" width="24.6640625" style="212" customWidth="1"/>
    <col min="3" max="3" width="22.6640625" style="212" customWidth="1"/>
    <col min="4" max="4" width="29.6640625" style="212" bestFit="1" customWidth="1"/>
    <col min="5" max="5" width="20.83203125" style="212" bestFit="1" customWidth="1"/>
    <col min="6" max="6" width="28" style="212" bestFit="1" customWidth="1"/>
    <col min="7" max="7" width="18.5" style="212" bestFit="1" customWidth="1"/>
    <col min="8" max="8" width="17.5" style="212" bestFit="1" customWidth="1"/>
    <col min="9" max="9" width="23.5" style="212" bestFit="1" customWidth="1"/>
    <col min="10" max="10" width="17.5" style="212" bestFit="1" customWidth="1"/>
    <col min="11" max="256" width="9.1640625" style="212"/>
    <col min="257" max="257" width="28.1640625" style="212" customWidth="1"/>
    <col min="258" max="258" width="24.6640625" style="212" customWidth="1"/>
    <col min="259" max="259" width="22.6640625" style="212" customWidth="1"/>
    <col min="260" max="260" width="29.6640625" style="212" bestFit="1" customWidth="1"/>
    <col min="261" max="261" width="20.83203125" style="212" bestFit="1" customWidth="1"/>
    <col min="262" max="262" width="28" style="212" bestFit="1" customWidth="1"/>
    <col min="263" max="263" width="18.5" style="212" bestFit="1" customWidth="1"/>
    <col min="264" max="264" width="17.5" style="212" bestFit="1" customWidth="1"/>
    <col min="265" max="265" width="23.5" style="212" bestFit="1" customWidth="1"/>
    <col min="266" max="266" width="17.5" style="212" bestFit="1" customWidth="1"/>
    <col min="267" max="512" width="9.1640625" style="212"/>
    <col min="513" max="513" width="28.1640625" style="212" customWidth="1"/>
    <col min="514" max="514" width="24.6640625" style="212" customWidth="1"/>
    <col min="515" max="515" width="22.6640625" style="212" customWidth="1"/>
    <col min="516" max="516" width="29.6640625" style="212" bestFit="1" customWidth="1"/>
    <col min="517" max="517" width="20.83203125" style="212" bestFit="1" customWidth="1"/>
    <col min="518" max="518" width="28" style="212" bestFit="1" customWidth="1"/>
    <col min="519" max="519" width="18.5" style="212" bestFit="1" customWidth="1"/>
    <col min="520" max="520" width="17.5" style="212" bestFit="1" customWidth="1"/>
    <col min="521" max="521" width="23.5" style="212" bestFit="1" customWidth="1"/>
    <col min="522" max="522" width="17.5" style="212" bestFit="1" customWidth="1"/>
    <col min="523" max="768" width="9.1640625" style="212"/>
    <col min="769" max="769" width="28.1640625" style="212" customWidth="1"/>
    <col min="770" max="770" width="24.6640625" style="212" customWidth="1"/>
    <col min="771" max="771" width="22.6640625" style="212" customWidth="1"/>
    <col min="772" max="772" width="29.6640625" style="212" bestFit="1" customWidth="1"/>
    <col min="773" max="773" width="20.83203125" style="212" bestFit="1" customWidth="1"/>
    <col min="774" max="774" width="28" style="212" bestFit="1" customWidth="1"/>
    <col min="775" max="775" width="18.5" style="212" bestFit="1" customWidth="1"/>
    <col min="776" max="776" width="17.5" style="212" bestFit="1" customWidth="1"/>
    <col min="777" max="777" width="23.5" style="212" bestFit="1" customWidth="1"/>
    <col min="778" max="778" width="17.5" style="212" bestFit="1" customWidth="1"/>
    <col min="779" max="1024" width="9.1640625" style="212"/>
    <col min="1025" max="1025" width="28.1640625" style="212" customWidth="1"/>
    <col min="1026" max="1026" width="24.6640625" style="212" customWidth="1"/>
    <col min="1027" max="1027" width="22.6640625" style="212" customWidth="1"/>
    <col min="1028" max="1028" width="29.6640625" style="212" bestFit="1" customWidth="1"/>
    <col min="1029" max="1029" width="20.83203125" style="212" bestFit="1" customWidth="1"/>
    <col min="1030" max="1030" width="28" style="212" bestFit="1" customWidth="1"/>
    <col min="1031" max="1031" width="18.5" style="212" bestFit="1" customWidth="1"/>
    <col min="1032" max="1032" width="17.5" style="212" bestFit="1" customWidth="1"/>
    <col min="1033" max="1033" width="23.5" style="212" bestFit="1" customWidth="1"/>
    <col min="1034" max="1034" width="17.5" style="212" bestFit="1" customWidth="1"/>
    <col min="1035" max="1280" width="9.1640625" style="212"/>
    <col min="1281" max="1281" width="28.1640625" style="212" customWidth="1"/>
    <col min="1282" max="1282" width="24.6640625" style="212" customWidth="1"/>
    <col min="1283" max="1283" width="22.6640625" style="212" customWidth="1"/>
    <col min="1284" max="1284" width="29.6640625" style="212" bestFit="1" customWidth="1"/>
    <col min="1285" max="1285" width="20.83203125" style="212" bestFit="1" customWidth="1"/>
    <col min="1286" max="1286" width="28" style="212" bestFit="1" customWidth="1"/>
    <col min="1287" max="1287" width="18.5" style="212" bestFit="1" customWidth="1"/>
    <col min="1288" max="1288" width="17.5" style="212" bestFit="1" customWidth="1"/>
    <col min="1289" max="1289" width="23.5" style="212" bestFit="1" customWidth="1"/>
    <col min="1290" max="1290" width="17.5" style="212" bestFit="1" customWidth="1"/>
    <col min="1291" max="1536" width="9.1640625" style="212"/>
    <col min="1537" max="1537" width="28.1640625" style="212" customWidth="1"/>
    <col min="1538" max="1538" width="24.6640625" style="212" customWidth="1"/>
    <col min="1539" max="1539" width="22.6640625" style="212" customWidth="1"/>
    <col min="1540" max="1540" width="29.6640625" style="212" bestFit="1" customWidth="1"/>
    <col min="1541" max="1541" width="20.83203125" style="212" bestFit="1" customWidth="1"/>
    <col min="1542" max="1542" width="28" style="212" bestFit="1" customWidth="1"/>
    <col min="1543" max="1543" width="18.5" style="212" bestFit="1" customWidth="1"/>
    <col min="1544" max="1544" width="17.5" style="212" bestFit="1" customWidth="1"/>
    <col min="1545" max="1545" width="23.5" style="212" bestFit="1" customWidth="1"/>
    <col min="1546" max="1546" width="17.5" style="212" bestFit="1" customWidth="1"/>
    <col min="1547" max="1792" width="9.1640625" style="212"/>
    <col min="1793" max="1793" width="28.1640625" style="212" customWidth="1"/>
    <col min="1794" max="1794" width="24.6640625" style="212" customWidth="1"/>
    <col min="1795" max="1795" width="22.6640625" style="212" customWidth="1"/>
    <col min="1796" max="1796" width="29.6640625" style="212" bestFit="1" customWidth="1"/>
    <col min="1797" max="1797" width="20.83203125" style="212" bestFit="1" customWidth="1"/>
    <col min="1798" max="1798" width="28" style="212" bestFit="1" customWidth="1"/>
    <col min="1799" max="1799" width="18.5" style="212" bestFit="1" customWidth="1"/>
    <col min="1800" max="1800" width="17.5" style="212" bestFit="1" customWidth="1"/>
    <col min="1801" max="1801" width="23.5" style="212" bestFit="1" customWidth="1"/>
    <col min="1802" max="1802" width="17.5" style="212" bestFit="1" customWidth="1"/>
    <col min="1803" max="2048" width="9.1640625" style="212"/>
    <col min="2049" max="2049" width="28.1640625" style="212" customWidth="1"/>
    <col min="2050" max="2050" width="24.6640625" style="212" customWidth="1"/>
    <col min="2051" max="2051" width="22.6640625" style="212" customWidth="1"/>
    <col min="2052" max="2052" width="29.6640625" style="212" bestFit="1" customWidth="1"/>
    <col min="2053" max="2053" width="20.83203125" style="212" bestFit="1" customWidth="1"/>
    <col min="2054" max="2054" width="28" style="212" bestFit="1" customWidth="1"/>
    <col min="2055" max="2055" width="18.5" style="212" bestFit="1" customWidth="1"/>
    <col min="2056" max="2056" width="17.5" style="212" bestFit="1" customWidth="1"/>
    <col min="2057" max="2057" width="23.5" style="212" bestFit="1" customWidth="1"/>
    <col min="2058" max="2058" width="17.5" style="212" bestFit="1" customWidth="1"/>
    <col min="2059" max="2304" width="9.1640625" style="212"/>
    <col min="2305" max="2305" width="28.1640625" style="212" customWidth="1"/>
    <col min="2306" max="2306" width="24.6640625" style="212" customWidth="1"/>
    <col min="2307" max="2307" width="22.6640625" style="212" customWidth="1"/>
    <col min="2308" max="2308" width="29.6640625" style="212" bestFit="1" customWidth="1"/>
    <col min="2309" max="2309" width="20.83203125" style="212" bestFit="1" customWidth="1"/>
    <col min="2310" max="2310" width="28" style="212" bestFit="1" customWidth="1"/>
    <col min="2311" max="2311" width="18.5" style="212" bestFit="1" customWidth="1"/>
    <col min="2312" max="2312" width="17.5" style="212" bestFit="1" customWidth="1"/>
    <col min="2313" max="2313" width="23.5" style="212" bestFit="1" customWidth="1"/>
    <col min="2314" max="2314" width="17.5" style="212" bestFit="1" customWidth="1"/>
    <col min="2315" max="2560" width="9.1640625" style="212"/>
    <col min="2561" max="2561" width="28.1640625" style="212" customWidth="1"/>
    <col min="2562" max="2562" width="24.6640625" style="212" customWidth="1"/>
    <col min="2563" max="2563" width="22.6640625" style="212" customWidth="1"/>
    <col min="2564" max="2564" width="29.6640625" style="212" bestFit="1" customWidth="1"/>
    <col min="2565" max="2565" width="20.83203125" style="212" bestFit="1" customWidth="1"/>
    <col min="2566" max="2566" width="28" style="212" bestFit="1" customWidth="1"/>
    <col min="2567" max="2567" width="18.5" style="212" bestFit="1" customWidth="1"/>
    <col min="2568" max="2568" width="17.5" style="212" bestFit="1" customWidth="1"/>
    <col min="2569" max="2569" width="23.5" style="212" bestFit="1" customWidth="1"/>
    <col min="2570" max="2570" width="17.5" style="212" bestFit="1" customWidth="1"/>
    <col min="2571" max="2816" width="9.1640625" style="212"/>
    <col min="2817" max="2817" width="28.1640625" style="212" customWidth="1"/>
    <col min="2818" max="2818" width="24.6640625" style="212" customWidth="1"/>
    <col min="2819" max="2819" width="22.6640625" style="212" customWidth="1"/>
    <col min="2820" max="2820" width="29.6640625" style="212" bestFit="1" customWidth="1"/>
    <col min="2821" max="2821" width="20.83203125" style="212" bestFit="1" customWidth="1"/>
    <col min="2822" max="2822" width="28" style="212" bestFit="1" customWidth="1"/>
    <col min="2823" max="2823" width="18.5" style="212" bestFit="1" customWidth="1"/>
    <col min="2824" max="2824" width="17.5" style="212" bestFit="1" customWidth="1"/>
    <col min="2825" max="2825" width="23.5" style="212" bestFit="1" customWidth="1"/>
    <col min="2826" max="2826" width="17.5" style="212" bestFit="1" customWidth="1"/>
    <col min="2827" max="3072" width="9.1640625" style="212"/>
    <col min="3073" max="3073" width="28.1640625" style="212" customWidth="1"/>
    <col min="3074" max="3074" width="24.6640625" style="212" customWidth="1"/>
    <col min="3075" max="3075" width="22.6640625" style="212" customWidth="1"/>
    <col min="3076" max="3076" width="29.6640625" style="212" bestFit="1" customWidth="1"/>
    <col min="3077" max="3077" width="20.83203125" style="212" bestFit="1" customWidth="1"/>
    <col min="3078" max="3078" width="28" style="212" bestFit="1" customWidth="1"/>
    <col min="3079" max="3079" width="18.5" style="212" bestFit="1" customWidth="1"/>
    <col min="3080" max="3080" width="17.5" style="212" bestFit="1" customWidth="1"/>
    <col min="3081" max="3081" width="23.5" style="212" bestFit="1" customWidth="1"/>
    <col min="3082" max="3082" width="17.5" style="212" bestFit="1" customWidth="1"/>
    <col min="3083" max="3328" width="9.1640625" style="212"/>
    <col min="3329" max="3329" width="28.1640625" style="212" customWidth="1"/>
    <col min="3330" max="3330" width="24.6640625" style="212" customWidth="1"/>
    <col min="3331" max="3331" width="22.6640625" style="212" customWidth="1"/>
    <col min="3332" max="3332" width="29.6640625" style="212" bestFit="1" customWidth="1"/>
    <col min="3333" max="3333" width="20.83203125" style="212" bestFit="1" customWidth="1"/>
    <col min="3334" max="3334" width="28" style="212" bestFit="1" customWidth="1"/>
    <col min="3335" max="3335" width="18.5" style="212" bestFit="1" customWidth="1"/>
    <col min="3336" max="3336" width="17.5" style="212" bestFit="1" customWidth="1"/>
    <col min="3337" max="3337" width="23.5" style="212" bestFit="1" customWidth="1"/>
    <col min="3338" max="3338" width="17.5" style="212" bestFit="1" customWidth="1"/>
    <col min="3339" max="3584" width="9.1640625" style="212"/>
    <col min="3585" max="3585" width="28.1640625" style="212" customWidth="1"/>
    <col min="3586" max="3586" width="24.6640625" style="212" customWidth="1"/>
    <col min="3587" max="3587" width="22.6640625" style="212" customWidth="1"/>
    <col min="3588" max="3588" width="29.6640625" style="212" bestFit="1" customWidth="1"/>
    <col min="3589" max="3589" width="20.83203125" style="212" bestFit="1" customWidth="1"/>
    <col min="3590" max="3590" width="28" style="212" bestFit="1" customWidth="1"/>
    <col min="3591" max="3591" width="18.5" style="212" bestFit="1" customWidth="1"/>
    <col min="3592" max="3592" width="17.5" style="212" bestFit="1" customWidth="1"/>
    <col min="3593" max="3593" width="23.5" style="212" bestFit="1" customWidth="1"/>
    <col min="3594" max="3594" width="17.5" style="212" bestFit="1" customWidth="1"/>
    <col min="3595" max="3840" width="9.1640625" style="212"/>
    <col min="3841" max="3841" width="28.1640625" style="212" customWidth="1"/>
    <col min="3842" max="3842" width="24.6640625" style="212" customWidth="1"/>
    <col min="3843" max="3843" width="22.6640625" style="212" customWidth="1"/>
    <col min="3844" max="3844" width="29.6640625" style="212" bestFit="1" customWidth="1"/>
    <col min="3845" max="3845" width="20.83203125" style="212" bestFit="1" customWidth="1"/>
    <col min="3846" max="3846" width="28" style="212" bestFit="1" customWidth="1"/>
    <col min="3847" max="3847" width="18.5" style="212" bestFit="1" customWidth="1"/>
    <col min="3848" max="3848" width="17.5" style="212" bestFit="1" customWidth="1"/>
    <col min="3849" max="3849" width="23.5" style="212" bestFit="1" customWidth="1"/>
    <col min="3850" max="3850" width="17.5" style="212" bestFit="1" customWidth="1"/>
    <col min="3851" max="4096" width="9.1640625" style="212"/>
    <col min="4097" max="4097" width="28.1640625" style="212" customWidth="1"/>
    <col min="4098" max="4098" width="24.6640625" style="212" customWidth="1"/>
    <col min="4099" max="4099" width="22.6640625" style="212" customWidth="1"/>
    <col min="4100" max="4100" width="29.6640625" style="212" bestFit="1" customWidth="1"/>
    <col min="4101" max="4101" width="20.83203125" style="212" bestFit="1" customWidth="1"/>
    <col min="4102" max="4102" width="28" style="212" bestFit="1" customWidth="1"/>
    <col min="4103" max="4103" width="18.5" style="212" bestFit="1" customWidth="1"/>
    <col min="4104" max="4104" width="17.5" style="212" bestFit="1" customWidth="1"/>
    <col min="4105" max="4105" width="23.5" style="212" bestFit="1" customWidth="1"/>
    <col min="4106" max="4106" width="17.5" style="212" bestFit="1" customWidth="1"/>
    <col min="4107" max="4352" width="9.1640625" style="212"/>
    <col min="4353" max="4353" width="28.1640625" style="212" customWidth="1"/>
    <col min="4354" max="4354" width="24.6640625" style="212" customWidth="1"/>
    <col min="4355" max="4355" width="22.6640625" style="212" customWidth="1"/>
    <col min="4356" max="4356" width="29.6640625" style="212" bestFit="1" customWidth="1"/>
    <col min="4357" max="4357" width="20.83203125" style="212" bestFit="1" customWidth="1"/>
    <col min="4358" max="4358" width="28" style="212" bestFit="1" customWidth="1"/>
    <col min="4359" max="4359" width="18.5" style="212" bestFit="1" customWidth="1"/>
    <col min="4360" max="4360" width="17.5" style="212" bestFit="1" customWidth="1"/>
    <col min="4361" max="4361" width="23.5" style="212" bestFit="1" customWidth="1"/>
    <col min="4362" max="4362" width="17.5" style="212" bestFit="1" customWidth="1"/>
    <col min="4363" max="4608" width="9.1640625" style="212"/>
    <col min="4609" max="4609" width="28.1640625" style="212" customWidth="1"/>
    <col min="4610" max="4610" width="24.6640625" style="212" customWidth="1"/>
    <col min="4611" max="4611" width="22.6640625" style="212" customWidth="1"/>
    <col min="4612" max="4612" width="29.6640625" style="212" bestFit="1" customWidth="1"/>
    <col min="4613" max="4613" width="20.83203125" style="212" bestFit="1" customWidth="1"/>
    <col min="4614" max="4614" width="28" style="212" bestFit="1" customWidth="1"/>
    <col min="4615" max="4615" width="18.5" style="212" bestFit="1" customWidth="1"/>
    <col min="4616" max="4616" width="17.5" style="212" bestFit="1" customWidth="1"/>
    <col min="4617" max="4617" width="23.5" style="212" bestFit="1" customWidth="1"/>
    <col min="4618" max="4618" width="17.5" style="212" bestFit="1" customWidth="1"/>
    <col min="4619" max="4864" width="9.1640625" style="212"/>
    <col min="4865" max="4865" width="28.1640625" style="212" customWidth="1"/>
    <col min="4866" max="4866" width="24.6640625" style="212" customWidth="1"/>
    <col min="4867" max="4867" width="22.6640625" style="212" customWidth="1"/>
    <col min="4868" max="4868" width="29.6640625" style="212" bestFit="1" customWidth="1"/>
    <col min="4869" max="4869" width="20.83203125" style="212" bestFit="1" customWidth="1"/>
    <col min="4870" max="4870" width="28" style="212" bestFit="1" customWidth="1"/>
    <col min="4871" max="4871" width="18.5" style="212" bestFit="1" customWidth="1"/>
    <col min="4872" max="4872" width="17.5" style="212" bestFit="1" customWidth="1"/>
    <col min="4873" max="4873" width="23.5" style="212" bestFit="1" customWidth="1"/>
    <col min="4874" max="4874" width="17.5" style="212" bestFit="1" customWidth="1"/>
    <col min="4875" max="5120" width="9.1640625" style="212"/>
    <col min="5121" max="5121" width="28.1640625" style="212" customWidth="1"/>
    <col min="5122" max="5122" width="24.6640625" style="212" customWidth="1"/>
    <col min="5123" max="5123" width="22.6640625" style="212" customWidth="1"/>
    <col min="5124" max="5124" width="29.6640625" style="212" bestFit="1" customWidth="1"/>
    <col min="5125" max="5125" width="20.83203125" style="212" bestFit="1" customWidth="1"/>
    <col min="5126" max="5126" width="28" style="212" bestFit="1" customWidth="1"/>
    <col min="5127" max="5127" width="18.5" style="212" bestFit="1" customWidth="1"/>
    <col min="5128" max="5128" width="17.5" style="212" bestFit="1" customWidth="1"/>
    <col min="5129" max="5129" width="23.5" style="212" bestFit="1" customWidth="1"/>
    <col min="5130" max="5130" width="17.5" style="212" bestFit="1" customWidth="1"/>
    <col min="5131" max="5376" width="9.1640625" style="212"/>
    <col min="5377" max="5377" width="28.1640625" style="212" customWidth="1"/>
    <col min="5378" max="5378" width="24.6640625" style="212" customWidth="1"/>
    <col min="5379" max="5379" width="22.6640625" style="212" customWidth="1"/>
    <col min="5380" max="5380" width="29.6640625" style="212" bestFit="1" customWidth="1"/>
    <col min="5381" max="5381" width="20.83203125" style="212" bestFit="1" customWidth="1"/>
    <col min="5382" max="5382" width="28" style="212" bestFit="1" customWidth="1"/>
    <col min="5383" max="5383" width="18.5" style="212" bestFit="1" customWidth="1"/>
    <col min="5384" max="5384" width="17.5" style="212" bestFit="1" customWidth="1"/>
    <col min="5385" max="5385" width="23.5" style="212" bestFit="1" customWidth="1"/>
    <col min="5386" max="5386" width="17.5" style="212" bestFit="1" customWidth="1"/>
    <col min="5387" max="5632" width="9.1640625" style="212"/>
    <col min="5633" max="5633" width="28.1640625" style="212" customWidth="1"/>
    <col min="5634" max="5634" width="24.6640625" style="212" customWidth="1"/>
    <col min="5635" max="5635" width="22.6640625" style="212" customWidth="1"/>
    <col min="5636" max="5636" width="29.6640625" style="212" bestFit="1" customWidth="1"/>
    <col min="5637" max="5637" width="20.83203125" style="212" bestFit="1" customWidth="1"/>
    <col min="5638" max="5638" width="28" style="212" bestFit="1" customWidth="1"/>
    <col min="5639" max="5639" width="18.5" style="212" bestFit="1" customWidth="1"/>
    <col min="5640" max="5640" width="17.5" style="212" bestFit="1" customWidth="1"/>
    <col min="5641" max="5641" width="23.5" style="212" bestFit="1" customWidth="1"/>
    <col min="5642" max="5642" width="17.5" style="212" bestFit="1" customWidth="1"/>
    <col min="5643" max="5888" width="9.1640625" style="212"/>
    <col min="5889" max="5889" width="28.1640625" style="212" customWidth="1"/>
    <col min="5890" max="5890" width="24.6640625" style="212" customWidth="1"/>
    <col min="5891" max="5891" width="22.6640625" style="212" customWidth="1"/>
    <col min="5892" max="5892" width="29.6640625" style="212" bestFit="1" customWidth="1"/>
    <col min="5893" max="5893" width="20.83203125" style="212" bestFit="1" customWidth="1"/>
    <col min="5894" max="5894" width="28" style="212" bestFit="1" customWidth="1"/>
    <col min="5895" max="5895" width="18.5" style="212" bestFit="1" customWidth="1"/>
    <col min="5896" max="5896" width="17.5" style="212" bestFit="1" customWidth="1"/>
    <col min="5897" max="5897" width="23.5" style="212" bestFit="1" customWidth="1"/>
    <col min="5898" max="5898" width="17.5" style="212" bestFit="1" customWidth="1"/>
    <col min="5899" max="6144" width="9.1640625" style="212"/>
    <col min="6145" max="6145" width="28.1640625" style="212" customWidth="1"/>
    <col min="6146" max="6146" width="24.6640625" style="212" customWidth="1"/>
    <col min="6147" max="6147" width="22.6640625" style="212" customWidth="1"/>
    <col min="6148" max="6148" width="29.6640625" style="212" bestFit="1" customWidth="1"/>
    <col min="6149" max="6149" width="20.83203125" style="212" bestFit="1" customWidth="1"/>
    <col min="6150" max="6150" width="28" style="212" bestFit="1" customWidth="1"/>
    <col min="6151" max="6151" width="18.5" style="212" bestFit="1" customWidth="1"/>
    <col min="6152" max="6152" width="17.5" style="212" bestFit="1" customWidth="1"/>
    <col min="6153" max="6153" width="23.5" style="212" bestFit="1" customWidth="1"/>
    <col min="6154" max="6154" width="17.5" style="212" bestFit="1" customWidth="1"/>
    <col min="6155" max="6400" width="9.1640625" style="212"/>
    <col min="6401" max="6401" width="28.1640625" style="212" customWidth="1"/>
    <col min="6402" max="6402" width="24.6640625" style="212" customWidth="1"/>
    <col min="6403" max="6403" width="22.6640625" style="212" customWidth="1"/>
    <col min="6404" max="6404" width="29.6640625" style="212" bestFit="1" customWidth="1"/>
    <col min="6405" max="6405" width="20.83203125" style="212" bestFit="1" customWidth="1"/>
    <col min="6406" max="6406" width="28" style="212" bestFit="1" customWidth="1"/>
    <col min="6407" max="6407" width="18.5" style="212" bestFit="1" customWidth="1"/>
    <col min="6408" max="6408" width="17.5" style="212" bestFit="1" customWidth="1"/>
    <col min="6409" max="6409" width="23.5" style="212" bestFit="1" customWidth="1"/>
    <col min="6410" max="6410" width="17.5" style="212" bestFit="1" customWidth="1"/>
    <col min="6411" max="6656" width="9.1640625" style="212"/>
    <col min="6657" max="6657" width="28.1640625" style="212" customWidth="1"/>
    <col min="6658" max="6658" width="24.6640625" style="212" customWidth="1"/>
    <col min="6659" max="6659" width="22.6640625" style="212" customWidth="1"/>
    <col min="6660" max="6660" width="29.6640625" style="212" bestFit="1" customWidth="1"/>
    <col min="6661" max="6661" width="20.83203125" style="212" bestFit="1" customWidth="1"/>
    <col min="6662" max="6662" width="28" style="212" bestFit="1" customWidth="1"/>
    <col min="6663" max="6663" width="18.5" style="212" bestFit="1" customWidth="1"/>
    <col min="6664" max="6664" width="17.5" style="212" bestFit="1" customWidth="1"/>
    <col min="6665" max="6665" width="23.5" style="212" bestFit="1" customWidth="1"/>
    <col min="6666" max="6666" width="17.5" style="212" bestFit="1" customWidth="1"/>
    <col min="6667" max="6912" width="9.1640625" style="212"/>
    <col min="6913" max="6913" width="28.1640625" style="212" customWidth="1"/>
    <col min="6914" max="6914" width="24.6640625" style="212" customWidth="1"/>
    <col min="6915" max="6915" width="22.6640625" style="212" customWidth="1"/>
    <col min="6916" max="6916" width="29.6640625" style="212" bestFit="1" customWidth="1"/>
    <col min="6917" max="6917" width="20.83203125" style="212" bestFit="1" customWidth="1"/>
    <col min="6918" max="6918" width="28" style="212" bestFit="1" customWidth="1"/>
    <col min="6919" max="6919" width="18.5" style="212" bestFit="1" customWidth="1"/>
    <col min="6920" max="6920" width="17.5" style="212" bestFit="1" customWidth="1"/>
    <col min="6921" max="6921" width="23.5" style="212" bestFit="1" customWidth="1"/>
    <col min="6922" max="6922" width="17.5" style="212" bestFit="1" customWidth="1"/>
    <col min="6923" max="7168" width="9.1640625" style="212"/>
    <col min="7169" max="7169" width="28.1640625" style="212" customWidth="1"/>
    <col min="7170" max="7170" width="24.6640625" style="212" customWidth="1"/>
    <col min="7171" max="7171" width="22.6640625" style="212" customWidth="1"/>
    <col min="7172" max="7172" width="29.6640625" style="212" bestFit="1" customWidth="1"/>
    <col min="7173" max="7173" width="20.83203125" style="212" bestFit="1" customWidth="1"/>
    <col min="7174" max="7174" width="28" style="212" bestFit="1" customWidth="1"/>
    <col min="7175" max="7175" width="18.5" style="212" bestFit="1" customWidth="1"/>
    <col min="7176" max="7176" width="17.5" style="212" bestFit="1" customWidth="1"/>
    <col min="7177" max="7177" width="23.5" style="212" bestFit="1" customWidth="1"/>
    <col min="7178" max="7178" width="17.5" style="212" bestFit="1" customWidth="1"/>
    <col min="7179" max="7424" width="9.1640625" style="212"/>
    <col min="7425" max="7425" width="28.1640625" style="212" customWidth="1"/>
    <col min="7426" max="7426" width="24.6640625" style="212" customWidth="1"/>
    <col min="7427" max="7427" width="22.6640625" style="212" customWidth="1"/>
    <col min="7428" max="7428" width="29.6640625" style="212" bestFit="1" customWidth="1"/>
    <col min="7429" max="7429" width="20.83203125" style="212" bestFit="1" customWidth="1"/>
    <col min="7430" max="7430" width="28" style="212" bestFit="1" customWidth="1"/>
    <col min="7431" max="7431" width="18.5" style="212" bestFit="1" customWidth="1"/>
    <col min="7432" max="7432" width="17.5" style="212" bestFit="1" customWidth="1"/>
    <col min="7433" max="7433" width="23.5" style="212" bestFit="1" customWidth="1"/>
    <col min="7434" max="7434" width="17.5" style="212" bestFit="1" customWidth="1"/>
    <col min="7435" max="7680" width="9.1640625" style="212"/>
    <col min="7681" max="7681" width="28.1640625" style="212" customWidth="1"/>
    <col min="7682" max="7682" width="24.6640625" style="212" customWidth="1"/>
    <col min="7683" max="7683" width="22.6640625" style="212" customWidth="1"/>
    <col min="7684" max="7684" width="29.6640625" style="212" bestFit="1" customWidth="1"/>
    <col min="7685" max="7685" width="20.83203125" style="212" bestFit="1" customWidth="1"/>
    <col min="7686" max="7686" width="28" style="212" bestFit="1" customWidth="1"/>
    <col min="7687" max="7687" width="18.5" style="212" bestFit="1" customWidth="1"/>
    <col min="7688" max="7688" width="17.5" style="212" bestFit="1" customWidth="1"/>
    <col min="7689" max="7689" width="23.5" style="212" bestFit="1" customWidth="1"/>
    <col min="7690" max="7690" width="17.5" style="212" bestFit="1" customWidth="1"/>
    <col min="7691" max="7936" width="9.1640625" style="212"/>
    <col min="7937" max="7937" width="28.1640625" style="212" customWidth="1"/>
    <col min="7938" max="7938" width="24.6640625" style="212" customWidth="1"/>
    <col min="7939" max="7939" width="22.6640625" style="212" customWidth="1"/>
    <col min="7940" max="7940" width="29.6640625" style="212" bestFit="1" customWidth="1"/>
    <col min="7941" max="7941" width="20.83203125" style="212" bestFit="1" customWidth="1"/>
    <col min="7942" max="7942" width="28" style="212" bestFit="1" customWidth="1"/>
    <col min="7943" max="7943" width="18.5" style="212" bestFit="1" customWidth="1"/>
    <col min="7944" max="7944" width="17.5" style="212" bestFit="1" customWidth="1"/>
    <col min="7945" max="7945" width="23.5" style="212" bestFit="1" customWidth="1"/>
    <col min="7946" max="7946" width="17.5" style="212" bestFit="1" customWidth="1"/>
    <col min="7947" max="8192" width="9.1640625" style="212"/>
    <col min="8193" max="8193" width="28.1640625" style="212" customWidth="1"/>
    <col min="8194" max="8194" width="24.6640625" style="212" customWidth="1"/>
    <col min="8195" max="8195" width="22.6640625" style="212" customWidth="1"/>
    <col min="8196" max="8196" width="29.6640625" style="212" bestFit="1" customWidth="1"/>
    <col min="8197" max="8197" width="20.83203125" style="212" bestFit="1" customWidth="1"/>
    <col min="8198" max="8198" width="28" style="212" bestFit="1" customWidth="1"/>
    <col min="8199" max="8199" width="18.5" style="212" bestFit="1" customWidth="1"/>
    <col min="8200" max="8200" width="17.5" style="212" bestFit="1" customWidth="1"/>
    <col min="8201" max="8201" width="23.5" style="212" bestFit="1" customWidth="1"/>
    <col min="8202" max="8202" width="17.5" style="212" bestFit="1" customWidth="1"/>
    <col min="8203" max="8448" width="9.1640625" style="212"/>
    <col min="8449" max="8449" width="28.1640625" style="212" customWidth="1"/>
    <col min="8450" max="8450" width="24.6640625" style="212" customWidth="1"/>
    <col min="8451" max="8451" width="22.6640625" style="212" customWidth="1"/>
    <col min="8452" max="8452" width="29.6640625" style="212" bestFit="1" customWidth="1"/>
    <col min="8453" max="8453" width="20.83203125" style="212" bestFit="1" customWidth="1"/>
    <col min="8454" max="8454" width="28" style="212" bestFit="1" customWidth="1"/>
    <col min="8455" max="8455" width="18.5" style="212" bestFit="1" customWidth="1"/>
    <col min="8456" max="8456" width="17.5" style="212" bestFit="1" customWidth="1"/>
    <col min="8457" max="8457" width="23.5" style="212" bestFit="1" customWidth="1"/>
    <col min="8458" max="8458" width="17.5" style="212" bestFit="1" customWidth="1"/>
    <col min="8459" max="8704" width="9.1640625" style="212"/>
    <col min="8705" max="8705" width="28.1640625" style="212" customWidth="1"/>
    <col min="8706" max="8706" width="24.6640625" style="212" customWidth="1"/>
    <col min="8707" max="8707" width="22.6640625" style="212" customWidth="1"/>
    <col min="8708" max="8708" width="29.6640625" style="212" bestFit="1" customWidth="1"/>
    <col min="8709" max="8709" width="20.83203125" style="212" bestFit="1" customWidth="1"/>
    <col min="8710" max="8710" width="28" style="212" bestFit="1" customWidth="1"/>
    <col min="8711" max="8711" width="18.5" style="212" bestFit="1" customWidth="1"/>
    <col min="8712" max="8712" width="17.5" style="212" bestFit="1" customWidth="1"/>
    <col min="8713" max="8713" width="23.5" style="212" bestFit="1" customWidth="1"/>
    <col min="8714" max="8714" width="17.5" style="212" bestFit="1" customWidth="1"/>
    <col min="8715" max="8960" width="9.1640625" style="212"/>
    <col min="8961" max="8961" width="28.1640625" style="212" customWidth="1"/>
    <col min="8962" max="8962" width="24.6640625" style="212" customWidth="1"/>
    <col min="8963" max="8963" width="22.6640625" style="212" customWidth="1"/>
    <col min="8964" max="8964" width="29.6640625" style="212" bestFit="1" customWidth="1"/>
    <col min="8965" max="8965" width="20.83203125" style="212" bestFit="1" customWidth="1"/>
    <col min="8966" max="8966" width="28" style="212" bestFit="1" customWidth="1"/>
    <col min="8967" max="8967" width="18.5" style="212" bestFit="1" customWidth="1"/>
    <col min="8968" max="8968" width="17.5" style="212" bestFit="1" customWidth="1"/>
    <col min="8969" max="8969" width="23.5" style="212" bestFit="1" customWidth="1"/>
    <col min="8970" max="8970" width="17.5" style="212" bestFit="1" customWidth="1"/>
    <col min="8971" max="9216" width="9.1640625" style="212"/>
    <col min="9217" max="9217" width="28.1640625" style="212" customWidth="1"/>
    <col min="9218" max="9218" width="24.6640625" style="212" customWidth="1"/>
    <col min="9219" max="9219" width="22.6640625" style="212" customWidth="1"/>
    <col min="9220" max="9220" width="29.6640625" style="212" bestFit="1" customWidth="1"/>
    <col min="9221" max="9221" width="20.83203125" style="212" bestFit="1" customWidth="1"/>
    <col min="9222" max="9222" width="28" style="212" bestFit="1" customWidth="1"/>
    <col min="9223" max="9223" width="18.5" style="212" bestFit="1" customWidth="1"/>
    <col min="9224" max="9224" width="17.5" style="212" bestFit="1" customWidth="1"/>
    <col min="9225" max="9225" width="23.5" style="212" bestFit="1" customWidth="1"/>
    <col min="9226" max="9226" width="17.5" style="212" bestFit="1" customWidth="1"/>
    <col min="9227" max="9472" width="9.1640625" style="212"/>
    <col min="9473" max="9473" width="28.1640625" style="212" customWidth="1"/>
    <col min="9474" max="9474" width="24.6640625" style="212" customWidth="1"/>
    <col min="9475" max="9475" width="22.6640625" style="212" customWidth="1"/>
    <col min="9476" max="9476" width="29.6640625" style="212" bestFit="1" customWidth="1"/>
    <col min="9477" max="9477" width="20.83203125" style="212" bestFit="1" customWidth="1"/>
    <col min="9478" max="9478" width="28" style="212" bestFit="1" customWidth="1"/>
    <col min="9479" max="9479" width="18.5" style="212" bestFit="1" customWidth="1"/>
    <col min="9480" max="9480" width="17.5" style="212" bestFit="1" customWidth="1"/>
    <col min="9481" max="9481" width="23.5" style="212" bestFit="1" customWidth="1"/>
    <col min="9482" max="9482" width="17.5" style="212" bestFit="1" customWidth="1"/>
    <col min="9483" max="9728" width="9.1640625" style="212"/>
    <col min="9729" max="9729" width="28.1640625" style="212" customWidth="1"/>
    <col min="9730" max="9730" width="24.6640625" style="212" customWidth="1"/>
    <col min="9731" max="9731" width="22.6640625" style="212" customWidth="1"/>
    <col min="9732" max="9732" width="29.6640625" style="212" bestFit="1" customWidth="1"/>
    <col min="9733" max="9733" width="20.83203125" style="212" bestFit="1" customWidth="1"/>
    <col min="9734" max="9734" width="28" style="212" bestFit="1" customWidth="1"/>
    <col min="9735" max="9735" width="18.5" style="212" bestFit="1" customWidth="1"/>
    <col min="9736" max="9736" width="17.5" style="212" bestFit="1" customWidth="1"/>
    <col min="9737" max="9737" width="23.5" style="212" bestFit="1" customWidth="1"/>
    <col min="9738" max="9738" width="17.5" style="212" bestFit="1" customWidth="1"/>
    <col min="9739" max="9984" width="9.1640625" style="212"/>
    <col min="9985" max="9985" width="28.1640625" style="212" customWidth="1"/>
    <col min="9986" max="9986" width="24.6640625" style="212" customWidth="1"/>
    <col min="9987" max="9987" width="22.6640625" style="212" customWidth="1"/>
    <col min="9988" max="9988" width="29.6640625" style="212" bestFit="1" customWidth="1"/>
    <col min="9989" max="9989" width="20.83203125" style="212" bestFit="1" customWidth="1"/>
    <col min="9990" max="9990" width="28" style="212" bestFit="1" customWidth="1"/>
    <col min="9991" max="9991" width="18.5" style="212" bestFit="1" customWidth="1"/>
    <col min="9992" max="9992" width="17.5" style="212" bestFit="1" customWidth="1"/>
    <col min="9993" max="9993" width="23.5" style="212" bestFit="1" customWidth="1"/>
    <col min="9994" max="9994" width="17.5" style="212" bestFit="1" customWidth="1"/>
    <col min="9995" max="10240" width="9.1640625" style="212"/>
    <col min="10241" max="10241" width="28.1640625" style="212" customWidth="1"/>
    <col min="10242" max="10242" width="24.6640625" style="212" customWidth="1"/>
    <col min="10243" max="10243" width="22.6640625" style="212" customWidth="1"/>
    <col min="10244" max="10244" width="29.6640625" style="212" bestFit="1" customWidth="1"/>
    <col min="10245" max="10245" width="20.83203125" style="212" bestFit="1" customWidth="1"/>
    <col min="10246" max="10246" width="28" style="212" bestFit="1" customWidth="1"/>
    <col min="10247" max="10247" width="18.5" style="212" bestFit="1" customWidth="1"/>
    <col min="10248" max="10248" width="17.5" style="212" bestFit="1" customWidth="1"/>
    <col min="10249" max="10249" width="23.5" style="212" bestFit="1" customWidth="1"/>
    <col min="10250" max="10250" width="17.5" style="212" bestFit="1" customWidth="1"/>
    <col min="10251" max="10496" width="9.1640625" style="212"/>
    <col min="10497" max="10497" width="28.1640625" style="212" customWidth="1"/>
    <col min="10498" max="10498" width="24.6640625" style="212" customWidth="1"/>
    <col min="10499" max="10499" width="22.6640625" style="212" customWidth="1"/>
    <col min="10500" max="10500" width="29.6640625" style="212" bestFit="1" customWidth="1"/>
    <col min="10501" max="10501" width="20.83203125" style="212" bestFit="1" customWidth="1"/>
    <col min="10502" max="10502" width="28" style="212" bestFit="1" customWidth="1"/>
    <col min="10503" max="10503" width="18.5" style="212" bestFit="1" customWidth="1"/>
    <col min="10504" max="10504" width="17.5" style="212" bestFit="1" customWidth="1"/>
    <col min="10505" max="10505" width="23.5" style="212" bestFit="1" customWidth="1"/>
    <col min="10506" max="10506" width="17.5" style="212" bestFit="1" customWidth="1"/>
    <col min="10507" max="10752" width="9.1640625" style="212"/>
    <col min="10753" max="10753" width="28.1640625" style="212" customWidth="1"/>
    <col min="10754" max="10754" width="24.6640625" style="212" customWidth="1"/>
    <col min="10755" max="10755" width="22.6640625" style="212" customWidth="1"/>
    <col min="10756" max="10756" width="29.6640625" style="212" bestFit="1" customWidth="1"/>
    <col min="10757" max="10757" width="20.83203125" style="212" bestFit="1" customWidth="1"/>
    <col min="10758" max="10758" width="28" style="212" bestFit="1" customWidth="1"/>
    <col min="10759" max="10759" width="18.5" style="212" bestFit="1" customWidth="1"/>
    <col min="10760" max="10760" width="17.5" style="212" bestFit="1" customWidth="1"/>
    <col min="10761" max="10761" width="23.5" style="212" bestFit="1" customWidth="1"/>
    <col min="10762" max="10762" width="17.5" style="212" bestFit="1" customWidth="1"/>
    <col min="10763" max="11008" width="9.1640625" style="212"/>
    <col min="11009" max="11009" width="28.1640625" style="212" customWidth="1"/>
    <col min="11010" max="11010" width="24.6640625" style="212" customWidth="1"/>
    <col min="11011" max="11011" width="22.6640625" style="212" customWidth="1"/>
    <col min="11012" max="11012" width="29.6640625" style="212" bestFit="1" customWidth="1"/>
    <col min="11013" max="11013" width="20.83203125" style="212" bestFit="1" customWidth="1"/>
    <col min="11014" max="11014" width="28" style="212" bestFit="1" customWidth="1"/>
    <col min="11015" max="11015" width="18.5" style="212" bestFit="1" customWidth="1"/>
    <col min="11016" max="11016" width="17.5" style="212" bestFit="1" customWidth="1"/>
    <col min="11017" max="11017" width="23.5" style="212" bestFit="1" customWidth="1"/>
    <col min="11018" max="11018" width="17.5" style="212" bestFit="1" customWidth="1"/>
    <col min="11019" max="11264" width="9.1640625" style="212"/>
    <col min="11265" max="11265" width="28.1640625" style="212" customWidth="1"/>
    <col min="11266" max="11266" width="24.6640625" style="212" customWidth="1"/>
    <col min="11267" max="11267" width="22.6640625" style="212" customWidth="1"/>
    <col min="11268" max="11268" width="29.6640625" style="212" bestFit="1" customWidth="1"/>
    <col min="11269" max="11269" width="20.83203125" style="212" bestFit="1" customWidth="1"/>
    <col min="11270" max="11270" width="28" style="212" bestFit="1" customWidth="1"/>
    <col min="11271" max="11271" width="18.5" style="212" bestFit="1" customWidth="1"/>
    <col min="11272" max="11272" width="17.5" style="212" bestFit="1" customWidth="1"/>
    <col min="11273" max="11273" width="23.5" style="212" bestFit="1" customWidth="1"/>
    <col min="11274" max="11274" width="17.5" style="212" bestFit="1" customWidth="1"/>
    <col min="11275" max="11520" width="9.1640625" style="212"/>
    <col min="11521" max="11521" width="28.1640625" style="212" customWidth="1"/>
    <col min="11522" max="11522" width="24.6640625" style="212" customWidth="1"/>
    <col min="11523" max="11523" width="22.6640625" style="212" customWidth="1"/>
    <col min="11524" max="11524" width="29.6640625" style="212" bestFit="1" customWidth="1"/>
    <col min="11525" max="11525" width="20.83203125" style="212" bestFit="1" customWidth="1"/>
    <col min="11526" max="11526" width="28" style="212" bestFit="1" customWidth="1"/>
    <col min="11527" max="11527" width="18.5" style="212" bestFit="1" customWidth="1"/>
    <col min="11528" max="11528" width="17.5" style="212" bestFit="1" customWidth="1"/>
    <col min="11529" max="11529" width="23.5" style="212" bestFit="1" customWidth="1"/>
    <col min="11530" max="11530" width="17.5" style="212" bestFit="1" customWidth="1"/>
    <col min="11531" max="11776" width="9.1640625" style="212"/>
    <col min="11777" max="11777" width="28.1640625" style="212" customWidth="1"/>
    <col min="11778" max="11778" width="24.6640625" style="212" customWidth="1"/>
    <col min="11779" max="11779" width="22.6640625" style="212" customWidth="1"/>
    <col min="11780" max="11780" width="29.6640625" style="212" bestFit="1" customWidth="1"/>
    <col min="11781" max="11781" width="20.83203125" style="212" bestFit="1" customWidth="1"/>
    <col min="11782" max="11782" width="28" style="212" bestFit="1" customWidth="1"/>
    <col min="11783" max="11783" width="18.5" style="212" bestFit="1" customWidth="1"/>
    <col min="11784" max="11784" width="17.5" style="212" bestFit="1" customWidth="1"/>
    <col min="11785" max="11785" width="23.5" style="212" bestFit="1" customWidth="1"/>
    <col min="11786" max="11786" width="17.5" style="212" bestFit="1" customWidth="1"/>
    <col min="11787" max="12032" width="9.1640625" style="212"/>
    <col min="12033" max="12033" width="28.1640625" style="212" customWidth="1"/>
    <col min="12034" max="12034" width="24.6640625" style="212" customWidth="1"/>
    <col min="12035" max="12035" width="22.6640625" style="212" customWidth="1"/>
    <col min="12036" max="12036" width="29.6640625" style="212" bestFit="1" customWidth="1"/>
    <col min="12037" max="12037" width="20.83203125" style="212" bestFit="1" customWidth="1"/>
    <col min="12038" max="12038" width="28" style="212" bestFit="1" customWidth="1"/>
    <col min="12039" max="12039" width="18.5" style="212" bestFit="1" customWidth="1"/>
    <col min="12040" max="12040" width="17.5" style="212" bestFit="1" customWidth="1"/>
    <col min="12041" max="12041" width="23.5" style="212" bestFit="1" customWidth="1"/>
    <col min="12042" max="12042" width="17.5" style="212" bestFit="1" customWidth="1"/>
    <col min="12043" max="12288" width="9.1640625" style="212"/>
    <col min="12289" max="12289" width="28.1640625" style="212" customWidth="1"/>
    <col min="12290" max="12290" width="24.6640625" style="212" customWidth="1"/>
    <col min="12291" max="12291" width="22.6640625" style="212" customWidth="1"/>
    <col min="12292" max="12292" width="29.6640625" style="212" bestFit="1" customWidth="1"/>
    <col min="12293" max="12293" width="20.83203125" style="212" bestFit="1" customWidth="1"/>
    <col min="12294" max="12294" width="28" style="212" bestFit="1" customWidth="1"/>
    <col min="12295" max="12295" width="18.5" style="212" bestFit="1" customWidth="1"/>
    <col min="12296" max="12296" width="17.5" style="212" bestFit="1" customWidth="1"/>
    <col min="12297" max="12297" width="23.5" style="212" bestFit="1" customWidth="1"/>
    <col min="12298" max="12298" width="17.5" style="212" bestFit="1" customWidth="1"/>
    <col min="12299" max="12544" width="9.1640625" style="212"/>
    <col min="12545" max="12545" width="28.1640625" style="212" customWidth="1"/>
    <col min="12546" max="12546" width="24.6640625" style="212" customWidth="1"/>
    <col min="12547" max="12547" width="22.6640625" style="212" customWidth="1"/>
    <col min="12548" max="12548" width="29.6640625" style="212" bestFit="1" customWidth="1"/>
    <col min="12549" max="12549" width="20.83203125" style="212" bestFit="1" customWidth="1"/>
    <col min="12550" max="12550" width="28" style="212" bestFit="1" customWidth="1"/>
    <col min="12551" max="12551" width="18.5" style="212" bestFit="1" customWidth="1"/>
    <col min="12552" max="12552" width="17.5" style="212" bestFit="1" customWidth="1"/>
    <col min="12553" max="12553" width="23.5" style="212" bestFit="1" customWidth="1"/>
    <col min="12554" max="12554" width="17.5" style="212" bestFit="1" customWidth="1"/>
    <col min="12555" max="12800" width="9.1640625" style="212"/>
    <col min="12801" max="12801" width="28.1640625" style="212" customWidth="1"/>
    <col min="12802" max="12802" width="24.6640625" style="212" customWidth="1"/>
    <col min="12803" max="12803" width="22.6640625" style="212" customWidth="1"/>
    <col min="12804" max="12804" width="29.6640625" style="212" bestFit="1" customWidth="1"/>
    <col min="12805" max="12805" width="20.83203125" style="212" bestFit="1" customWidth="1"/>
    <col min="12806" max="12806" width="28" style="212" bestFit="1" customWidth="1"/>
    <col min="12807" max="12807" width="18.5" style="212" bestFit="1" customWidth="1"/>
    <col min="12808" max="12808" width="17.5" style="212" bestFit="1" customWidth="1"/>
    <col min="12809" max="12809" width="23.5" style="212" bestFit="1" customWidth="1"/>
    <col min="12810" max="12810" width="17.5" style="212" bestFit="1" customWidth="1"/>
    <col min="12811" max="13056" width="9.1640625" style="212"/>
    <col min="13057" max="13057" width="28.1640625" style="212" customWidth="1"/>
    <col min="13058" max="13058" width="24.6640625" style="212" customWidth="1"/>
    <col min="13059" max="13059" width="22.6640625" style="212" customWidth="1"/>
    <col min="13060" max="13060" width="29.6640625" style="212" bestFit="1" customWidth="1"/>
    <col min="13061" max="13061" width="20.83203125" style="212" bestFit="1" customWidth="1"/>
    <col min="13062" max="13062" width="28" style="212" bestFit="1" customWidth="1"/>
    <col min="13063" max="13063" width="18.5" style="212" bestFit="1" customWidth="1"/>
    <col min="13064" max="13064" width="17.5" style="212" bestFit="1" customWidth="1"/>
    <col min="13065" max="13065" width="23.5" style="212" bestFit="1" customWidth="1"/>
    <col min="13066" max="13066" width="17.5" style="212" bestFit="1" customWidth="1"/>
    <col min="13067" max="13312" width="9.1640625" style="212"/>
    <col min="13313" max="13313" width="28.1640625" style="212" customWidth="1"/>
    <col min="13314" max="13314" width="24.6640625" style="212" customWidth="1"/>
    <col min="13315" max="13315" width="22.6640625" style="212" customWidth="1"/>
    <col min="13316" max="13316" width="29.6640625" style="212" bestFit="1" customWidth="1"/>
    <col min="13317" max="13317" width="20.83203125" style="212" bestFit="1" customWidth="1"/>
    <col min="13318" max="13318" width="28" style="212" bestFit="1" customWidth="1"/>
    <col min="13319" max="13319" width="18.5" style="212" bestFit="1" customWidth="1"/>
    <col min="13320" max="13320" width="17.5" style="212" bestFit="1" customWidth="1"/>
    <col min="13321" max="13321" width="23.5" style="212" bestFit="1" customWidth="1"/>
    <col min="13322" max="13322" width="17.5" style="212" bestFit="1" customWidth="1"/>
    <col min="13323" max="13568" width="9.1640625" style="212"/>
    <col min="13569" max="13569" width="28.1640625" style="212" customWidth="1"/>
    <col min="13570" max="13570" width="24.6640625" style="212" customWidth="1"/>
    <col min="13571" max="13571" width="22.6640625" style="212" customWidth="1"/>
    <col min="13572" max="13572" width="29.6640625" style="212" bestFit="1" customWidth="1"/>
    <col min="13573" max="13573" width="20.83203125" style="212" bestFit="1" customWidth="1"/>
    <col min="13574" max="13574" width="28" style="212" bestFit="1" customWidth="1"/>
    <col min="13575" max="13575" width="18.5" style="212" bestFit="1" customWidth="1"/>
    <col min="13576" max="13576" width="17.5" style="212" bestFit="1" customWidth="1"/>
    <col min="13577" max="13577" width="23.5" style="212" bestFit="1" customWidth="1"/>
    <col min="13578" max="13578" width="17.5" style="212" bestFit="1" customWidth="1"/>
    <col min="13579" max="13824" width="9.1640625" style="212"/>
    <col min="13825" max="13825" width="28.1640625" style="212" customWidth="1"/>
    <col min="13826" max="13826" width="24.6640625" style="212" customWidth="1"/>
    <col min="13827" max="13827" width="22.6640625" style="212" customWidth="1"/>
    <col min="13828" max="13828" width="29.6640625" style="212" bestFit="1" customWidth="1"/>
    <col min="13829" max="13829" width="20.83203125" style="212" bestFit="1" customWidth="1"/>
    <col min="13830" max="13830" width="28" style="212" bestFit="1" customWidth="1"/>
    <col min="13831" max="13831" width="18.5" style="212" bestFit="1" customWidth="1"/>
    <col min="13832" max="13832" width="17.5" style="212" bestFit="1" customWidth="1"/>
    <col min="13833" max="13833" width="23.5" style="212" bestFit="1" customWidth="1"/>
    <col min="13834" max="13834" width="17.5" style="212" bestFit="1" customWidth="1"/>
    <col min="13835" max="14080" width="9.1640625" style="212"/>
    <col min="14081" max="14081" width="28.1640625" style="212" customWidth="1"/>
    <col min="14082" max="14082" width="24.6640625" style="212" customWidth="1"/>
    <col min="14083" max="14083" width="22.6640625" style="212" customWidth="1"/>
    <col min="14084" max="14084" width="29.6640625" style="212" bestFit="1" customWidth="1"/>
    <col min="14085" max="14085" width="20.83203125" style="212" bestFit="1" customWidth="1"/>
    <col min="14086" max="14086" width="28" style="212" bestFit="1" customWidth="1"/>
    <col min="14087" max="14087" width="18.5" style="212" bestFit="1" customWidth="1"/>
    <col min="14088" max="14088" width="17.5" style="212" bestFit="1" customWidth="1"/>
    <col min="14089" max="14089" width="23.5" style="212" bestFit="1" customWidth="1"/>
    <col min="14090" max="14090" width="17.5" style="212" bestFit="1" customWidth="1"/>
    <col min="14091" max="14336" width="9.1640625" style="212"/>
    <col min="14337" max="14337" width="28.1640625" style="212" customWidth="1"/>
    <col min="14338" max="14338" width="24.6640625" style="212" customWidth="1"/>
    <col min="14339" max="14339" width="22.6640625" style="212" customWidth="1"/>
    <col min="14340" max="14340" width="29.6640625" style="212" bestFit="1" customWidth="1"/>
    <col min="14341" max="14341" width="20.83203125" style="212" bestFit="1" customWidth="1"/>
    <col min="14342" max="14342" width="28" style="212" bestFit="1" customWidth="1"/>
    <col min="14343" max="14343" width="18.5" style="212" bestFit="1" customWidth="1"/>
    <col min="14344" max="14344" width="17.5" style="212" bestFit="1" customWidth="1"/>
    <col min="14345" max="14345" width="23.5" style="212" bestFit="1" customWidth="1"/>
    <col min="14346" max="14346" width="17.5" style="212" bestFit="1" customWidth="1"/>
    <col min="14347" max="14592" width="9.1640625" style="212"/>
    <col min="14593" max="14593" width="28.1640625" style="212" customWidth="1"/>
    <col min="14594" max="14594" width="24.6640625" style="212" customWidth="1"/>
    <col min="14595" max="14595" width="22.6640625" style="212" customWidth="1"/>
    <col min="14596" max="14596" width="29.6640625" style="212" bestFit="1" customWidth="1"/>
    <col min="14597" max="14597" width="20.83203125" style="212" bestFit="1" customWidth="1"/>
    <col min="14598" max="14598" width="28" style="212" bestFit="1" customWidth="1"/>
    <col min="14599" max="14599" width="18.5" style="212" bestFit="1" customWidth="1"/>
    <col min="14600" max="14600" width="17.5" style="212" bestFit="1" customWidth="1"/>
    <col min="14601" max="14601" width="23.5" style="212" bestFit="1" customWidth="1"/>
    <col min="14602" max="14602" width="17.5" style="212" bestFit="1" customWidth="1"/>
    <col min="14603" max="14848" width="9.1640625" style="212"/>
    <col min="14849" max="14849" width="28.1640625" style="212" customWidth="1"/>
    <col min="14850" max="14850" width="24.6640625" style="212" customWidth="1"/>
    <col min="14851" max="14851" width="22.6640625" style="212" customWidth="1"/>
    <col min="14852" max="14852" width="29.6640625" style="212" bestFit="1" customWidth="1"/>
    <col min="14853" max="14853" width="20.83203125" style="212" bestFit="1" customWidth="1"/>
    <col min="14854" max="14854" width="28" style="212" bestFit="1" customWidth="1"/>
    <col min="14855" max="14855" width="18.5" style="212" bestFit="1" customWidth="1"/>
    <col min="14856" max="14856" width="17.5" style="212" bestFit="1" customWidth="1"/>
    <col min="14857" max="14857" width="23.5" style="212" bestFit="1" customWidth="1"/>
    <col min="14858" max="14858" width="17.5" style="212" bestFit="1" customWidth="1"/>
    <col min="14859" max="15104" width="9.1640625" style="212"/>
    <col min="15105" max="15105" width="28.1640625" style="212" customWidth="1"/>
    <col min="15106" max="15106" width="24.6640625" style="212" customWidth="1"/>
    <col min="15107" max="15107" width="22.6640625" style="212" customWidth="1"/>
    <col min="15108" max="15108" width="29.6640625" style="212" bestFit="1" customWidth="1"/>
    <col min="15109" max="15109" width="20.83203125" style="212" bestFit="1" customWidth="1"/>
    <col min="15110" max="15110" width="28" style="212" bestFit="1" customWidth="1"/>
    <col min="15111" max="15111" width="18.5" style="212" bestFit="1" customWidth="1"/>
    <col min="15112" max="15112" width="17.5" style="212" bestFit="1" customWidth="1"/>
    <col min="15113" max="15113" width="23.5" style="212" bestFit="1" customWidth="1"/>
    <col min="15114" max="15114" width="17.5" style="212" bestFit="1" customWidth="1"/>
    <col min="15115" max="15360" width="9.1640625" style="212"/>
    <col min="15361" max="15361" width="28.1640625" style="212" customWidth="1"/>
    <col min="15362" max="15362" width="24.6640625" style="212" customWidth="1"/>
    <col min="15363" max="15363" width="22.6640625" style="212" customWidth="1"/>
    <col min="15364" max="15364" width="29.6640625" style="212" bestFit="1" customWidth="1"/>
    <col min="15365" max="15365" width="20.83203125" style="212" bestFit="1" customWidth="1"/>
    <col min="15366" max="15366" width="28" style="212" bestFit="1" customWidth="1"/>
    <col min="15367" max="15367" width="18.5" style="212" bestFit="1" customWidth="1"/>
    <col min="15368" max="15368" width="17.5" style="212" bestFit="1" customWidth="1"/>
    <col min="15369" max="15369" width="23.5" style="212" bestFit="1" customWidth="1"/>
    <col min="15370" max="15370" width="17.5" style="212" bestFit="1" customWidth="1"/>
    <col min="15371" max="15616" width="9.1640625" style="212"/>
    <col min="15617" max="15617" width="28.1640625" style="212" customWidth="1"/>
    <col min="15618" max="15618" width="24.6640625" style="212" customWidth="1"/>
    <col min="15619" max="15619" width="22.6640625" style="212" customWidth="1"/>
    <col min="15620" max="15620" width="29.6640625" style="212" bestFit="1" customWidth="1"/>
    <col min="15621" max="15621" width="20.83203125" style="212" bestFit="1" customWidth="1"/>
    <col min="15622" max="15622" width="28" style="212" bestFit="1" customWidth="1"/>
    <col min="15623" max="15623" width="18.5" style="212" bestFit="1" customWidth="1"/>
    <col min="15624" max="15624" width="17.5" style="212" bestFit="1" customWidth="1"/>
    <col min="15625" max="15625" width="23.5" style="212" bestFit="1" customWidth="1"/>
    <col min="15626" max="15626" width="17.5" style="212" bestFit="1" customWidth="1"/>
    <col min="15627" max="15872" width="9.1640625" style="212"/>
    <col min="15873" max="15873" width="28.1640625" style="212" customWidth="1"/>
    <col min="15874" max="15874" width="24.6640625" style="212" customWidth="1"/>
    <col min="15875" max="15875" width="22.6640625" style="212" customWidth="1"/>
    <col min="15876" max="15876" width="29.6640625" style="212" bestFit="1" customWidth="1"/>
    <col min="15877" max="15877" width="20.83203125" style="212" bestFit="1" customWidth="1"/>
    <col min="15878" max="15878" width="28" style="212" bestFit="1" customWidth="1"/>
    <col min="15879" max="15879" width="18.5" style="212" bestFit="1" customWidth="1"/>
    <col min="15880" max="15880" width="17.5" style="212" bestFit="1" customWidth="1"/>
    <col min="15881" max="15881" width="23.5" style="212" bestFit="1" customWidth="1"/>
    <col min="15882" max="15882" width="17.5" style="212" bestFit="1" customWidth="1"/>
    <col min="15883" max="16128" width="9.1640625" style="212"/>
    <col min="16129" max="16129" width="28.1640625" style="212" customWidth="1"/>
    <col min="16130" max="16130" width="24.6640625" style="212" customWidth="1"/>
    <col min="16131" max="16131" width="22.6640625" style="212" customWidth="1"/>
    <col min="16132" max="16132" width="29.6640625" style="212" bestFit="1" customWidth="1"/>
    <col min="16133" max="16133" width="20.83203125" style="212" bestFit="1" customWidth="1"/>
    <col min="16134" max="16134" width="28" style="212" bestFit="1" customWidth="1"/>
    <col min="16135" max="16135" width="18.5" style="212" bestFit="1" customWidth="1"/>
    <col min="16136" max="16136" width="17.5" style="212" bestFit="1" customWidth="1"/>
    <col min="16137" max="16137" width="23.5" style="212" bestFit="1" customWidth="1"/>
    <col min="16138" max="16138" width="17.5" style="212" bestFit="1" customWidth="1"/>
    <col min="16139" max="16384" width="9.1640625" style="212"/>
  </cols>
  <sheetData>
    <row r="1" spans="1:10">
      <c r="A1" s="212" t="s">
        <v>832</v>
      </c>
    </row>
    <row r="2" spans="1:10">
      <c r="A2" s="212" t="s">
        <v>833</v>
      </c>
    </row>
    <row r="3" spans="1:10">
      <c r="D3" s="212" t="s">
        <v>834</v>
      </c>
    </row>
    <row r="4" spans="1:10">
      <c r="A4" s="213" t="s">
        <v>835</v>
      </c>
      <c r="B4" s="213" t="s">
        <v>836</v>
      </c>
      <c r="D4" s="214">
        <v>7.3727999999999998</v>
      </c>
    </row>
    <row r="5" spans="1:10">
      <c r="A5" s="213" t="s">
        <v>837</v>
      </c>
      <c r="B5" s="215" t="s">
        <v>837</v>
      </c>
      <c r="D5" s="214">
        <v>8</v>
      </c>
    </row>
    <row r="6" spans="1:10">
      <c r="A6" s="220">
        <v>300</v>
      </c>
      <c r="B6" s="220">
        <v>16</v>
      </c>
      <c r="C6" s="212" t="s">
        <v>838</v>
      </c>
      <c r="D6" s="214">
        <v>9.2159999999999993</v>
      </c>
    </row>
    <row r="7" spans="1:10">
      <c r="B7" s="212">
        <f>$B$6*10^6</f>
        <v>16000000</v>
      </c>
      <c r="C7" s="212" t="s">
        <v>839</v>
      </c>
      <c r="D7" s="214">
        <v>10.24</v>
      </c>
    </row>
    <row r="8" spans="1:10">
      <c r="D8" s="214">
        <v>11.059200000000001</v>
      </c>
    </row>
    <row r="10" spans="1:10">
      <c r="G10" s="212" t="s">
        <v>840</v>
      </c>
      <c r="H10" s="212" t="s">
        <v>840</v>
      </c>
      <c r="I10" s="212" t="s">
        <v>840</v>
      </c>
      <c r="J10" s="212" t="s">
        <v>840</v>
      </c>
    </row>
    <row r="11" spans="1:10">
      <c r="A11" s="212" t="s">
        <v>841</v>
      </c>
      <c r="B11" s="212" t="s">
        <v>842</v>
      </c>
      <c r="C11" s="215" t="s">
        <v>843</v>
      </c>
      <c r="D11" s="212" t="s">
        <v>844</v>
      </c>
      <c r="E11" s="215" t="s">
        <v>845</v>
      </c>
      <c r="F11" s="212" t="s">
        <v>846</v>
      </c>
      <c r="G11" s="212" t="s">
        <v>847</v>
      </c>
      <c r="H11" s="212" t="s">
        <v>848</v>
      </c>
      <c r="I11" s="212" t="s">
        <v>849</v>
      </c>
      <c r="J11" s="212" t="s">
        <v>850</v>
      </c>
    </row>
    <row r="12" spans="1:10">
      <c r="A12" s="212">
        <v>1</v>
      </c>
      <c r="B12" s="212">
        <f t="shared" ref="B12:B18" si="0">PClock/(SR*$A12)</f>
        <v>53333.333333333336</v>
      </c>
      <c r="C12" s="215" t="str">
        <f t="shared" ref="C12:C18" si="1">DEC2HEX(B12,4)</f>
        <v>D055</v>
      </c>
      <c r="D12" s="215">
        <f t="shared" ref="D12:D18" si="2">1/(HEX2DEC(C12)*($A12/PClock))</f>
        <v>300.00187501171882</v>
      </c>
      <c r="E12" s="215" t="e">
        <f t="shared" ref="E12:E18" si="3">DEC2HEX(B12,2)</f>
        <v>#NUM!</v>
      </c>
      <c r="F12" s="215" t="e">
        <f t="shared" ref="F12:F18" si="4">1/(HEX2DEC(E12)*($A12/PClock))</f>
        <v>#NUM!</v>
      </c>
      <c r="G12" s="215">
        <f t="shared" ref="G12:G17" si="5">2^16-HEX2DEC(C12)</f>
        <v>12203</v>
      </c>
      <c r="H12" s="215" t="e">
        <f t="shared" ref="H12:H17" si="6">2^8 - HEX2DEC(E12)</f>
        <v>#NUM!</v>
      </c>
      <c r="I12" s="215" t="str">
        <f t="shared" ref="I12:I17" si="7">DEC2HEX(G12,4)</f>
        <v>2FAB</v>
      </c>
      <c r="J12" s="215" t="e">
        <f t="shared" ref="J12:J17" si="8">DEC2HEX(H12,2)</f>
        <v>#NUM!</v>
      </c>
    </row>
    <row r="13" spans="1:10">
      <c r="A13" s="212">
        <v>8</v>
      </c>
      <c r="B13" s="212">
        <f t="shared" si="0"/>
        <v>6666.666666666667</v>
      </c>
      <c r="C13" s="215" t="str">
        <f t="shared" si="1"/>
        <v>1A0A</v>
      </c>
      <c r="D13" s="215">
        <f t="shared" si="2"/>
        <v>300.03000300030004</v>
      </c>
      <c r="E13" s="215" t="e">
        <f t="shared" si="3"/>
        <v>#NUM!</v>
      </c>
      <c r="F13" s="215" t="e">
        <f t="shared" si="4"/>
        <v>#NUM!</v>
      </c>
      <c r="G13" s="215">
        <f t="shared" si="5"/>
        <v>58870</v>
      </c>
      <c r="H13" s="215" t="e">
        <f t="shared" si="6"/>
        <v>#NUM!</v>
      </c>
      <c r="I13" s="215" t="str">
        <f t="shared" si="7"/>
        <v>E5F6</v>
      </c>
      <c r="J13" s="215" t="e">
        <f t="shared" si="8"/>
        <v>#NUM!</v>
      </c>
    </row>
    <row r="14" spans="1:10">
      <c r="A14" s="212">
        <v>32</v>
      </c>
      <c r="B14" s="212">
        <f t="shared" si="0"/>
        <v>1666.6666666666667</v>
      </c>
      <c r="C14" s="215" t="str">
        <f t="shared" si="1"/>
        <v>0682</v>
      </c>
      <c r="D14" s="215">
        <f t="shared" si="2"/>
        <v>300.12004801920767</v>
      </c>
      <c r="E14" s="215" t="e">
        <f t="shared" si="3"/>
        <v>#NUM!</v>
      </c>
      <c r="F14" s="215" t="e">
        <f t="shared" si="4"/>
        <v>#NUM!</v>
      </c>
      <c r="G14" s="215">
        <f t="shared" si="5"/>
        <v>63870</v>
      </c>
      <c r="H14" s="215" t="e">
        <f t="shared" si="6"/>
        <v>#NUM!</v>
      </c>
      <c r="I14" s="215" t="str">
        <f t="shared" si="7"/>
        <v>F97E</v>
      </c>
      <c r="J14" s="215" t="e">
        <f t="shared" si="8"/>
        <v>#NUM!</v>
      </c>
    </row>
    <row r="15" spans="1:10">
      <c r="A15" s="212">
        <v>64</v>
      </c>
      <c r="B15" s="212">
        <f t="shared" si="0"/>
        <v>833.33333333333337</v>
      </c>
      <c r="C15" s="215" t="str">
        <f t="shared" si="1"/>
        <v>0341</v>
      </c>
      <c r="D15" s="215">
        <f t="shared" si="2"/>
        <v>300.12004801920767</v>
      </c>
      <c r="E15" s="215" t="e">
        <f t="shared" si="3"/>
        <v>#NUM!</v>
      </c>
      <c r="F15" s="215" t="e">
        <f t="shared" si="4"/>
        <v>#NUM!</v>
      </c>
      <c r="G15" s="215">
        <f t="shared" si="5"/>
        <v>64703</v>
      </c>
      <c r="H15" s="215" t="e">
        <f t="shared" si="6"/>
        <v>#NUM!</v>
      </c>
      <c r="I15" s="215" t="str">
        <f t="shared" si="7"/>
        <v>FCBF</v>
      </c>
      <c r="J15" s="215" t="e">
        <f t="shared" si="8"/>
        <v>#NUM!</v>
      </c>
    </row>
    <row r="16" spans="1:10">
      <c r="A16" s="212">
        <v>128</v>
      </c>
      <c r="B16" s="212">
        <f t="shared" si="0"/>
        <v>416.66666666666669</v>
      </c>
      <c r="C16" s="215" t="str">
        <f t="shared" si="1"/>
        <v>01A0</v>
      </c>
      <c r="D16" s="215">
        <f t="shared" si="2"/>
        <v>300.48076923076923</v>
      </c>
      <c r="E16" s="215" t="e">
        <f t="shared" si="3"/>
        <v>#NUM!</v>
      </c>
      <c r="F16" s="215" t="e">
        <f t="shared" si="4"/>
        <v>#NUM!</v>
      </c>
      <c r="G16" s="215">
        <f t="shared" si="5"/>
        <v>65120</v>
      </c>
      <c r="H16" s="215" t="e">
        <f t="shared" si="6"/>
        <v>#NUM!</v>
      </c>
      <c r="I16" s="215" t="str">
        <f t="shared" si="7"/>
        <v>FE60</v>
      </c>
      <c r="J16" s="215" t="e">
        <f t="shared" si="8"/>
        <v>#NUM!</v>
      </c>
    </row>
    <row r="17" spans="1:10">
      <c r="A17" s="212">
        <v>256</v>
      </c>
      <c r="B17" s="212">
        <f t="shared" si="0"/>
        <v>208.33333333333334</v>
      </c>
      <c r="C17" s="215" t="str">
        <f t="shared" si="1"/>
        <v>00D0</v>
      </c>
      <c r="D17" s="215">
        <f t="shared" si="2"/>
        <v>300.48076923076923</v>
      </c>
      <c r="E17" s="215" t="str">
        <f t="shared" si="3"/>
        <v>D0</v>
      </c>
      <c r="F17" s="215">
        <f t="shared" si="4"/>
        <v>300.48076923076923</v>
      </c>
      <c r="G17" s="215">
        <f t="shared" si="5"/>
        <v>65328</v>
      </c>
      <c r="H17" s="215">
        <f t="shared" si="6"/>
        <v>48</v>
      </c>
      <c r="I17" s="215" t="str">
        <f t="shared" si="7"/>
        <v>FF30</v>
      </c>
      <c r="J17" s="215" t="str">
        <f t="shared" si="8"/>
        <v>30</v>
      </c>
    </row>
    <row r="18" spans="1:10">
      <c r="A18" s="212">
        <v>1024</v>
      </c>
      <c r="B18" s="212">
        <f t="shared" si="0"/>
        <v>52.083333333333336</v>
      </c>
      <c r="C18" s="215" t="str">
        <f t="shared" si="1"/>
        <v>0034</v>
      </c>
      <c r="D18" s="215">
        <f t="shared" si="2"/>
        <v>300.48076923076923</v>
      </c>
      <c r="E18" s="215" t="str">
        <f t="shared" si="3"/>
        <v>34</v>
      </c>
      <c r="F18" s="215">
        <f t="shared" si="4"/>
        <v>300.48076923076923</v>
      </c>
      <c r="G18" s="215">
        <f>2^16-HEX2DEC(C18)</f>
        <v>65484</v>
      </c>
      <c r="H18" s="215">
        <f>2^8 - HEX2DEC(E18)</f>
        <v>204</v>
      </c>
      <c r="I18" s="215" t="str">
        <f>DEC2HEX(G18,4)</f>
        <v>FFCC</v>
      </c>
      <c r="J18" s="215" t="str">
        <f>DEC2HEX(H18,2)</f>
        <v>CC</v>
      </c>
    </row>
    <row r="19" spans="1:10">
      <c r="B19" s="215"/>
      <c r="C19" s="215"/>
      <c r="D19" s="215"/>
    </row>
    <row r="20" spans="1:10">
      <c r="A20" s="212" t="s">
        <v>851</v>
      </c>
    </row>
    <row r="22" spans="1:10">
      <c r="A22" s="212" t="s">
        <v>852</v>
      </c>
    </row>
    <row r="23" spans="1:10">
      <c r="A23" s="212" t="s">
        <v>853</v>
      </c>
    </row>
    <row r="26" spans="1:10">
      <c r="A26" s="212" t="s">
        <v>841</v>
      </c>
      <c r="B26" s="221">
        <v>1024</v>
      </c>
      <c r="C26" s="212" t="s">
        <v>854</v>
      </c>
    </row>
    <row r="28" spans="1:10">
      <c r="A28" s="212" t="s">
        <v>855</v>
      </c>
      <c r="B28" s="215" t="s">
        <v>856</v>
      </c>
      <c r="C28" s="215" t="s">
        <v>843</v>
      </c>
      <c r="D28" s="212" t="s">
        <v>844</v>
      </c>
      <c r="E28" s="215" t="s">
        <v>845</v>
      </c>
    </row>
    <row r="29" spans="1:10">
      <c r="A29" s="212">
        <v>50</v>
      </c>
      <c r="B29" s="215">
        <f>PClock/($A29*$B$26)</f>
        <v>312.5</v>
      </c>
      <c r="C29" s="215" t="str">
        <f t="shared" ref="C29:C56" si="9">DEC2HEX(B29,4)</f>
        <v>0138</v>
      </c>
      <c r="D29" s="215">
        <f t="shared" ref="D29:D56" si="10">1/(HEX2DEC(C29)*($B$26/PClock))</f>
        <v>50.080128205128204</v>
      </c>
      <c r="E29" s="215" t="e">
        <f t="shared" ref="E29:E56" si="11">DEC2HEX(B29,2)</f>
        <v>#NUM!</v>
      </c>
      <c r="F29" s="215" t="e">
        <f t="shared" ref="F29:F56" si="12">1/(HEX2DEC(E29)*($B$26/PClock))</f>
        <v>#NUM!</v>
      </c>
    </row>
    <row r="30" spans="1:10">
      <c r="A30" s="212">
        <v>100</v>
      </c>
      <c r="B30" s="215">
        <f>PClock/($A30*$B$26)</f>
        <v>156.25</v>
      </c>
      <c r="C30" s="215" t="str">
        <f t="shared" si="9"/>
        <v>009C</v>
      </c>
      <c r="D30" s="215">
        <f t="shared" si="10"/>
        <v>100.16025641025641</v>
      </c>
      <c r="E30" s="215" t="str">
        <f t="shared" si="11"/>
        <v>9C</v>
      </c>
      <c r="F30" s="215">
        <f t="shared" si="12"/>
        <v>100.16025641025641</v>
      </c>
    </row>
    <row r="31" spans="1:10">
      <c r="A31" s="212">
        <v>150</v>
      </c>
      <c r="B31" s="215">
        <f t="shared" ref="B31:B56" si="13">PClock/($A31*$B$26)</f>
        <v>104.16666666666667</v>
      </c>
      <c r="C31" s="215" t="str">
        <f t="shared" si="9"/>
        <v>0068</v>
      </c>
      <c r="D31" s="215">
        <f t="shared" si="10"/>
        <v>150.24038461538461</v>
      </c>
      <c r="E31" s="215" t="str">
        <f t="shared" si="11"/>
        <v>68</v>
      </c>
      <c r="F31" s="215">
        <f t="shared" si="12"/>
        <v>150.24038461538461</v>
      </c>
    </row>
    <row r="32" spans="1:10">
      <c r="A32" s="212">
        <v>200</v>
      </c>
      <c r="B32" s="215">
        <f t="shared" si="13"/>
        <v>78.125</v>
      </c>
      <c r="C32" s="215" t="str">
        <f t="shared" si="9"/>
        <v>004E</v>
      </c>
      <c r="D32" s="215">
        <f t="shared" si="10"/>
        <v>200.32051282051282</v>
      </c>
      <c r="E32" s="215" t="str">
        <f t="shared" si="11"/>
        <v>4E</v>
      </c>
      <c r="F32" s="215">
        <f t="shared" si="12"/>
        <v>200.32051282051282</v>
      </c>
    </row>
    <row r="33" spans="1:6">
      <c r="A33" s="212">
        <v>250</v>
      </c>
      <c r="B33" s="215">
        <f t="shared" si="13"/>
        <v>62.5</v>
      </c>
      <c r="C33" s="215" t="str">
        <f t="shared" si="9"/>
        <v>003E</v>
      </c>
      <c r="D33" s="215">
        <f t="shared" si="10"/>
        <v>252.01612903225805</v>
      </c>
      <c r="E33" s="215" t="str">
        <f t="shared" si="11"/>
        <v>3E</v>
      </c>
      <c r="F33" s="215">
        <f t="shared" si="12"/>
        <v>252.01612903225805</v>
      </c>
    </row>
    <row r="34" spans="1:6">
      <c r="A34" s="212">
        <v>300</v>
      </c>
      <c r="B34" s="215">
        <f t="shared" si="13"/>
        <v>52.083333333333336</v>
      </c>
      <c r="C34" s="215" t="str">
        <f t="shared" si="9"/>
        <v>0034</v>
      </c>
      <c r="D34" s="215">
        <f t="shared" si="10"/>
        <v>300.48076923076923</v>
      </c>
      <c r="E34" s="215" t="str">
        <f t="shared" si="11"/>
        <v>34</v>
      </c>
      <c r="F34" s="215">
        <f t="shared" si="12"/>
        <v>300.48076923076923</v>
      </c>
    </row>
    <row r="35" spans="1:6">
      <c r="A35" s="212">
        <v>350</v>
      </c>
      <c r="B35" s="215">
        <f t="shared" si="13"/>
        <v>44.642857142857146</v>
      </c>
      <c r="C35" s="215" t="str">
        <f t="shared" si="9"/>
        <v>002C</v>
      </c>
      <c r="D35" s="215">
        <f t="shared" si="10"/>
        <v>355.11363636363637</v>
      </c>
      <c r="E35" s="215" t="str">
        <f t="shared" si="11"/>
        <v>2C</v>
      </c>
      <c r="F35" s="215">
        <f t="shared" si="12"/>
        <v>355.11363636363637</v>
      </c>
    </row>
    <row r="36" spans="1:6">
      <c r="A36" s="212">
        <v>400</v>
      </c>
      <c r="B36" s="215">
        <f t="shared" si="13"/>
        <v>39.0625</v>
      </c>
      <c r="C36" s="215" t="str">
        <f t="shared" si="9"/>
        <v>0027</v>
      </c>
      <c r="D36" s="215">
        <f t="shared" si="10"/>
        <v>400.64102564102564</v>
      </c>
      <c r="E36" s="215" t="str">
        <f t="shared" si="11"/>
        <v>27</v>
      </c>
      <c r="F36" s="215">
        <f t="shared" si="12"/>
        <v>400.64102564102564</v>
      </c>
    </row>
    <row r="37" spans="1:6">
      <c r="A37" s="212">
        <v>450</v>
      </c>
      <c r="B37" s="215">
        <f t="shared" si="13"/>
        <v>34.722222222222221</v>
      </c>
      <c r="C37" s="215" t="str">
        <f t="shared" si="9"/>
        <v>0022</v>
      </c>
      <c r="D37" s="215">
        <f t="shared" si="10"/>
        <v>459.55882352941177</v>
      </c>
      <c r="E37" s="215" t="str">
        <f t="shared" si="11"/>
        <v>22</v>
      </c>
      <c r="F37" s="215">
        <f t="shared" si="12"/>
        <v>459.55882352941177</v>
      </c>
    </row>
    <row r="38" spans="1:6">
      <c r="A38" s="212">
        <v>500</v>
      </c>
      <c r="B38" s="215">
        <f t="shared" si="13"/>
        <v>31.25</v>
      </c>
      <c r="C38" s="215" t="str">
        <f t="shared" si="9"/>
        <v>001F</v>
      </c>
      <c r="D38" s="215">
        <f t="shared" si="10"/>
        <v>504.0322580645161</v>
      </c>
      <c r="E38" s="215" t="str">
        <f t="shared" si="11"/>
        <v>1F</v>
      </c>
      <c r="F38" s="215">
        <f t="shared" si="12"/>
        <v>504.0322580645161</v>
      </c>
    </row>
    <row r="39" spans="1:6">
      <c r="A39" s="212">
        <v>550</v>
      </c>
      <c r="B39" s="215">
        <f t="shared" si="13"/>
        <v>28.40909090909091</v>
      </c>
      <c r="C39" s="215" t="str">
        <f t="shared" si="9"/>
        <v>001C</v>
      </c>
      <c r="D39" s="215">
        <f t="shared" si="10"/>
        <v>558.03571428571433</v>
      </c>
      <c r="E39" s="215" t="str">
        <f t="shared" si="11"/>
        <v>1C</v>
      </c>
      <c r="F39" s="215">
        <f t="shared" si="12"/>
        <v>558.03571428571433</v>
      </c>
    </row>
    <row r="40" spans="1:6">
      <c r="A40" s="212">
        <v>600</v>
      </c>
      <c r="B40" s="215">
        <f t="shared" si="13"/>
        <v>26.041666666666668</v>
      </c>
      <c r="C40" s="215" t="str">
        <f t="shared" si="9"/>
        <v>001A</v>
      </c>
      <c r="D40" s="215">
        <f t="shared" si="10"/>
        <v>600.96153846153845</v>
      </c>
      <c r="E40" s="215" t="str">
        <f t="shared" si="11"/>
        <v>1A</v>
      </c>
      <c r="F40" s="215">
        <f t="shared" si="12"/>
        <v>600.96153846153845</v>
      </c>
    </row>
    <row r="41" spans="1:6">
      <c r="A41" s="212">
        <v>650</v>
      </c>
      <c r="B41" s="215">
        <f t="shared" si="13"/>
        <v>24.03846153846154</v>
      </c>
      <c r="C41" s="215" t="str">
        <f t="shared" si="9"/>
        <v>0018</v>
      </c>
      <c r="D41" s="215">
        <f t="shared" si="10"/>
        <v>651.04166666666663</v>
      </c>
      <c r="E41" s="215" t="str">
        <f t="shared" si="11"/>
        <v>18</v>
      </c>
      <c r="F41" s="215">
        <f t="shared" si="12"/>
        <v>651.04166666666663</v>
      </c>
    </row>
    <row r="42" spans="1:6">
      <c r="A42" s="212">
        <v>700</v>
      </c>
      <c r="B42" s="215">
        <f t="shared" si="13"/>
        <v>22.321428571428573</v>
      </c>
      <c r="C42" s="215" t="str">
        <f t="shared" si="9"/>
        <v>0016</v>
      </c>
      <c r="D42" s="215">
        <f t="shared" si="10"/>
        <v>710.22727272727275</v>
      </c>
      <c r="E42" s="215" t="str">
        <f t="shared" si="11"/>
        <v>16</v>
      </c>
      <c r="F42" s="215">
        <f t="shared" si="12"/>
        <v>710.22727272727275</v>
      </c>
    </row>
    <row r="43" spans="1:6">
      <c r="A43" s="212">
        <v>750</v>
      </c>
      <c r="B43" s="215">
        <f t="shared" si="13"/>
        <v>20.833333333333332</v>
      </c>
      <c r="C43" s="215" t="str">
        <f t="shared" si="9"/>
        <v>0014</v>
      </c>
      <c r="D43" s="215">
        <f t="shared" si="10"/>
        <v>781.25000000000011</v>
      </c>
      <c r="E43" s="215" t="str">
        <f t="shared" si="11"/>
        <v>14</v>
      </c>
      <c r="F43" s="215">
        <f t="shared" si="12"/>
        <v>781.25000000000011</v>
      </c>
    </row>
    <row r="44" spans="1:6">
      <c r="A44" s="212">
        <v>800</v>
      </c>
      <c r="B44" s="215">
        <f t="shared" si="13"/>
        <v>19.53125</v>
      </c>
      <c r="C44" s="215" t="str">
        <f t="shared" si="9"/>
        <v>0013</v>
      </c>
      <c r="D44" s="215">
        <f t="shared" si="10"/>
        <v>822.36842105263167</v>
      </c>
      <c r="E44" s="215" t="str">
        <f t="shared" si="11"/>
        <v>13</v>
      </c>
      <c r="F44" s="215">
        <f t="shared" si="12"/>
        <v>822.36842105263167</v>
      </c>
    </row>
    <row r="45" spans="1:6">
      <c r="A45" s="212">
        <v>850</v>
      </c>
      <c r="B45" s="215">
        <f t="shared" si="13"/>
        <v>18.382352941176471</v>
      </c>
      <c r="C45" s="215" t="str">
        <f t="shared" si="9"/>
        <v>0012</v>
      </c>
      <c r="D45" s="215">
        <f t="shared" si="10"/>
        <v>868.05555555555554</v>
      </c>
      <c r="E45" s="215" t="str">
        <f t="shared" si="11"/>
        <v>12</v>
      </c>
      <c r="F45" s="215">
        <f t="shared" si="12"/>
        <v>868.05555555555554</v>
      </c>
    </row>
    <row r="46" spans="1:6">
      <c r="A46" s="212">
        <v>900</v>
      </c>
      <c r="B46" s="215">
        <f t="shared" si="13"/>
        <v>17.361111111111111</v>
      </c>
      <c r="C46" s="215" t="str">
        <f t="shared" si="9"/>
        <v>0011</v>
      </c>
      <c r="D46" s="215">
        <f t="shared" si="10"/>
        <v>919.11764705882354</v>
      </c>
      <c r="E46" s="215" t="str">
        <f t="shared" si="11"/>
        <v>11</v>
      </c>
      <c r="F46" s="215">
        <f t="shared" si="12"/>
        <v>919.11764705882354</v>
      </c>
    </row>
    <row r="47" spans="1:6">
      <c r="A47" s="212">
        <v>950</v>
      </c>
      <c r="B47" s="215">
        <f t="shared" si="13"/>
        <v>16.44736842105263</v>
      </c>
      <c r="C47" s="215" t="str">
        <f t="shared" si="9"/>
        <v>0010</v>
      </c>
      <c r="D47" s="215">
        <f t="shared" si="10"/>
        <v>976.5625</v>
      </c>
      <c r="E47" s="215" t="str">
        <f t="shared" si="11"/>
        <v>10</v>
      </c>
      <c r="F47" s="215">
        <f t="shared" si="12"/>
        <v>976.5625</v>
      </c>
    </row>
    <row r="48" spans="1:6">
      <c r="A48" s="212">
        <v>1000</v>
      </c>
      <c r="B48" s="215">
        <f t="shared" si="13"/>
        <v>15.625</v>
      </c>
      <c r="C48" s="215" t="str">
        <f t="shared" si="9"/>
        <v>000F</v>
      </c>
      <c r="D48" s="215">
        <f t="shared" si="10"/>
        <v>1041.6666666666667</v>
      </c>
      <c r="E48" s="215" t="str">
        <f t="shared" si="11"/>
        <v>0F</v>
      </c>
      <c r="F48" s="215">
        <f t="shared" si="12"/>
        <v>1041.6666666666667</v>
      </c>
    </row>
    <row r="49" spans="1:6">
      <c r="A49" s="212">
        <v>1050</v>
      </c>
      <c r="B49" s="215">
        <f t="shared" si="13"/>
        <v>14.880952380952381</v>
      </c>
      <c r="C49" s="215" t="str">
        <f t="shared" si="9"/>
        <v>000E</v>
      </c>
      <c r="D49" s="215">
        <f t="shared" si="10"/>
        <v>1116.0714285714287</v>
      </c>
      <c r="E49" s="215" t="str">
        <f t="shared" si="11"/>
        <v>0E</v>
      </c>
      <c r="F49" s="215">
        <f t="shared" si="12"/>
        <v>1116.0714285714287</v>
      </c>
    </row>
    <row r="50" spans="1:6">
      <c r="A50" s="212">
        <v>1100</v>
      </c>
      <c r="B50" s="215">
        <f t="shared" si="13"/>
        <v>14.204545454545455</v>
      </c>
      <c r="C50" s="215" t="str">
        <f t="shared" si="9"/>
        <v>000E</v>
      </c>
      <c r="D50" s="215">
        <f t="shared" si="10"/>
        <v>1116.0714285714287</v>
      </c>
      <c r="E50" s="215" t="str">
        <f t="shared" si="11"/>
        <v>0E</v>
      </c>
      <c r="F50" s="215">
        <f t="shared" si="12"/>
        <v>1116.0714285714287</v>
      </c>
    </row>
    <row r="51" spans="1:6">
      <c r="A51" s="212">
        <v>1150</v>
      </c>
      <c r="B51" s="215">
        <f t="shared" si="13"/>
        <v>13.586956521739131</v>
      </c>
      <c r="C51" s="215" t="str">
        <f t="shared" si="9"/>
        <v>000D</v>
      </c>
      <c r="D51" s="215">
        <f t="shared" si="10"/>
        <v>1201.9230769230769</v>
      </c>
      <c r="E51" s="215" t="str">
        <f t="shared" si="11"/>
        <v>0D</v>
      </c>
      <c r="F51" s="215">
        <f t="shared" si="12"/>
        <v>1201.9230769230769</v>
      </c>
    </row>
    <row r="52" spans="1:6">
      <c r="A52" s="212">
        <v>1200</v>
      </c>
      <c r="B52" s="215">
        <f t="shared" si="13"/>
        <v>13.020833333333334</v>
      </c>
      <c r="C52" s="215" t="str">
        <f t="shared" si="9"/>
        <v>000D</v>
      </c>
      <c r="D52" s="215">
        <f t="shared" si="10"/>
        <v>1201.9230769230769</v>
      </c>
      <c r="E52" s="215" t="str">
        <f t="shared" si="11"/>
        <v>0D</v>
      </c>
      <c r="F52" s="215">
        <f t="shared" si="12"/>
        <v>1201.9230769230769</v>
      </c>
    </row>
    <row r="53" spans="1:6">
      <c r="A53" s="212">
        <v>1250</v>
      </c>
      <c r="B53" s="215">
        <f t="shared" si="13"/>
        <v>12.5</v>
      </c>
      <c r="C53" s="215" t="str">
        <f t="shared" si="9"/>
        <v>000C</v>
      </c>
      <c r="D53" s="215">
        <f t="shared" si="10"/>
        <v>1302.0833333333333</v>
      </c>
      <c r="E53" s="215" t="str">
        <f t="shared" si="11"/>
        <v>0C</v>
      </c>
      <c r="F53" s="215">
        <f t="shared" si="12"/>
        <v>1302.0833333333333</v>
      </c>
    </row>
    <row r="54" spans="1:6">
      <c r="A54" s="212">
        <v>1300</v>
      </c>
      <c r="B54" s="215">
        <f t="shared" si="13"/>
        <v>12.01923076923077</v>
      </c>
      <c r="C54" s="215" t="str">
        <f t="shared" si="9"/>
        <v>000C</v>
      </c>
      <c r="D54" s="215">
        <f t="shared" si="10"/>
        <v>1302.0833333333333</v>
      </c>
      <c r="E54" s="215" t="str">
        <f t="shared" si="11"/>
        <v>0C</v>
      </c>
      <c r="F54" s="215">
        <f t="shared" si="12"/>
        <v>1302.0833333333333</v>
      </c>
    </row>
    <row r="55" spans="1:6">
      <c r="A55" s="212">
        <v>1350</v>
      </c>
      <c r="B55" s="215">
        <f t="shared" si="13"/>
        <v>11.574074074074074</v>
      </c>
      <c r="C55" s="215" t="str">
        <f t="shared" si="9"/>
        <v>000B</v>
      </c>
      <c r="D55" s="215">
        <f t="shared" si="10"/>
        <v>1420.4545454545455</v>
      </c>
      <c r="E55" s="215" t="str">
        <f t="shared" si="11"/>
        <v>0B</v>
      </c>
      <c r="F55" s="215">
        <f t="shared" si="12"/>
        <v>1420.4545454545455</v>
      </c>
    </row>
    <row r="56" spans="1:6">
      <c r="A56" s="212">
        <v>1400</v>
      </c>
      <c r="B56" s="215">
        <f t="shared" si="13"/>
        <v>11.160714285714286</v>
      </c>
      <c r="C56" s="215" t="str">
        <f t="shared" si="9"/>
        <v>000B</v>
      </c>
      <c r="D56" s="215">
        <f t="shared" si="10"/>
        <v>1420.4545454545455</v>
      </c>
      <c r="E56" s="215" t="str">
        <f t="shared" si="11"/>
        <v>0B</v>
      </c>
      <c r="F56" s="215">
        <f t="shared" si="12"/>
        <v>1420.4545454545455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4270-FEDE-1944-8056-90000237EC32}">
  <dimension ref="A1:G282"/>
  <sheetViews>
    <sheetView workbookViewId="0">
      <selection activeCell="C27" sqref="C27"/>
    </sheetView>
  </sheetViews>
  <sheetFormatPr baseColWidth="10" defaultColWidth="9.1640625" defaultRowHeight="13"/>
  <cols>
    <col min="1" max="1" width="16" style="212" customWidth="1"/>
    <col min="2" max="2" width="17.83203125" style="212" bestFit="1" customWidth="1"/>
    <col min="3" max="3" width="20.33203125" style="212" customWidth="1"/>
    <col min="4" max="4" width="19.5" style="212" customWidth="1"/>
    <col min="5" max="5" width="16.6640625" style="212" bestFit="1" customWidth="1"/>
    <col min="6" max="6" width="15.6640625" style="212" bestFit="1" customWidth="1"/>
    <col min="7" max="7" width="16.6640625" style="212" bestFit="1" customWidth="1"/>
    <col min="8" max="256" width="9.1640625" style="212"/>
    <col min="257" max="257" width="16" style="212" customWidth="1"/>
    <col min="258" max="258" width="18.6640625" style="212" customWidth="1"/>
    <col min="259" max="259" width="20.33203125" style="212" bestFit="1" customWidth="1"/>
    <col min="260" max="260" width="19.5" style="212" customWidth="1"/>
    <col min="261" max="261" width="16.6640625" style="212" bestFit="1" customWidth="1"/>
    <col min="262" max="262" width="15.6640625" style="212" bestFit="1" customWidth="1"/>
    <col min="263" max="263" width="16.6640625" style="212" bestFit="1" customWidth="1"/>
    <col min="264" max="512" width="9.1640625" style="212"/>
    <col min="513" max="513" width="16" style="212" customWidth="1"/>
    <col min="514" max="514" width="18.6640625" style="212" customWidth="1"/>
    <col min="515" max="515" width="20.33203125" style="212" bestFit="1" customWidth="1"/>
    <col min="516" max="516" width="19.5" style="212" customWidth="1"/>
    <col min="517" max="517" width="16.6640625" style="212" bestFit="1" customWidth="1"/>
    <col min="518" max="518" width="15.6640625" style="212" bestFit="1" customWidth="1"/>
    <col min="519" max="519" width="16.6640625" style="212" bestFit="1" customWidth="1"/>
    <col min="520" max="768" width="9.1640625" style="212"/>
    <col min="769" max="769" width="16" style="212" customWidth="1"/>
    <col min="770" max="770" width="18.6640625" style="212" customWidth="1"/>
    <col min="771" max="771" width="20.33203125" style="212" bestFit="1" customWidth="1"/>
    <col min="772" max="772" width="19.5" style="212" customWidth="1"/>
    <col min="773" max="773" width="16.6640625" style="212" bestFit="1" customWidth="1"/>
    <col min="774" max="774" width="15.6640625" style="212" bestFit="1" customWidth="1"/>
    <col min="775" max="775" width="16.6640625" style="212" bestFit="1" customWidth="1"/>
    <col min="776" max="1024" width="9.1640625" style="212"/>
    <col min="1025" max="1025" width="16" style="212" customWidth="1"/>
    <col min="1026" max="1026" width="18.6640625" style="212" customWidth="1"/>
    <col min="1027" max="1027" width="20.33203125" style="212" bestFit="1" customWidth="1"/>
    <col min="1028" max="1028" width="19.5" style="212" customWidth="1"/>
    <col min="1029" max="1029" width="16.6640625" style="212" bestFit="1" customWidth="1"/>
    <col min="1030" max="1030" width="15.6640625" style="212" bestFit="1" customWidth="1"/>
    <col min="1031" max="1031" width="16.6640625" style="212" bestFit="1" customWidth="1"/>
    <col min="1032" max="1280" width="9.1640625" style="212"/>
    <col min="1281" max="1281" width="16" style="212" customWidth="1"/>
    <col min="1282" max="1282" width="18.6640625" style="212" customWidth="1"/>
    <col min="1283" max="1283" width="20.33203125" style="212" bestFit="1" customWidth="1"/>
    <col min="1284" max="1284" width="19.5" style="212" customWidth="1"/>
    <col min="1285" max="1285" width="16.6640625" style="212" bestFit="1" customWidth="1"/>
    <col min="1286" max="1286" width="15.6640625" style="212" bestFit="1" customWidth="1"/>
    <col min="1287" max="1287" width="16.6640625" style="212" bestFit="1" customWidth="1"/>
    <col min="1288" max="1536" width="9.1640625" style="212"/>
    <col min="1537" max="1537" width="16" style="212" customWidth="1"/>
    <col min="1538" max="1538" width="18.6640625" style="212" customWidth="1"/>
    <col min="1539" max="1539" width="20.33203125" style="212" bestFit="1" customWidth="1"/>
    <col min="1540" max="1540" width="19.5" style="212" customWidth="1"/>
    <col min="1541" max="1541" width="16.6640625" style="212" bestFit="1" customWidth="1"/>
    <col min="1542" max="1542" width="15.6640625" style="212" bestFit="1" customWidth="1"/>
    <col min="1543" max="1543" width="16.6640625" style="212" bestFit="1" customWidth="1"/>
    <col min="1544" max="1792" width="9.1640625" style="212"/>
    <col min="1793" max="1793" width="16" style="212" customWidth="1"/>
    <col min="1794" max="1794" width="18.6640625" style="212" customWidth="1"/>
    <col min="1795" max="1795" width="20.33203125" style="212" bestFit="1" customWidth="1"/>
    <col min="1796" max="1796" width="19.5" style="212" customWidth="1"/>
    <col min="1797" max="1797" width="16.6640625" style="212" bestFit="1" customWidth="1"/>
    <col min="1798" max="1798" width="15.6640625" style="212" bestFit="1" customWidth="1"/>
    <col min="1799" max="1799" width="16.6640625" style="212" bestFit="1" customWidth="1"/>
    <col min="1800" max="2048" width="9.1640625" style="212"/>
    <col min="2049" max="2049" width="16" style="212" customWidth="1"/>
    <col min="2050" max="2050" width="18.6640625" style="212" customWidth="1"/>
    <col min="2051" max="2051" width="20.33203125" style="212" bestFit="1" customWidth="1"/>
    <col min="2052" max="2052" width="19.5" style="212" customWidth="1"/>
    <col min="2053" max="2053" width="16.6640625" style="212" bestFit="1" customWidth="1"/>
    <col min="2054" max="2054" width="15.6640625" style="212" bestFit="1" customWidth="1"/>
    <col min="2055" max="2055" width="16.6640625" style="212" bestFit="1" customWidth="1"/>
    <col min="2056" max="2304" width="9.1640625" style="212"/>
    <col min="2305" max="2305" width="16" style="212" customWidth="1"/>
    <col min="2306" max="2306" width="18.6640625" style="212" customWidth="1"/>
    <col min="2307" max="2307" width="20.33203125" style="212" bestFit="1" customWidth="1"/>
    <col min="2308" max="2308" width="19.5" style="212" customWidth="1"/>
    <col min="2309" max="2309" width="16.6640625" style="212" bestFit="1" customWidth="1"/>
    <col min="2310" max="2310" width="15.6640625" style="212" bestFit="1" customWidth="1"/>
    <col min="2311" max="2311" width="16.6640625" style="212" bestFit="1" customWidth="1"/>
    <col min="2312" max="2560" width="9.1640625" style="212"/>
    <col min="2561" max="2561" width="16" style="212" customWidth="1"/>
    <col min="2562" max="2562" width="18.6640625" style="212" customWidth="1"/>
    <col min="2563" max="2563" width="20.33203125" style="212" bestFit="1" customWidth="1"/>
    <col min="2564" max="2564" width="19.5" style="212" customWidth="1"/>
    <col min="2565" max="2565" width="16.6640625" style="212" bestFit="1" customWidth="1"/>
    <col min="2566" max="2566" width="15.6640625" style="212" bestFit="1" customWidth="1"/>
    <col min="2567" max="2567" width="16.6640625" style="212" bestFit="1" customWidth="1"/>
    <col min="2568" max="2816" width="9.1640625" style="212"/>
    <col min="2817" max="2817" width="16" style="212" customWidth="1"/>
    <col min="2818" max="2818" width="18.6640625" style="212" customWidth="1"/>
    <col min="2819" max="2819" width="20.33203125" style="212" bestFit="1" customWidth="1"/>
    <col min="2820" max="2820" width="19.5" style="212" customWidth="1"/>
    <col min="2821" max="2821" width="16.6640625" style="212" bestFit="1" customWidth="1"/>
    <col min="2822" max="2822" width="15.6640625" style="212" bestFit="1" customWidth="1"/>
    <col min="2823" max="2823" width="16.6640625" style="212" bestFit="1" customWidth="1"/>
    <col min="2824" max="3072" width="9.1640625" style="212"/>
    <col min="3073" max="3073" width="16" style="212" customWidth="1"/>
    <col min="3074" max="3074" width="18.6640625" style="212" customWidth="1"/>
    <col min="3075" max="3075" width="20.33203125" style="212" bestFit="1" customWidth="1"/>
    <col min="3076" max="3076" width="19.5" style="212" customWidth="1"/>
    <col min="3077" max="3077" width="16.6640625" style="212" bestFit="1" customWidth="1"/>
    <col min="3078" max="3078" width="15.6640625" style="212" bestFit="1" customWidth="1"/>
    <col min="3079" max="3079" width="16.6640625" style="212" bestFit="1" customWidth="1"/>
    <col min="3080" max="3328" width="9.1640625" style="212"/>
    <col min="3329" max="3329" width="16" style="212" customWidth="1"/>
    <col min="3330" max="3330" width="18.6640625" style="212" customWidth="1"/>
    <col min="3331" max="3331" width="20.33203125" style="212" bestFit="1" customWidth="1"/>
    <col min="3332" max="3332" width="19.5" style="212" customWidth="1"/>
    <col min="3333" max="3333" width="16.6640625" style="212" bestFit="1" customWidth="1"/>
    <col min="3334" max="3334" width="15.6640625" style="212" bestFit="1" customWidth="1"/>
    <col min="3335" max="3335" width="16.6640625" style="212" bestFit="1" customWidth="1"/>
    <col min="3336" max="3584" width="9.1640625" style="212"/>
    <col min="3585" max="3585" width="16" style="212" customWidth="1"/>
    <col min="3586" max="3586" width="18.6640625" style="212" customWidth="1"/>
    <col min="3587" max="3587" width="20.33203125" style="212" bestFit="1" customWidth="1"/>
    <col min="3588" max="3588" width="19.5" style="212" customWidth="1"/>
    <col min="3589" max="3589" width="16.6640625" style="212" bestFit="1" customWidth="1"/>
    <col min="3590" max="3590" width="15.6640625" style="212" bestFit="1" customWidth="1"/>
    <col min="3591" max="3591" width="16.6640625" style="212" bestFit="1" customWidth="1"/>
    <col min="3592" max="3840" width="9.1640625" style="212"/>
    <col min="3841" max="3841" width="16" style="212" customWidth="1"/>
    <col min="3842" max="3842" width="18.6640625" style="212" customWidth="1"/>
    <col min="3843" max="3843" width="20.33203125" style="212" bestFit="1" customWidth="1"/>
    <col min="3844" max="3844" width="19.5" style="212" customWidth="1"/>
    <col min="3845" max="3845" width="16.6640625" style="212" bestFit="1" customWidth="1"/>
    <col min="3846" max="3846" width="15.6640625" style="212" bestFit="1" customWidth="1"/>
    <col min="3847" max="3847" width="16.6640625" style="212" bestFit="1" customWidth="1"/>
    <col min="3848" max="4096" width="9.1640625" style="212"/>
    <col min="4097" max="4097" width="16" style="212" customWidth="1"/>
    <col min="4098" max="4098" width="18.6640625" style="212" customWidth="1"/>
    <col min="4099" max="4099" width="20.33203125" style="212" bestFit="1" customWidth="1"/>
    <col min="4100" max="4100" width="19.5" style="212" customWidth="1"/>
    <col min="4101" max="4101" width="16.6640625" style="212" bestFit="1" customWidth="1"/>
    <col min="4102" max="4102" width="15.6640625" style="212" bestFit="1" customWidth="1"/>
    <col min="4103" max="4103" width="16.6640625" style="212" bestFit="1" customWidth="1"/>
    <col min="4104" max="4352" width="9.1640625" style="212"/>
    <col min="4353" max="4353" width="16" style="212" customWidth="1"/>
    <col min="4354" max="4354" width="18.6640625" style="212" customWidth="1"/>
    <col min="4355" max="4355" width="20.33203125" style="212" bestFit="1" customWidth="1"/>
    <col min="4356" max="4356" width="19.5" style="212" customWidth="1"/>
    <col min="4357" max="4357" width="16.6640625" style="212" bestFit="1" customWidth="1"/>
    <col min="4358" max="4358" width="15.6640625" style="212" bestFit="1" customWidth="1"/>
    <col min="4359" max="4359" width="16.6640625" style="212" bestFit="1" customWidth="1"/>
    <col min="4360" max="4608" width="9.1640625" style="212"/>
    <col min="4609" max="4609" width="16" style="212" customWidth="1"/>
    <col min="4610" max="4610" width="18.6640625" style="212" customWidth="1"/>
    <col min="4611" max="4611" width="20.33203125" style="212" bestFit="1" customWidth="1"/>
    <col min="4612" max="4612" width="19.5" style="212" customWidth="1"/>
    <col min="4613" max="4613" width="16.6640625" style="212" bestFit="1" customWidth="1"/>
    <col min="4614" max="4614" width="15.6640625" style="212" bestFit="1" customWidth="1"/>
    <col min="4615" max="4615" width="16.6640625" style="212" bestFit="1" customWidth="1"/>
    <col min="4616" max="4864" width="9.1640625" style="212"/>
    <col min="4865" max="4865" width="16" style="212" customWidth="1"/>
    <col min="4866" max="4866" width="18.6640625" style="212" customWidth="1"/>
    <col min="4867" max="4867" width="20.33203125" style="212" bestFit="1" customWidth="1"/>
    <col min="4868" max="4868" width="19.5" style="212" customWidth="1"/>
    <col min="4869" max="4869" width="16.6640625" style="212" bestFit="1" customWidth="1"/>
    <col min="4870" max="4870" width="15.6640625" style="212" bestFit="1" customWidth="1"/>
    <col min="4871" max="4871" width="16.6640625" style="212" bestFit="1" customWidth="1"/>
    <col min="4872" max="5120" width="9.1640625" style="212"/>
    <col min="5121" max="5121" width="16" style="212" customWidth="1"/>
    <col min="5122" max="5122" width="18.6640625" style="212" customWidth="1"/>
    <col min="5123" max="5123" width="20.33203125" style="212" bestFit="1" customWidth="1"/>
    <col min="5124" max="5124" width="19.5" style="212" customWidth="1"/>
    <col min="5125" max="5125" width="16.6640625" style="212" bestFit="1" customWidth="1"/>
    <col min="5126" max="5126" width="15.6640625" style="212" bestFit="1" customWidth="1"/>
    <col min="5127" max="5127" width="16.6640625" style="212" bestFit="1" customWidth="1"/>
    <col min="5128" max="5376" width="9.1640625" style="212"/>
    <col min="5377" max="5377" width="16" style="212" customWidth="1"/>
    <col min="5378" max="5378" width="18.6640625" style="212" customWidth="1"/>
    <col min="5379" max="5379" width="20.33203125" style="212" bestFit="1" customWidth="1"/>
    <col min="5380" max="5380" width="19.5" style="212" customWidth="1"/>
    <col min="5381" max="5381" width="16.6640625" style="212" bestFit="1" customWidth="1"/>
    <col min="5382" max="5382" width="15.6640625" style="212" bestFit="1" customWidth="1"/>
    <col min="5383" max="5383" width="16.6640625" style="212" bestFit="1" customWidth="1"/>
    <col min="5384" max="5632" width="9.1640625" style="212"/>
    <col min="5633" max="5633" width="16" style="212" customWidth="1"/>
    <col min="5634" max="5634" width="18.6640625" style="212" customWidth="1"/>
    <col min="5635" max="5635" width="20.33203125" style="212" bestFit="1" customWidth="1"/>
    <col min="5636" max="5636" width="19.5" style="212" customWidth="1"/>
    <col min="5637" max="5637" width="16.6640625" style="212" bestFit="1" customWidth="1"/>
    <col min="5638" max="5638" width="15.6640625" style="212" bestFit="1" customWidth="1"/>
    <col min="5639" max="5639" width="16.6640625" style="212" bestFit="1" customWidth="1"/>
    <col min="5640" max="5888" width="9.1640625" style="212"/>
    <col min="5889" max="5889" width="16" style="212" customWidth="1"/>
    <col min="5890" max="5890" width="18.6640625" style="212" customWidth="1"/>
    <col min="5891" max="5891" width="20.33203125" style="212" bestFit="1" customWidth="1"/>
    <col min="5892" max="5892" width="19.5" style="212" customWidth="1"/>
    <col min="5893" max="5893" width="16.6640625" style="212" bestFit="1" customWidth="1"/>
    <col min="5894" max="5894" width="15.6640625" style="212" bestFit="1" customWidth="1"/>
    <col min="5895" max="5895" width="16.6640625" style="212" bestFit="1" customWidth="1"/>
    <col min="5896" max="6144" width="9.1640625" style="212"/>
    <col min="6145" max="6145" width="16" style="212" customWidth="1"/>
    <col min="6146" max="6146" width="18.6640625" style="212" customWidth="1"/>
    <col min="6147" max="6147" width="20.33203125" style="212" bestFit="1" customWidth="1"/>
    <col min="6148" max="6148" width="19.5" style="212" customWidth="1"/>
    <col min="6149" max="6149" width="16.6640625" style="212" bestFit="1" customWidth="1"/>
    <col min="6150" max="6150" width="15.6640625" style="212" bestFit="1" customWidth="1"/>
    <col min="6151" max="6151" width="16.6640625" style="212" bestFit="1" customWidth="1"/>
    <col min="6152" max="6400" width="9.1640625" style="212"/>
    <col min="6401" max="6401" width="16" style="212" customWidth="1"/>
    <col min="6402" max="6402" width="18.6640625" style="212" customWidth="1"/>
    <col min="6403" max="6403" width="20.33203125" style="212" bestFit="1" customWidth="1"/>
    <col min="6404" max="6404" width="19.5" style="212" customWidth="1"/>
    <col min="6405" max="6405" width="16.6640625" style="212" bestFit="1" customWidth="1"/>
    <col min="6406" max="6406" width="15.6640625" style="212" bestFit="1" customWidth="1"/>
    <col min="6407" max="6407" width="16.6640625" style="212" bestFit="1" customWidth="1"/>
    <col min="6408" max="6656" width="9.1640625" style="212"/>
    <col min="6657" max="6657" width="16" style="212" customWidth="1"/>
    <col min="6658" max="6658" width="18.6640625" style="212" customWidth="1"/>
    <col min="6659" max="6659" width="20.33203125" style="212" bestFit="1" customWidth="1"/>
    <col min="6660" max="6660" width="19.5" style="212" customWidth="1"/>
    <col min="6661" max="6661" width="16.6640625" style="212" bestFit="1" customWidth="1"/>
    <col min="6662" max="6662" width="15.6640625" style="212" bestFit="1" customWidth="1"/>
    <col min="6663" max="6663" width="16.6640625" style="212" bestFit="1" customWidth="1"/>
    <col min="6664" max="6912" width="9.1640625" style="212"/>
    <col min="6913" max="6913" width="16" style="212" customWidth="1"/>
    <col min="6914" max="6914" width="18.6640625" style="212" customWidth="1"/>
    <col min="6915" max="6915" width="20.33203125" style="212" bestFit="1" customWidth="1"/>
    <col min="6916" max="6916" width="19.5" style="212" customWidth="1"/>
    <col min="6917" max="6917" width="16.6640625" style="212" bestFit="1" customWidth="1"/>
    <col min="6918" max="6918" width="15.6640625" style="212" bestFit="1" customWidth="1"/>
    <col min="6919" max="6919" width="16.6640625" style="212" bestFit="1" customWidth="1"/>
    <col min="6920" max="7168" width="9.1640625" style="212"/>
    <col min="7169" max="7169" width="16" style="212" customWidth="1"/>
    <col min="7170" max="7170" width="18.6640625" style="212" customWidth="1"/>
    <col min="7171" max="7171" width="20.33203125" style="212" bestFit="1" customWidth="1"/>
    <col min="7172" max="7172" width="19.5" style="212" customWidth="1"/>
    <col min="7173" max="7173" width="16.6640625" style="212" bestFit="1" customWidth="1"/>
    <col min="7174" max="7174" width="15.6640625" style="212" bestFit="1" customWidth="1"/>
    <col min="7175" max="7175" width="16.6640625" style="212" bestFit="1" customWidth="1"/>
    <col min="7176" max="7424" width="9.1640625" style="212"/>
    <col min="7425" max="7425" width="16" style="212" customWidth="1"/>
    <col min="7426" max="7426" width="18.6640625" style="212" customWidth="1"/>
    <col min="7427" max="7427" width="20.33203125" style="212" bestFit="1" customWidth="1"/>
    <col min="7428" max="7428" width="19.5" style="212" customWidth="1"/>
    <col min="7429" max="7429" width="16.6640625" style="212" bestFit="1" customWidth="1"/>
    <col min="7430" max="7430" width="15.6640625" style="212" bestFit="1" customWidth="1"/>
    <col min="7431" max="7431" width="16.6640625" style="212" bestFit="1" customWidth="1"/>
    <col min="7432" max="7680" width="9.1640625" style="212"/>
    <col min="7681" max="7681" width="16" style="212" customWidth="1"/>
    <col min="7682" max="7682" width="18.6640625" style="212" customWidth="1"/>
    <col min="7683" max="7683" width="20.33203125" style="212" bestFit="1" customWidth="1"/>
    <col min="7684" max="7684" width="19.5" style="212" customWidth="1"/>
    <col min="7685" max="7685" width="16.6640625" style="212" bestFit="1" customWidth="1"/>
    <col min="7686" max="7686" width="15.6640625" style="212" bestFit="1" customWidth="1"/>
    <col min="7687" max="7687" width="16.6640625" style="212" bestFit="1" customWidth="1"/>
    <col min="7688" max="7936" width="9.1640625" style="212"/>
    <col min="7937" max="7937" width="16" style="212" customWidth="1"/>
    <col min="7938" max="7938" width="18.6640625" style="212" customWidth="1"/>
    <col min="7939" max="7939" width="20.33203125" style="212" bestFit="1" customWidth="1"/>
    <col min="7940" max="7940" width="19.5" style="212" customWidth="1"/>
    <col min="7941" max="7941" width="16.6640625" style="212" bestFit="1" customWidth="1"/>
    <col min="7942" max="7942" width="15.6640625" style="212" bestFit="1" customWidth="1"/>
    <col min="7943" max="7943" width="16.6640625" style="212" bestFit="1" customWidth="1"/>
    <col min="7944" max="8192" width="9.1640625" style="212"/>
    <col min="8193" max="8193" width="16" style="212" customWidth="1"/>
    <col min="8194" max="8194" width="18.6640625" style="212" customWidth="1"/>
    <col min="8195" max="8195" width="20.33203125" style="212" bestFit="1" customWidth="1"/>
    <col min="8196" max="8196" width="19.5" style="212" customWidth="1"/>
    <col min="8197" max="8197" width="16.6640625" style="212" bestFit="1" customWidth="1"/>
    <col min="8198" max="8198" width="15.6640625" style="212" bestFit="1" customWidth="1"/>
    <col min="8199" max="8199" width="16.6640625" style="212" bestFit="1" customWidth="1"/>
    <col min="8200" max="8448" width="9.1640625" style="212"/>
    <col min="8449" max="8449" width="16" style="212" customWidth="1"/>
    <col min="8450" max="8450" width="18.6640625" style="212" customWidth="1"/>
    <col min="8451" max="8451" width="20.33203125" style="212" bestFit="1" customWidth="1"/>
    <col min="8452" max="8452" width="19.5" style="212" customWidth="1"/>
    <col min="8453" max="8453" width="16.6640625" style="212" bestFit="1" customWidth="1"/>
    <col min="8454" max="8454" width="15.6640625" style="212" bestFit="1" customWidth="1"/>
    <col min="8455" max="8455" width="16.6640625" style="212" bestFit="1" customWidth="1"/>
    <col min="8456" max="8704" width="9.1640625" style="212"/>
    <col min="8705" max="8705" width="16" style="212" customWidth="1"/>
    <col min="8706" max="8706" width="18.6640625" style="212" customWidth="1"/>
    <col min="8707" max="8707" width="20.33203125" style="212" bestFit="1" customWidth="1"/>
    <col min="8708" max="8708" width="19.5" style="212" customWidth="1"/>
    <col min="8709" max="8709" width="16.6640625" style="212" bestFit="1" customWidth="1"/>
    <col min="8710" max="8710" width="15.6640625" style="212" bestFit="1" customWidth="1"/>
    <col min="8711" max="8711" width="16.6640625" style="212" bestFit="1" customWidth="1"/>
    <col min="8712" max="8960" width="9.1640625" style="212"/>
    <col min="8961" max="8961" width="16" style="212" customWidth="1"/>
    <col min="8962" max="8962" width="18.6640625" style="212" customWidth="1"/>
    <col min="8963" max="8963" width="20.33203125" style="212" bestFit="1" customWidth="1"/>
    <col min="8964" max="8964" width="19.5" style="212" customWidth="1"/>
    <col min="8965" max="8965" width="16.6640625" style="212" bestFit="1" customWidth="1"/>
    <col min="8966" max="8966" width="15.6640625" style="212" bestFit="1" customWidth="1"/>
    <col min="8967" max="8967" width="16.6640625" style="212" bestFit="1" customWidth="1"/>
    <col min="8968" max="9216" width="9.1640625" style="212"/>
    <col min="9217" max="9217" width="16" style="212" customWidth="1"/>
    <col min="9218" max="9218" width="18.6640625" style="212" customWidth="1"/>
    <col min="9219" max="9219" width="20.33203125" style="212" bestFit="1" customWidth="1"/>
    <col min="9220" max="9220" width="19.5" style="212" customWidth="1"/>
    <col min="9221" max="9221" width="16.6640625" style="212" bestFit="1" customWidth="1"/>
    <col min="9222" max="9222" width="15.6640625" style="212" bestFit="1" customWidth="1"/>
    <col min="9223" max="9223" width="16.6640625" style="212" bestFit="1" customWidth="1"/>
    <col min="9224" max="9472" width="9.1640625" style="212"/>
    <col min="9473" max="9473" width="16" style="212" customWidth="1"/>
    <col min="9474" max="9474" width="18.6640625" style="212" customWidth="1"/>
    <col min="9475" max="9475" width="20.33203125" style="212" bestFit="1" customWidth="1"/>
    <col min="9476" max="9476" width="19.5" style="212" customWidth="1"/>
    <col min="9477" max="9477" width="16.6640625" style="212" bestFit="1" customWidth="1"/>
    <col min="9478" max="9478" width="15.6640625" style="212" bestFit="1" customWidth="1"/>
    <col min="9479" max="9479" width="16.6640625" style="212" bestFit="1" customWidth="1"/>
    <col min="9480" max="9728" width="9.1640625" style="212"/>
    <col min="9729" max="9729" width="16" style="212" customWidth="1"/>
    <col min="9730" max="9730" width="18.6640625" style="212" customWidth="1"/>
    <col min="9731" max="9731" width="20.33203125" style="212" bestFit="1" customWidth="1"/>
    <col min="9732" max="9732" width="19.5" style="212" customWidth="1"/>
    <col min="9733" max="9733" width="16.6640625" style="212" bestFit="1" customWidth="1"/>
    <col min="9734" max="9734" width="15.6640625" style="212" bestFit="1" customWidth="1"/>
    <col min="9735" max="9735" width="16.6640625" style="212" bestFit="1" customWidth="1"/>
    <col min="9736" max="9984" width="9.1640625" style="212"/>
    <col min="9985" max="9985" width="16" style="212" customWidth="1"/>
    <col min="9986" max="9986" width="18.6640625" style="212" customWidth="1"/>
    <col min="9987" max="9987" width="20.33203125" style="212" bestFit="1" customWidth="1"/>
    <col min="9988" max="9988" width="19.5" style="212" customWidth="1"/>
    <col min="9989" max="9989" width="16.6640625" style="212" bestFit="1" customWidth="1"/>
    <col min="9990" max="9990" width="15.6640625" style="212" bestFit="1" customWidth="1"/>
    <col min="9991" max="9991" width="16.6640625" style="212" bestFit="1" customWidth="1"/>
    <col min="9992" max="10240" width="9.1640625" style="212"/>
    <col min="10241" max="10241" width="16" style="212" customWidth="1"/>
    <col min="10242" max="10242" width="18.6640625" style="212" customWidth="1"/>
    <col min="10243" max="10243" width="20.33203125" style="212" bestFit="1" customWidth="1"/>
    <col min="10244" max="10244" width="19.5" style="212" customWidth="1"/>
    <col min="10245" max="10245" width="16.6640625" style="212" bestFit="1" customWidth="1"/>
    <col min="10246" max="10246" width="15.6640625" style="212" bestFit="1" customWidth="1"/>
    <col min="10247" max="10247" width="16.6640625" style="212" bestFit="1" customWidth="1"/>
    <col min="10248" max="10496" width="9.1640625" style="212"/>
    <col min="10497" max="10497" width="16" style="212" customWidth="1"/>
    <col min="10498" max="10498" width="18.6640625" style="212" customWidth="1"/>
    <col min="10499" max="10499" width="20.33203125" style="212" bestFit="1" customWidth="1"/>
    <col min="10500" max="10500" width="19.5" style="212" customWidth="1"/>
    <col min="10501" max="10501" width="16.6640625" style="212" bestFit="1" customWidth="1"/>
    <col min="10502" max="10502" width="15.6640625" style="212" bestFit="1" customWidth="1"/>
    <col min="10503" max="10503" width="16.6640625" style="212" bestFit="1" customWidth="1"/>
    <col min="10504" max="10752" width="9.1640625" style="212"/>
    <col min="10753" max="10753" width="16" style="212" customWidth="1"/>
    <col min="10754" max="10754" width="18.6640625" style="212" customWidth="1"/>
    <col min="10755" max="10755" width="20.33203125" style="212" bestFit="1" customWidth="1"/>
    <col min="10756" max="10756" width="19.5" style="212" customWidth="1"/>
    <col min="10757" max="10757" width="16.6640625" style="212" bestFit="1" customWidth="1"/>
    <col min="10758" max="10758" width="15.6640625" style="212" bestFit="1" customWidth="1"/>
    <col min="10759" max="10759" width="16.6640625" style="212" bestFit="1" customWidth="1"/>
    <col min="10760" max="11008" width="9.1640625" style="212"/>
    <col min="11009" max="11009" width="16" style="212" customWidth="1"/>
    <col min="11010" max="11010" width="18.6640625" style="212" customWidth="1"/>
    <col min="11011" max="11011" width="20.33203125" style="212" bestFit="1" customWidth="1"/>
    <col min="11012" max="11012" width="19.5" style="212" customWidth="1"/>
    <col min="11013" max="11013" width="16.6640625" style="212" bestFit="1" customWidth="1"/>
    <col min="11014" max="11014" width="15.6640625" style="212" bestFit="1" customWidth="1"/>
    <col min="11015" max="11015" width="16.6640625" style="212" bestFit="1" customWidth="1"/>
    <col min="11016" max="11264" width="9.1640625" style="212"/>
    <col min="11265" max="11265" width="16" style="212" customWidth="1"/>
    <col min="11266" max="11266" width="18.6640625" style="212" customWidth="1"/>
    <col min="11267" max="11267" width="20.33203125" style="212" bestFit="1" customWidth="1"/>
    <col min="11268" max="11268" width="19.5" style="212" customWidth="1"/>
    <col min="11269" max="11269" width="16.6640625" style="212" bestFit="1" customWidth="1"/>
    <col min="11270" max="11270" width="15.6640625" style="212" bestFit="1" customWidth="1"/>
    <col min="11271" max="11271" width="16.6640625" style="212" bestFit="1" customWidth="1"/>
    <col min="11272" max="11520" width="9.1640625" style="212"/>
    <col min="11521" max="11521" width="16" style="212" customWidth="1"/>
    <col min="11522" max="11522" width="18.6640625" style="212" customWidth="1"/>
    <col min="11523" max="11523" width="20.33203125" style="212" bestFit="1" customWidth="1"/>
    <col min="11524" max="11524" width="19.5" style="212" customWidth="1"/>
    <col min="11525" max="11525" width="16.6640625" style="212" bestFit="1" customWidth="1"/>
    <col min="11526" max="11526" width="15.6640625" style="212" bestFit="1" customWidth="1"/>
    <col min="11527" max="11527" width="16.6640625" style="212" bestFit="1" customWidth="1"/>
    <col min="11528" max="11776" width="9.1640625" style="212"/>
    <col min="11777" max="11777" width="16" style="212" customWidth="1"/>
    <col min="11778" max="11778" width="18.6640625" style="212" customWidth="1"/>
    <col min="11779" max="11779" width="20.33203125" style="212" bestFit="1" customWidth="1"/>
    <col min="11780" max="11780" width="19.5" style="212" customWidth="1"/>
    <col min="11781" max="11781" width="16.6640625" style="212" bestFit="1" customWidth="1"/>
    <col min="11782" max="11782" width="15.6640625" style="212" bestFit="1" customWidth="1"/>
    <col min="11783" max="11783" width="16.6640625" style="212" bestFit="1" customWidth="1"/>
    <col min="11784" max="12032" width="9.1640625" style="212"/>
    <col min="12033" max="12033" width="16" style="212" customWidth="1"/>
    <col min="12034" max="12034" width="18.6640625" style="212" customWidth="1"/>
    <col min="12035" max="12035" width="20.33203125" style="212" bestFit="1" customWidth="1"/>
    <col min="12036" max="12036" width="19.5" style="212" customWidth="1"/>
    <col min="12037" max="12037" width="16.6640625" style="212" bestFit="1" customWidth="1"/>
    <col min="12038" max="12038" width="15.6640625" style="212" bestFit="1" customWidth="1"/>
    <col min="12039" max="12039" width="16.6640625" style="212" bestFit="1" customWidth="1"/>
    <col min="12040" max="12288" width="9.1640625" style="212"/>
    <col min="12289" max="12289" width="16" style="212" customWidth="1"/>
    <col min="12290" max="12290" width="18.6640625" style="212" customWidth="1"/>
    <col min="12291" max="12291" width="20.33203125" style="212" bestFit="1" customWidth="1"/>
    <col min="12292" max="12292" width="19.5" style="212" customWidth="1"/>
    <col min="12293" max="12293" width="16.6640625" style="212" bestFit="1" customWidth="1"/>
    <col min="12294" max="12294" width="15.6640625" style="212" bestFit="1" customWidth="1"/>
    <col min="12295" max="12295" width="16.6640625" style="212" bestFit="1" customWidth="1"/>
    <col min="12296" max="12544" width="9.1640625" style="212"/>
    <col min="12545" max="12545" width="16" style="212" customWidth="1"/>
    <col min="12546" max="12546" width="18.6640625" style="212" customWidth="1"/>
    <col min="12547" max="12547" width="20.33203125" style="212" bestFit="1" customWidth="1"/>
    <col min="12548" max="12548" width="19.5" style="212" customWidth="1"/>
    <col min="12549" max="12549" width="16.6640625" style="212" bestFit="1" customWidth="1"/>
    <col min="12550" max="12550" width="15.6640625" style="212" bestFit="1" customWidth="1"/>
    <col min="12551" max="12551" width="16.6640625" style="212" bestFit="1" customWidth="1"/>
    <col min="12552" max="12800" width="9.1640625" style="212"/>
    <col min="12801" max="12801" width="16" style="212" customWidth="1"/>
    <col min="12802" max="12802" width="18.6640625" style="212" customWidth="1"/>
    <col min="12803" max="12803" width="20.33203125" style="212" bestFit="1" customWidth="1"/>
    <col min="12804" max="12804" width="19.5" style="212" customWidth="1"/>
    <col min="12805" max="12805" width="16.6640625" style="212" bestFit="1" customWidth="1"/>
    <col min="12806" max="12806" width="15.6640625" style="212" bestFit="1" customWidth="1"/>
    <col min="12807" max="12807" width="16.6640625" style="212" bestFit="1" customWidth="1"/>
    <col min="12808" max="13056" width="9.1640625" style="212"/>
    <col min="13057" max="13057" width="16" style="212" customWidth="1"/>
    <col min="13058" max="13058" width="18.6640625" style="212" customWidth="1"/>
    <col min="13059" max="13059" width="20.33203125" style="212" bestFit="1" customWidth="1"/>
    <col min="13060" max="13060" width="19.5" style="212" customWidth="1"/>
    <col min="13061" max="13061" width="16.6640625" style="212" bestFit="1" customWidth="1"/>
    <col min="13062" max="13062" width="15.6640625" style="212" bestFit="1" customWidth="1"/>
    <col min="13063" max="13063" width="16.6640625" style="212" bestFit="1" customWidth="1"/>
    <col min="13064" max="13312" width="9.1640625" style="212"/>
    <col min="13313" max="13313" width="16" style="212" customWidth="1"/>
    <col min="13314" max="13314" width="18.6640625" style="212" customWidth="1"/>
    <col min="13315" max="13315" width="20.33203125" style="212" bestFit="1" customWidth="1"/>
    <col min="13316" max="13316" width="19.5" style="212" customWidth="1"/>
    <col min="13317" max="13317" width="16.6640625" style="212" bestFit="1" customWidth="1"/>
    <col min="13318" max="13318" width="15.6640625" style="212" bestFit="1" customWidth="1"/>
    <col min="13319" max="13319" width="16.6640625" style="212" bestFit="1" customWidth="1"/>
    <col min="13320" max="13568" width="9.1640625" style="212"/>
    <col min="13569" max="13569" width="16" style="212" customWidth="1"/>
    <col min="13570" max="13570" width="18.6640625" style="212" customWidth="1"/>
    <col min="13571" max="13571" width="20.33203125" style="212" bestFit="1" customWidth="1"/>
    <col min="13572" max="13572" width="19.5" style="212" customWidth="1"/>
    <col min="13573" max="13573" width="16.6640625" style="212" bestFit="1" customWidth="1"/>
    <col min="13574" max="13574" width="15.6640625" style="212" bestFit="1" customWidth="1"/>
    <col min="13575" max="13575" width="16.6640625" style="212" bestFit="1" customWidth="1"/>
    <col min="13576" max="13824" width="9.1640625" style="212"/>
    <col min="13825" max="13825" width="16" style="212" customWidth="1"/>
    <col min="13826" max="13826" width="18.6640625" style="212" customWidth="1"/>
    <col min="13827" max="13827" width="20.33203125" style="212" bestFit="1" customWidth="1"/>
    <col min="13828" max="13828" width="19.5" style="212" customWidth="1"/>
    <col min="13829" max="13829" width="16.6640625" style="212" bestFit="1" customWidth="1"/>
    <col min="13830" max="13830" width="15.6640625" style="212" bestFit="1" customWidth="1"/>
    <col min="13831" max="13831" width="16.6640625" style="212" bestFit="1" customWidth="1"/>
    <col min="13832" max="14080" width="9.1640625" style="212"/>
    <col min="14081" max="14081" width="16" style="212" customWidth="1"/>
    <col min="14082" max="14082" width="18.6640625" style="212" customWidth="1"/>
    <col min="14083" max="14083" width="20.33203125" style="212" bestFit="1" customWidth="1"/>
    <col min="14084" max="14084" width="19.5" style="212" customWidth="1"/>
    <col min="14085" max="14085" width="16.6640625" style="212" bestFit="1" customWidth="1"/>
    <col min="14086" max="14086" width="15.6640625" style="212" bestFit="1" customWidth="1"/>
    <col min="14087" max="14087" width="16.6640625" style="212" bestFit="1" customWidth="1"/>
    <col min="14088" max="14336" width="9.1640625" style="212"/>
    <col min="14337" max="14337" width="16" style="212" customWidth="1"/>
    <col min="14338" max="14338" width="18.6640625" style="212" customWidth="1"/>
    <col min="14339" max="14339" width="20.33203125" style="212" bestFit="1" customWidth="1"/>
    <col min="14340" max="14340" width="19.5" style="212" customWidth="1"/>
    <col min="14341" max="14341" width="16.6640625" style="212" bestFit="1" customWidth="1"/>
    <col min="14342" max="14342" width="15.6640625" style="212" bestFit="1" customWidth="1"/>
    <col min="14343" max="14343" width="16.6640625" style="212" bestFit="1" customWidth="1"/>
    <col min="14344" max="14592" width="9.1640625" style="212"/>
    <col min="14593" max="14593" width="16" style="212" customWidth="1"/>
    <col min="14594" max="14594" width="18.6640625" style="212" customWidth="1"/>
    <col min="14595" max="14595" width="20.33203125" style="212" bestFit="1" customWidth="1"/>
    <col min="14596" max="14596" width="19.5" style="212" customWidth="1"/>
    <col min="14597" max="14597" width="16.6640625" style="212" bestFit="1" customWidth="1"/>
    <col min="14598" max="14598" width="15.6640625" style="212" bestFit="1" customWidth="1"/>
    <col min="14599" max="14599" width="16.6640625" style="212" bestFit="1" customWidth="1"/>
    <col min="14600" max="14848" width="9.1640625" style="212"/>
    <col min="14849" max="14849" width="16" style="212" customWidth="1"/>
    <col min="14850" max="14850" width="18.6640625" style="212" customWidth="1"/>
    <col min="14851" max="14851" width="20.33203125" style="212" bestFit="1" customWidth="1"/>
    <col min="14852" max="14852" width="19.5" style="212" customWidth="1"/>
    <col min="14853" max="14853" width="16.6640625" style="212" bestFit="1" customWidth="1"/>
    <col min="14854" max="14854" width="15.6640625" style="212" bestFit="1" customWidth="1"/>
    <col min="14855" max="14855" width="16.6640625" style="212" bestFit="1" customWidth="1"/>
    <col min="14856" max="15104" width="9.1640625" style="212"/>
    <col min="15105" max="15105" width="16" style="212" customWidth="1"/>
    <col min="15106" max="15106" width="18.6640625" style="212" customWidth="1"/>
    <col min="15107" max="15107" width="20.33203125" style="212" bestFit="1" customWidth="1"/>
    <col min="15108" max="15108" width="19.5" style="212" customWidth="1"/>
    <col min="15109" max="15109" width="16.6640625" style="212" bestFit="1" customWidth="1"/>
    <col min="15110" max="15110" width="15.6640625" style="212" bestFit="1" customWidth="1"/>
    <col min="15111" max="15111" width="16.6640625" style="212" bestFit="1" customWidth="1"/>
    <col min="15112" max="15360" width="9.1640625" style="212"/>
    <col min="15361" max="15361" width="16" style="212" customWidth="1"/>
    <col min="15362" max="15362" width="18.6640625" style="212" customWidth="1"/>
    <col min="15363" max="15363" width="20.33203125" style="212" bestFit="1" customWidth="1"/>
    <col min="15364" max="15364" width="19.5" style="212" customWidth="1"/>
    <col min="15365" max="15365" width="16.6640625" style="212" bestFit="1" customWidth="1"/>
    <col min="15366" max="15366" width="15.6640625" style="212" bestFit="1" customWidth="1"/>
    <col min="15367" max="15367" width="16.6640625" style="212" bestFit="1" customWidth="1"/>
    <col min="15368" max="15616" width="9.1640625" style="212"/>
    <col min="15617" max="15617" width="16" style="212" customWidth="1"/>
    <col min="15618" max="15618" width="18.6640625" style="212" customWidth="1"/>
    <col min="15619" max="15619" width="20.33203125" style="212" bestFit="1" customWidth="1"/>
    <col min="15620" max="15620" width="19.5" style="212" customWidth="1"/>
    <col min="15621" max="15621" width="16.6640625" style="212" bestFit="1" customWidth="1"/>
    <col min="15622" max="15622" width="15.6640625" style="212" bestFit="1" customWidth="1"/>
    <col min="15623" max="15623" width="16.6640625" style="212" bestFit="1" customWidth="1"/>
    <col min="15624" max="15872" width="9.1640625" style="212"/>
    <col min="15873" max="15873" width="16" style="212" customWidth="1"/>
    <col min="15874" max="15874" width="18.6640625" style="212" customWidth="1"/>
    <col min="15875" max="15875" width="20.33203125" style="212" bestFit="1" customWidth="1"/>
    <col min="15876" max="15876" width="19.5" style="212" customWidth="1"/>
    <col min="15877" max="15877" width="16.6640625" style="212" bestFit="1" customWidth="1"/>
    <col min="15878" max="15878" width="15.6640625" style="212" bestFit="1" customWidth="1"/>
    <col min="15879" max="15879" width="16.6640625" style="212" bestFit="1" customWidth="1"/>
    <col min="15880" max="16128" width="9.1640625" style="212"/>
    <col min="16129" max="16129" width="16" style="212" customWidth="1"/>
    <col min="16130" max="16130" width="18.6640625" style="212" customWidth="1"/>
    <col min="16131" max="16131" width="20.33203125" style="212" bestFit="1" customWidth="1"/>
    <col min="16132" max="16132" width="19.5" style="212" customWidth="1"/>
    <col min="16133" max="16133" width="16.6640625" style="212" bestFit="1" customWidth="1"/>
    <col min="16134" max="16134" width="15.6640625" style="212" bestFit="1" customWidth="1"/>
    <col min="16135" max="16135" width="16.6640625" style="212" bestFit="1" customWidth="1"/>
    <col min="16136" max="16384" width="9.1640625" style="212"/>
  </cols>
  <sheetData>
    <row r="1" spans="1:7">
      <c r="A1" s="212" t="s">
        <v>857</v>
      </c>
    </row>
    <row r="2" spans="1:7">
      <c r="A2" s="212">
        <f>'Sampling Rate Calculator'!B6</f>
        <v>16</v>
      </c>
      <c r="B2" s="212" t="s">
        <v>838</v>
      </c>
      <c r="C2" s="212" t="s">
        <v>858</v>
      </c>
    </row>
    <row r="3" spans="1:7">
      <c r="A3" s="212">
        <f>A2*10^6</f>
        <v>16000000</v>
      </c>
      <c r="B3" s="212" t="s">
        <v>839</v>
      </c>
    </row>
    <row r="5" spans="1:7">
      <c r="C5" s="212" t="s">
        <v>859</v>
      </c>
      <c r="D5" s="212" t="s">
        <v>860</v>
      </c>
    </row>
    <row r="6" spans="1:7">
      <c r="A6" s="212" t="s">
        <v>861</v>
      </c>
      <c r="B6" s="212" t="s">
        <v>862</v>
      </c>
      <c r="C6" s="212" t="s">
        <v>863</v>
      </c>
      <c r="D6" s="212" t="s">
        <v>864</v>
      </c>
      <c r="E6" s="212" t="s">
        <v>865</v>
      </c>
      <c r="F6" s="212" t="s">
        <v>866</v>
      </c>
      <c r="G6" s="215" t="s">
        <v>867</v>
      </c>
    </row>
    <row r="7" spans="1:7">
      <c r="A7" s="216">
        <v>110</v>
      </c>
      <c r="B7" s="217"/>
      <c r="C7" s="215" t="s">
        <v>868</v>
      </c>
      <c r="D7" s="218">
        <f t="shared" ref="D7:D23" si="0">($A$3/(16*A7))-1</f>
        <v>9089.9090909090901</v>
      </c>
      <c r="E7" s="215" t="e">
        <f t="shared" ref="E7:E23" si="1">DEC2HEX(D7,2)</f>
        <v>#NUM!</v>
      </c>
      <c r="F7" s="218" t="e">
        <f t="shared" ref="F7:F23" si="2">$A$3/(16*(HEX2DEC(E7) +1))</f>
        <v>#NUM!</v>
      </c>
      <c r="G7" s="218" t="e">
        <f t="shared" ref="G7:G23" si="3">100*(F7-A7)/A7</f>
        <v>#NUM!</v>
      </c>
    </row>
    <row r="8" spans="1:7">
      <c r="A8" s="216">
        <v>300</v>
      </c>
      <c r="B8" s="217"/>
      <c r="C8" s="215" t="s">
        <v>868</v>
      </c>
      <c r="D8" s="218">
        <f t="shared" si="0"/>
        <v>3332.3333333333335</v>
      </c>
      <c r="E8" s="215" t="e">
        <f t="shared" si="1"/>
        <v>#NUM!</v>
      </c>
      <c r="F8" s="218" t="e">
        <f t="shared" si="2"/>
        <v>#NUM!</v>
      </c>
      <c r="G8" s="218" t="e">
        <f t="shared" si="3"/>
        <v>#NUM!</v>
      </c>
    </row>
    <row r="9" spans="1:7">
      <c r="A9" s="216">
        <v>600</v>
      </c>
      <c r="B9" s="217"/>
      <c r="C9" s="215" t="s">
        <v>868</v>
      </c>
      <c r="D9" s="218">
        <f t="shared" si="0"/>
        <v>1665.6666666666667</v>
      </c>
      <c r="E9" s="215" t="e">
        <f t="shared" si="1"/>
        <v>#NUM!</v>
      </c>
      <c r="F9" s="218" t="e">
        <f t="shared" si="2"/>
        <v>#NUM!</v>
      </c>
      <c r="G9" s="218" t="e">
        <f t="shared" si="3"/>
        <v>#NUM!</v>
      </c>
    </row>
    <row r="10" spans="1:7">
      <c r="A10" s="216">
        <v>1200</v>
      </c>
      <c r="B10" s="217"/>
      <c r="C10" s="215" t="s">
        <v>868</v>
      </c>
      <c r="D10" s="218">
        <f t="shared" si="0"/>
        <v>832.33333333333337</v>
      </c>
      <c r="E10" s="215" t="e">
        <f t="shared" si="1"/>
        <v>#NUM!</v>
      </c>
      <c r="F10" s="218" t="e">
        <f t="shared" si="2"/>
        <v>#NUM!</v>
      </c>
      <c r="G10" s="218" t="e">
        <f t="shared" si="3"/>
        <v>#NUM!</v>
      </c>
    </row>
    <row r="11" spans="1:7" ht="14">
      <c r="A11" s="216">
        <v>2400</v>
      </c>
      <c r="B11" s="217" t="s">
        <v>868</v>
      </c>
      <c r="C11" s="215" t="s">
        <v>868</v>
      </c>
      <c r="D11" s="218">
        <f t="shared" si="0"/>
        <v>415.66666666666669</v>
      </c>
      <c r="E11" s="215" t="e">
        <f t="shared" si="1"/>
        <v>#NUM!</v>
      </c>
      <c r="F11" s="218" t="e">
        <f t="shared" si="2"/>
        <v>#NUM!</v>
      </c>
      <c r="G11" s="218" t="e">
        <f t="shared" si="3"/>
        <v>#NUM!</v>
      </c>
    </row>
    <row r="12" spans="1:7" ht="14">
      <c r="A12" s="216">
        <v>4800</v>
      </c>
      <c r="B12" s="217" t="s">
        <v>868</v>
      </c>
      <c r="C12" s="215"/>
      <c r="D12" s="218">
        <f t="shared" si="0"/>
        <v>207.33333333333334</v>
      </c>
      <c r="E12" s="215" t="str">
        <f t="shared" si="1"/>
        <v>CF</v>
      </c>
      <c r="F12" s="218">
        <f t="shared" si="2"/>
        <v>4807.6923076923076</v>
      </c>
      <c r="G12" s="218">
        <f t="shared" si="3"/>
        <v>0.1602564102564088</v>
      </c>
    </row>
    <row r="13" spans="1:7">
      <c r="A13" s="216">
        <v>9600</v>
      </c>
      <c r="B13" s="217"/>
      <c r="C13" s="215" t="s">
        <v>868</v>
      </c>
      <c r="D13" s="218">
        <f t="shared" si="0"/>
        <v>103.16666666666667</v>
      </c>
      <c r="E13" s="215" t="str">
        <f t="shared" si="1"/>
        <v>67</v>
      </c>
      <c r="F13" s="218">
        <f t="shared" si="2"/>
        <v>9615.3846153846152</v>
      </c>
      <c r="G13" s="218">
        <f t="shared" si="3"/>
        <v>0.1602564102564088</v>
      </c>
    </row>
    <row r="14" spans="1:7">
      <c r="A14" s="216">
        <v>14400</v>
      </c>
      <c r="B14" s="217"/>
      <c r="C14" s="215" t="s">
        <v>868</v>
      </c>
      <c r="D14" s="218">
        <f t="shared" si="0"/>
        <v>68.444444444444443</v>
      </c>
      <c r="E14" s="215" t="str">
        <f t="shared" si="1"/>
        <v>44</v>
      </c>
      <c r="F14" s="218">
        <f t="shared" si="2"/>
        <v>14492.753623188406</v>
      </c>
      <c r="G14" s="218">
        <f t="shared" si="3"/>
        <v>0.64412238325281934</v>
      </c>
    </row>
    <row r="15" spans="1:7">
      <c r="A15" s="216">
        <v>19200</v>
      </c>
      <c r="B15" s="217"/>
      <c r="C15" s="215" t="s">
        <v>868</v>
      </c>
      <c r="D15" s="218">
        <f t="shared" si="0"/>
        <v>51.083333333333336</v>
      </c>
      <c r="E15" s="215" t="str">
        <f t="shared" si="1"/>
        <v>33</v>
      </c>
      <c r="F15" s="218">
        <f t="shared" si="2"/>
        <v>19230.76923076923</v>
      </c>
      <c r="G15" s="218">
        <f t="shared" si="3"/>
        <v>0.1602564102564088</v>
      </c>
    </row>
    <row r="16" spans="1:7">
      <c r="A16" s="216">
        <v>28800</v>
      </c>
      <c r="B16" s="217"/>
      <c r="C16" s="215" t="s">
        <v>868</v>
      </c>
      <c r="D16" s="218">
        <f t="shared" si="0"/>
        <v>33.722222222222221</v>
      </c>
      <c r="E16" s="215" t="str">
        <f t="shared" si="1"/>
        <v>21</v>
      </c>
      <c r="F16" s="218">
        <f t="shared" si="2"/>
        <v>29411.764705882353</v>
      </c>
      <c r="G16" s="218">
        <f t="shared" si="3"/>
        <v>2.1241830065359486</v>
      </c>
    </row>
    <row r="17" spans="1:7">
      <c r="A17" s="216">
        <v>38400</v>
      </c>
      <c r="B17" s="217"/>
      <c r="C17" s="215" t="s">
        <v>868</v>
      </c>
      <c r="D17" s="218">
        <f t="shared" si="0"/>
        <v>25.041666666666668</v>
      </c>
      <c r="E17" s="215" t="str">
        <f t="shared" si="1"/>
        <v>19</v>
      </c>
      <c r="F17" s="218">
        <f t="shared" si="2"/>
        <v>38461.538461538461</v>
      </c>
      <c r="G17" s="218">
        <f t="shared" si="3"/>
        <v>0.1602564102564088</v>
      </c>
    </row>
    <row r="18" spans="1:7">
      <c r="A18" s="216">
        <v>56000</v>
      </c>
      <c r="B18" s="217"/>
      <c r="C18" s="215" t="s">
        <v>868</v>
      </c>
      <c r="D18" s="218">
        <f t="shared" si="0"/>
        <v>16.857142857142858</v>
      </c>
      <c r="E18" s="215" t="str">
        <f t="shared" si="1"/>
        <v>10</v>
      </c>
      <c r="F18" s="218">
        <f t="shared" si="2"/>
        <v>58823.529411764706</v>
      </c>
      <c r="G18" s="218">
        <f t="shared" si="3"/>
        <v>5.0420168067226889</v>
      </c>
    </row>
    <row r="19" spans="1:7" ht="14">
      <c r="A19" s="216">
        <v>57600</v>
      </c>
      <c r="B19" s="217" t="s">
        <v>868</v>
      </c>
      <c r="C19" s="215"/>
      <c r="D19" s="218">
        <f t="shared" si="0"/>
        <v>16.361111111111111</v>
      </c>
      <c r="E19" s="215" t="str">
        <f t="shared" si="1"/>
        <v>10</v>
      </c>
      <c r="F19" s="218">
        <f t="shared" si="2"/>
        <v>58823.529411764706</v>
      </c>
      <c r="G19" s="218">
        <f t="shared" si="3"/>
        <v>2.1241830065359486</v>
      </c>
    </row>
    <row r="20" spans="1:7">
      <c r="A20" s="216">
        <v>76800</v>
      </c>
      <c r="B20" s="217"/>
      <c r="C20" s="215"/>
      <c r="D20" s="218">
        <f t="shared" si="0"/>
        <v>12.020833333333334</v>
      </c>
      <c r="E20" s="215" t="str">
        <f t="shared" si="1"/>
        <v>0C</v>
      </c>
      <c r="F20" s="218">
        <f t="shared" si="2"/>
        <v>76923.076923076922</v>
      </c>
      <c r="G20" s="218">
        <f t="shared" si="3"/>
        <v>0.1602564102564088</v>
      </c>
    </row>
    <row r="21" spans="1:7" ht="14">
      <c r="A21" s="216">
        <v>115200</v>
      </c>
      <c r="B21" s="217" t="s">
        <v>868</v>
      </c>
      <c r="C21" s="215"/>
      <c r="D21" s="218">
        <f t="shared" si="0"/>
        <v>7.6805555555555554</v>
      </c>
      <c r="E21" s="215" t="str">
        <f t="shared" si="1"/>
        <v>07</v>
      </c>
      <c r="F21" s="218">
        <f t="shared" si="2"/>
        <v>125000</v>
      </c>
      <c r="G21" s="218">
        <f t="shared" si="3"/>
        <v>8.5069444444444446</v>
      </c>
    </row>
    <row r="22" spans="1:7">
      <c r="A22" s="216">
        <v>128000</v>
      </c>
      <c r="B22" s="217"/>
      <c r="C22" s="215" t="s">
        <v>868</v>
      </c>
      <c r="D22" s="218">
        <f t="shared" si="0"/>
        <v>6.8125</v>
      </c>
      <c r="E22" s="215" t="str">
        <f t="shared" si="1"/>
        <v>06</v>
      </c>
      <c r="F22" s="218">
        <f t="shared" si="2"/>
        <v>142857.14285714287</v>
      </c>
      <c r="G22" s="218">
        <f t="shared" si="3"/>
        <v>11.607142857142867</v>
      </c>
    </row>
    <row r="23" spans="1:7">
      <c r="A23" s="216">
        <v>256000</v>
      </c>
      <c r="B23" s="217"/>
      <c r="C23" s="215" t="s">
        <v>868</v>
      </c>
      <c r="D23" s="218">
        <f t="shared" si="0"/>
        <v>2.90625</v>
      </c>
      <c r="E23" s="215" t="str">
        <f t="shared" si="1"/>
        <v>02</v>
      </c>
      <c r="F23" s="218">
        <f t="shared" si="2"/>
        <v>333333.33333333331</v>
      </c>
      <c r="G23" s="218">
        <f t="shared" si="3"/>
        <v>30.208333333333325</v>
      </c>
    </row>
    <row r="26" spans="1:7">
      <c r="A26" s="219" t="s">
        <v>869</v>
      </c>
      <c r="B26" s="212" t="s">
        <v>870</v>
      </c>
      <c r="C26" s="212" t="s">
        <v>871</v>
      </c>
    </row>
    <row r="27" spans="1:7">
      <c r="A27" s="220">
        <v>56000</v>
      </c>
      <c r="B27" s="212">
        <v>0</v>
      </c>
      <c r="C27" s="212">
        <f>$A$27*16*($B27+1)/(10^6)</f>
        <v>0.89600000000000002</v>
      </c>
    </row>
    <row r="28" spans="1:7">
      <c r="B28" s="212">
        <v>1</v>
      </c>
      <c r="C28" s="212">
        <f t="shared" ref="C28:C91" si="4">$A$27*16*($B28+1)/(10^6)</f>
        <v>1.792</v>
      </c>
    </row>
    <row r="29" spans="1:7">
      <c r="B29" s="212">
        <v>2</v>
      </c>
      <c r="C29" s="212">
        <f t="shared" si="4"/>
        <v>2.6880000000000002</v>
      </c>
    </row>
    <row r="30" spans="1:7">
      <c r="B30" s="212">
        <v>3</v>
      </c>
      <c r="C30" s="212">
        <f t="shared" si="4"/>
        <v>3.5840000000000001</v>
      </c>
    </row>
    <row r="31" spans="1:7">
      <c r="B31" s="212">
        <v>4</v>
      </c>
      <c r="C31" s="212">
        <f t="shared" si="4"/>
        <v>4.4800000000000004</v>
      </c>
    </row>
    <row r="32" spans="1:7">
      <c r="B32" s="212">
        <v>5</v>
      </c>
      <c r="C32" s="212">
        <f t="shared" si="4"/>
        <v>5.3760000000000003</v>
      </c>
    </row>
    <row r="33" spans="2:3">
      <c r="B33" s="212">
        <v>6</v>
      </c>
      <c r="C33" s="212">
        <f t="shared" si="4"/>
        <v>6.2720000000000002</v>
      </c>
    </row>
    <row r="34" spans="2:3">
      <c r="B34" s="212">
        <v>7</v>
      </c>
      <c r="C34" s="212">
        <f t="shared" si="4"/>
        <v>7.1680000000000001</v>
      </c>
    </row>
    <row r="35" spans="2:3">
      <c r="B35" s="212">
        <v>8</v>
      </c>
      <c r="C35" s="212">
        <f t="shared" si="4"/>
        <v>8.0640000000000001</v>
      </c>
    </row>
    <row r="36" spans="2:3">
      <c r="B36" s="212">
        <v>9</v>
      </c>
      <c r="C36" s="212">
        <f t="shared" si="4"/>
        <v>8.9600000000000009</v>
      </c>
    </row>
    <row r="37" spans="2:3">
      <c r="B37" s="212">
        <v>10</v>
      </c>
      <c r="C37" s="212">
        <f t="shared" si="4"/>
        <v>9.8559999999999999</v>
      </c>
    </row>
    <row r="38" spans="2:3">
      <c r="B38" s="212">
        <v>11</v>
      </c>
      <c r="C38" s="212">
        <f t="shared" si="4"/>
        <v>10.752000000000001</v>
      </c>
    </row>
    <row r="39" spans="2:3">
      <c r="B39" s="212">
        <v>12</v>
      </c>
      <c r="C39" s="212">
        <f t="shared" si="4"/>
        <v>11.648</v>
      </c>
    </row>
    <row r="40" spans="2:3">
      <c r="B40" s="212">
        <v>13</v>
      </c>
      <c r="C40" s="212">
        <f t="shared" si="4"/>
        <v>12.544</v>
      </c>
    </row>
    <row r="41" spans="2:3">
      <c r="B41" s="212">
        <v>14</v>
      </c>
      <c r="C41" s="212">
        <f t="shared" si="4"/>
        <v>13.44</v>
      </c>
    </row>
    <row r="42" spans="2:3">
      <c r="B42" s="212">
        <v>15</v>
      </c>
      <c r="C42" s="212">
        <f t="shared" si="4"/>
        <v>14.336</v>
      </c>
    </row>
    <row r="43" spans="2:3">
      <c r="B43" s="212">
        <v>16</v>
      </c>
      <c r="C43" s="212">
        <f t="shared" si="4"/>
        <v>15.231999999999999</v>
      </c>
    </row>
    <row r="44" spans="2:3">
      <c r="B44" s="212">
        <v>17</v>
      </c>
      <c r="C44" s="212">
        <f t="shared" si="4"/>
        <v>16.128</v>
      </c>
    </row>
    <row r="45" spans="2:3">
      <c r="B45" s="212">
        <v>18</v>
      </c>
      <c r="C45" s="212">
        <f t="shared" si="4"/>
        <v>17.024000000000001</v>
      </c>
    </row>
    <row r="46" spans="2:3">
      <c r="B46" s="212">
        <v>19</v>
      </c>
      <c r="C46" s="212">
        <f t="shared" si="4"/>
        <v>17.920000000000002</v>
      </c>
    </row>
    <row r="47" spans="2:3">
      <c r="B47" s="212">
        <v>20</v>
      </c>
      <c r="C47" s="212">
        <f t="shared" si="4"/>
        <v>18.815999999999999</v>
      </c>
    </row>
    <row r="48" spans="2:3">
      <c r="B48" s="212">
        <v>21</v>
      </c>
      <c r="C48" s="212">
        <f t="shared" si="4"/>
        <v>19.712</v>
      </c>
    </row>
    <row r="49" spans="2:3">
      <c r="B49" s="212">
        <v>22</v>
      </c>
      <c r="C49" s="212">
        <f t="shared" si="4"/>
        <v>20.608000000000001</v>
      </c>
    </row>
    <row r="50" spans="2:3">
      <c r="B50" s="212">
        <v>23</v>
      </c>
      <c r="C50" s="212">
        <f t="shared" si="4"/>
        <v>21.504000000000001</v>
      </c>
    </row>
    <row r="51" spans="2:3">
      <c r="B51" s="212">
        <v>24</v>
      </c>
      <c r="C51" s="212">
        <f t="shared" si="4"/>
        <v>22.4</v>
      </c>
    </row>
    <row r="52" spans="2:3">
      <c r="B52" s="212">
        <v>25</v>
      </c>
      <c r="C52" s="212">
        <f t="shared" si="4"/>
        <v>23.295999999999999</v>
      </c>
    </row>
    <row r="53" spans="2:3">
      <c r="B53" s="212">
        <v>26</v>
      </c>
      <c r="C53" s="212">
        <f t="shared" si="4"/>
        <v>24.192</v>
      </c>
    </row>
    <row r="54" spans="2:3">
      <c r="B54" s="212">
        <v>27</v>
      </c>
      <c r="C54" s="212">
        <f t="shared" si="4"/>
        <v>25.088000000000001</v>
      </c>
    </row>
    <row r="55" spans="2:3">
      <c r="B55" s="212">
        <v>28</v>
      </c>
      <c r="C55" s="212">
        <f t="shared" si="4"/>
        <v>25.984000000000002</v>
      </c>
    </row>
    <row r="56" spans="2:3">
      <c r="B56" s="212">
        <v>29</v>
      </c>
      <c r="C56" s="212">
        <f t="shared" si="4"/>
        <v>26.88</v>
      </c>
    </row>
    <row r="57" spans="2:3">
      <c r="B57" s="212">
        <v>30</v>
      </c>
      <c r="C57" s="212">
        <f t="shared" si="4"/>
        <v>27.776</v>
      </c>
    </row>
    <row r="58" spans="2:3">
      <c r="B58" s="212">
        <v>31</v>
      </c>
      <c r="C58" s="212">
        <f t="shared" si="4"/>
        <v>28.672000000000001</v>
      </c>
    </row>
    <row r="59" spans="2:3">
      <c r="B59" s="212">
        <v>32</v>
      </c>
      <c r="C59" s="212">
        <f t="shared" si="4"/>
        <v>29.568000000000001</v>
      </c>
    </row>
    <row r="60" spans="2:3">
      <c r="B60" s="212">
        <v>33</v>
      </c>
      <c r="C60" s="212">
        <f t="shared" si="4"/>
        <v>30.463999999999999</v>
      </c>
    </row>
    <row r="61" spans="2:3">
      <c r="B61" s="212">
        <v>34</v>
      </c>
      <c r="C61" s="212">
        <f t="shared" si="4"/>
        <v>31.36</v>
      </c>
    </row>
    <row r="62" spans="2:3">
      <c r="B62" s="212">
        <v>35</v>
      </c>
      <c r="C62" s="212">
        <f t="shared" si="4"/>
        <v>32.256</v>
      </c>
    </row>
    <row r="63" spans="2:3">
      <c r="B63" s="212">
        <v>36</v>
      </c>
      <c r="C63" s="212">
        <f t="shared" si="4"/>
        <v>33.152000000000001</v>
      </c>
    </row>
    <row r="64" spans="2:3">
      <c r="B64" s="212">
        <v>37</v>
      </c>
      <c r="C64" s="212">
        <f t="shared" si="4"/>
        <v>34.048000000000002</v>
      </c>
    </row>
    <row r="65" spans="2:3">
      <c r="B65" s="212">
        <v>38</v>
      </c>
      <c r="C65" s="212">
        <f t="shared" si="4"/>
        <v>34.944000000000003</v>
      </c>
    </row>
    <row r="66" spans="2:3">
      <c r="B66" s="212">
        <v>39</v>
      </c>
      <c r="C66" s="212">
        <f t="shared" si="4"/>
        <v>35.840000000000003</v>
      </c>
    </row>
    <row r="67" spans="2:3">
      <c r="B67" s="212">
        <v>40</v>
      </c>
      <c r="C67" s="212">
        <f t="shared" si="4"/>
        <v>36.735999999999997</v>
      </c>
    </row>
    <row r="68" spans="2:3">
      <c r="B68" s="212">
        <v>41</v>
      </c>
      <c r="C68" s="212">
        <f t="shared" si="4"/>
        <v>37.631999999999998</v>
      </c>
    </row>
    <row r="69" spans="2:3">
      <c r="B69" s="212">
        <v>42</v>
      </c>
      <c r="C69" s="212">
        <f t="shared" si="4"/>
        <v>38.527999999999999</v>
      </c>
    </row>
    <row r="70" spans="2:3">
      <c r="B70" s="212">
        <v>43</v>
      </c>
      <c r="C70" s="212">
        <f t="shared" si="4"/>
        <v>39.423999999999999</v>
      </c>
    </row>
    <row r="71" spans="2:3">
      <c r="B71" s="212">
        <v>44</v>
      </c>
      <c r="C71" s="212">
        <f t="shared" si="4"/>
        <v>40.32</v>
      </c>
    </row>
    <row r="72" spans="2:3">
      <c r="B72" s="212">
        <v>45</v>
      </c>
      <c r="C72" s="212">
        <f t="shared" si="4"/>
        <v>41.216000000000001</v>
      </c>
    </row>
    <row r="73" spans="2:3">
      <c r="B73" s="212">
        <v>46</v>
      </c>
      <c r="C73" s="212">
        <f t="shared" si="4"/>
        <v>42.112000000000002</v>
      </c>
    </row>
    <row r="74" spans="2:3">
      <c r="B74" s="212">
        <v>47</v>
      </c>
      <c r="C74" s="212">
        <f t="shared" si="4"/>
        <v>43.008000000000003</v>
      </c>
    </row>
    <row r="75" spans="2:3">
      <c r="B75" s="212">
        <v>48</v>
      </c>
      <c r="C75" s="212">
        <f t="shared" si="4"/>
        <v>43.904000000000003</v>
      </c>
    </row>
    <row r="76" spans="2:3">
      <c r="B76" s="212">
        <v>49</v>
      </c>
      <c r="C76" s="212">
        <f t="shared" si="4"/>
        <v>44.8</v>
      </c>
    </row>
    <row r="77" spans="2:3">
      <c r="B77" s="212">
        <v>50</v>
      </c>
      <c r="C77" s="212">
        <f t="shared" si="4"/>
        <v>45.695999999999998</v>
      </c>
    </row>
    <row r="78" spans="2:3">
      <c r="B78" s="212">
        <v>51</v>
      </c>
      <c r="C78" s="212">
        <f t="shared" si="4"/>
        <v>46.591999999999999</v>
      </c>
    </row>
    <row r="79" spans="2:3">
      <c r="B79" s="212">
        <v>52</v>
      </c>
      <c r="C79" s="212">
        <f t="shared" si="4"/>
        <v>47.488</v>
      </c>
    </row>
    <row r="80" spans="2:3">
      <c r="B80" s="212">
        <v>53</v>
      </c>
      <c r="C80" s="212">
        <f t="shared" si="4"/>
        <v>48.384</v>
      </c>
    </row>
    <row r="81" spans="2:3">
      <c r="B81" s="212">
        <v>54</v>
      </c>
      <c r="C81" s="212">
        <f t="shared" si="4"/>
        <v>49.28</v>
      </c>
    </row>
    <row r="82" spans="2:3">
      <c r="B82" s="212">
        <v>55</v>
      </c>
      <c r="C82" s="212">
        <f t="shared" si="4"/>
        <v>50.176000000000002</v>
      </c>
    </row>
    <row r="83" spans="2:3">
      <c r="B83" s="212">
        <v>56</v>
      </c>
      <c r="C83" s="212">
        <f t="shared" si="4"/>
        <v>51.072000000000003</v>
      </c>
    </row>
    <row r="84" spans="2:3">
      <c r="B84" s="212">
        <v>57</v>
      </c>
      <c r="C84" s="212">
        <f t="shared" si="4"/>
        <v>51.968000000000004</v>
      </c>
    </row>
    <row r="85" spans="2:3">
      <c r="B85" s="212">
        <v>58</v>
      </c>
      <c r="C85" s="212">
        <f t="shared" si="4"/>
        <v>52.863999999999997</v>
      </c>
    </row>
    <row r="86" spans="2:3">
      <c r="B86" s="212">
        <v>59</v>
      </c>
      <c r="C86" s="212">
        <f t="shared" si="4"/>
        <v>53.76</v>
      </c>
    </row>
    <row r="87" spans="2:3">
      <c r="B87" s="212">
        <v>60</v>
      </c>
      <c r="C87" s="212">
        <f t="shared" si="4"/>
        <v>54.655999999999999</v>
      </c>
    </row>
    <row r="88" spans="2:3">
      <c r="B88" s="212">
        <v>61</v>
      </c>
      <c r="C88" s="212">
        <f t="shared" si="4"/>
        <v>55.552</v>
      </c>
    </row>
    <row r="89" spans="2:3">
      <c r="B89" s="212">
        <v>62</v>
      </c>
      <c r="C89" s="212">
        <f t="shared" si="4"/>
        <v>56.448</v>
      </c>
    </row>
    <row r="90" spans="2:3">
      <c r="B90" s="212">
        <v>63</v>
      </c>
      <c r="C90" s="212">
        <f t="shared" si="4"/>
        <v>57.344000000000001</v>
      </c>
    </row>
    <row r="91" spans="2:3">
      <c r="B91" s="212">
        <v>64</v>
      </c>
      <c r="C91" s="212">
        <f t="shared" si="4"/>
        <v>58.24</v>
      </c>
    </row>
    <row r="92" spans="2:3">
      <c r="B92" s="212">
        <v>65</v>
      </c>
      <c r="C92" s="212">
        <f t="shared" ref="C92:C155" si="5">$A$27*16*($B92+1)/(10^6)</f>
        <v>59.136000000000003</v>
      </c>
    </row>
    <row r="93" spans="2:3">
      <c r="B93" s="212">
        <v>66</v>
      </c>
      <c r="C93" s="212">
        <f t="shared" si="5"/>
        <v>60.031999999999996</v>
      </c>
    </row>
    <row r="94" spans="2:3">
      <c r="B94" s="212">
        <v>67</v>
      </c>
      <c r="C94" s="212">
        <f t="shared" si="5"/>
        <v>60.927999999999997</v>
      </c>
    </row>
    <row r="95" spans="2:3">
      <c r="B95" s="212">
        <v>68</v>
      </c>
      <c r="C95" s="212">
        <f t="shared" si="5"/>
        <v>61.823999999999998</v>
      </c>
    </row>
    <row r="96" spans="2:3">
      <c r="B96" s="212">
        <v>69</v>
      </c>
      <c r="C96" s="212">
        <f t="shared" si="5"/>
        <v>62.72</v>
      </c>
    </row>
    <row r="97" spans="2:3">
      <c r="B97" s="212">
        <v>70</v>
      </c>
      <c r="C97" s="212">
        <f t="shared" si="5"/>
        <v>63.616</v>
      </c>
    </row>
    <row r="98" spans="2:3">
      <c r="B98" s="212">
        <v>71</v>
      </c>
      <c r="C98" s="212">
        <f t="shared" si="5"/>
        <v>64.512</v>
      </c>
    </row>
    <row r="99" spans="2:3">
      <c r="B99" s="212">
        <v>72</v>
      </c>
      <c r="C99" s="212">
        <f t="shared" si="5"/>
        <v>65.408000000000001</v>
      </c>
    </row>
    <row r="100" spans="2:3">
      <c r="B100" s="212">
        <v>73</v>
      </c>
      <c r="C100" s="212">
        <f t="shared" si="5"/>
        <v>66.304000000000002</v>
      </c>
    </row>
    <row r="101" spans="2:3">
      <c r="B101" s="212">
        <v>74</v>
      </c>
      <c r="C101" s="212">
        <f t="shared" si="5"/>
        <v>67.2</v>
      </c>
    </row>
    <row r="102" spans="2:3">
      <c r="B102" s="212">
        <v>75</v>
      </c>
      <c r="C102" s="212">
        <f t="shared" si="5"/>
        <v>68.096000000000004</v>
      </c>
    </row>
    <row r="103" spans="2:3">
      <c r="B103" s="212">
        <v>76</v>
      </c>
      <c r="C103" s="212">
        <f t="shared" si="5"/>
        <v>68.992000000000004</v>
      </c>
    </row>
    <row r="104" spans="2:3">
      <c r="B104" s="212">
        <v>77</v>
      </c>
      <c r="C104" s="212">
        <f t="shared" si="5"/>
        <v>69.888000000000005</v>
      </c>
    </row>
    <row r="105" spans="2:3">
      <c r="B105" s="212">
        <v>78</v>
      </c>
      <c r="C105" s="212">
        <f t="shared" si="5"/>
        <v>70.784000000000006</v>
      </c>
    </row>
    <row r="106" spans="2:3">
      <c r="B106" s="212">
        <v>79</v>
      </c>
      <c r="C106" s="212">
        <f t="shared" si="5"/>
        <v>71.680000000000007</v>
      </c>
    </row>
    <row r="107" spans="2:3">
      <c r="B107" s="212">
        <v>80</v>
      </c>
      <c r="C107" s="212">
        <f t="shared" si="5"/>
        <v>72.575999999999993</v>
      </c>
    </row>
    <row r="108" spans="2:3">
      <c r="B108" s="212">
        <v>81</v>
      </c>
      <c r="C108" s="212">
        <f t="shared" si="5"/>
        <v>73.471999999999994</v>
      </c>
    </row>
    <row r="109" spans="2:3">
      <c r="B109" s="212">
        <v>82</v>
      </c>
      <c r="C109" s="212">
        <f t="shared" si="5"/>
        <v>74.367999999999995</v>
      </c>
    </row>
    <row r="110" spans="2:3">
      <c r="B110" s="212">
        <v>83</v>
      </c>
      <c r="C110" s="212">
        <f t="shared" si="5"/>
        <v>75.263999999999996</v>
      </c>
    </row>
    <row r="111" spans="2:3">
      <c r="B111" s="212">
        <v>84</v>
      </c>
      <c r="C111" s="212">
        <f t="shared" si="5"/>
        <v>76.16</v>
      </c>
    </row>
    <row r="112" spans="2:3">
      <c r="B112" s="212">
        <v>85</v>
      </c>
      <c r="C112" s="212">
        <f t="shared" si="5"/>
        <v>77.055999999999997</v>
      </c>
    </row>
    <row r="113" spans="2:3">
      <c r="B113" s="212">
        <v>86</v>
      </c>
      <c r="C113" s="212">
        <f t="shared" si="5"/>
        <v>77.951999999999998</v>
      </c>
    </row>
    <row r="114" spans="2:3">
      <c r="B114" s="212">
        <v>87</v>
      </c>
      <c r="C114" s="212">
        <f t="shared" si="5"/>
        <v>78.847999999999999</v>
      </c>
    </row>
    <row r="115" spans="2:3">
      <c r="B115" s="212">
        <v>88</v>
      </c>
      <c r="C115" s="212">
        <f t="shared" si="5"/>
        <v>79.744</v>
      </c>
    </row>
    <row r="116" spans="2:3">
      <c r="B116" s="212">
        <v>89</v>
      </c>
      <c r="C116" s="212">
        <f t="shared" si="5"/>
        <v>80.64</v>
      </c>
    </row>
    <row r="117" spans="2:3">
      <c r="B117" s="212">
        <v>90</v>
      </c>
      <c r="C117" s="212">
        <f t="shared" si="5"/>
        <v>81.536000000000001</v>
      </c>
    </row>
    <row r="118" spans="2:3">
      <c r="B118" s="212">
        <v>91</v>
      </c>
      <c r="C118" s="212">
        <f t="shared" si="5"/>
        <v>82.432000000000002</v>
      </c>
    </row>
    <row r="119" spans="2:3">
      <c r="B119" s="212">
        <v>92</v>
      </c>
      <c r="C119" s="212">
        <f t="shared" si="5"/>
        <v>83.328000000000003</v>
      </c>
    </row>
    <row r="120" spans="2:3">
      <c r="B120" s="212">
        <v>93</v>
      </c>
      <c r="C120" s="212">
        <f t="shared" si="5"/>
        <v>84.224000000000004</v>
      </c>
    </row>
    <row r="121" spans="2:3">
      <c r="B121" s="212">
        <v>94</v>
      </c>
      <c r="C121" s="212">
        <f t="shared" si="5"/>
        <v>85.12</v>
      </c>
    </row>
    <row r="122" spans="2:3">
      <c r="B122" s="212">
        <v>95</v>
      </c>
      <c r="C122" s="212">
        <f t="shared" si="5"/>
        <v>86.016000000000005</v>
      </c>
    </row>
    <row r="123" spans="2:3">
      <c r="B123" s="212">
        <v>96</v>
      </c>
      <c r="C123" s="212">
        <f t="shared" si="5"/>
        <v>86.912000000000006</v>
      </c>
    </row>
    <row r="124" spans="2:3">
      <c r="B124" s="212">
        <v>97</v>
      </c>
      <c r="C124" s="212">
        <f t="shared" si="5"/>
        <v>87.808000000000007</v>
      </c>
    </row>
    <row r="125" spans="2:3">
      <c r="B125" s="212">
        <v>98</v>
      </c>
      <c r="C125" s="212">
        <f t="shared" si="5"/>
        <v>88.703999999999994</v>
      </c>
    </row>
    <row r="126" spans="2:3">
      <c r="B126" s="212">
        <v>99</v>
      </c>
      <c r="C126" s="212">
        <f t="shared" si="5"/>
        <v>89.6</v>
      </c>
    </row>
    <row r="127" spans="2:3">
      <c r="B127" s="212">
        <v>100</v>
      </c>
      <c r="C127" s="212">
        <f t="shared" si="5"/>
        <v>90.495999999999995</v>
      </c>
    </row>
    <row r="128" spans="2:3">
      <c r="B128" s="212">
        <v>101</v>
      </c>
      <c r="C128" s="212">
        <f t="shared" si="5"/>
        <v>91.391999999999996</v>
      </c>
    </row>
    <row r="129" spans="2:3">
      <c r="B129" s="212">
        <v>102</v>
      </c>
      <c r="C129" s="212">
        <f t="shared" si="5"/>
        <v>92.287999999999997</v>
      </c>
    </row>
    <row r="130" spans="2:3">
      <c r="B130" s="212">
        <v>103</v>
      </c>
      <c r="C130" s="212">
        <f t="shared" si="5"/>
        <v>93.183999999999997</v>
      </c>
    </row>
    <row r="131" spans="2:3">
      <c r="B131" s="212">
        <v>104</v>
      </c>
      <c r="C131" s="212">
        <f t="shared" si="5"/>
        <v>94.08</v>
      </c>
    </row>
    <row r="132" spans="2:3">
      <c r="B132" s="212">
        <v>105</v>
      </c>
      <c r="C132" s="212">
        <f t="shared" si="5"/>
        <v>94.975999999999999</v>
      </c>
    </row>
    <row r="133" spans="2:3">
      <c r="B133" s="212">
        <v>106</v>
      </c>
      <c r="C133" s="212">
        <f t="shared" si="5"/>
        <v>95.872</v>
      </c>
    </row>
    <row r="134" spans="2:3">
      <c r="B134" s="212">
        <v>107</v>
      </c>
      <c r="C134" s="212">
        <f t="shared" si="5"/>
        <v>96.768000000000001</v>
      </c>
    </row>
    <row r="135" spans="2:3">
      <c r="B135" s="212">
        <v>108</v>
      </c>
      <c r="C135" s="212">
        <f t="shared" si="5"/>
        <v>97.664000000000001</v>
      </c>
    </row>
    <row r="136" spans="2:3">
      <c r="B136" s="212">
        <v>109</v>
      </c>
      <c r="C136" s="212">
        <f t="shared" si="5"/>
        <v>98.56</v>
      </c>
    </row>
    <row r="137" spans="2:3">
      <c r="B137" s="212">
        <v>110</v>
      </c>
      <c r="C137" s="212">
        <f t="shared" si="5"/>
        <v>99.456000000000003</v>
      </c>
    </row>
    <row r="138" spans="2:3">
      <c r="B138" s="212">
        <v>111</v>
      </c>
      <c r="C138" s="212">
        <f t="shared" si="5"/>
        <v>100.352</v>
      </c>
    </row>
    <row r="139" spans="2:3">
      <c r="B139" s="212">
        <v>112</v>
      </c>
      <c r="C139" s="212">
        <f t="shared" si="5"/>
        <v>101.248</v>
      </c>
    </row>
    <row r="140" spans="2:3">
      <c r="B140" s="212">
        <v>113</v>
      </c>
      <c r="C140" s="212">
        <f t="shared" si="5"/>
        <v>102.14400000000001</v>
      </c>
    </row>
    <row r="141" spans="2:3">
      <c r="B141" s="212">
        <v>114</v>
      </c>
      <c r="C141" s="212">
        <f t="shared" si="5"/>
        <v>103.04</v>
      </c>
    </row>
    <row r="142" spans="2:3">
      <c r="B142" s="212">
        <v>115</v>
      </c>
      <c r="C142" s="212">
        <f t="shared" si="5"/>
        <v>103.93600000000001</v>
      </c>
    </row>
    <row r="143" spans="2:3">
      <c r="B143" s="212">
        <v>116</v>
      </c>
      <c r="C143" s="212">
        <f t="shared" si="5"/>
        <v>104.83199999999999</v>
      </c>
    </row>
    <row r="144" spans="2:3">
      <c r="B144" s="212">
        <v>117</v>
      </c>
      <c r="C144" s="212">
        <f t="shared" si="5"/>
        <v>105.72799999999999</v>
      </c>
    </row>
    <row r="145" spans="2:3">
      <c r="B145" s="212">
        <v>118</v>
      </c>
      <c r="C145" s="212">
        <f t="shared" si="5"/>
        <v>106.624</v>
      </c>
    </row>
    <row r="146" spans="2:3">
      <c r="B146" s="212">
        <v>119</v>
      </c>
      <c r="C146" s="212">
        <f t="shared" si="5"/>
        <v>107.52</v>
      </c>
    </row>
    <row r="147" spans="2:3">
      <c r="B147" s="212">
        <v>120</v>
      </c>
      <c r="C147" s="212">
        <f t="shared" si="5"/>
        <v>108.416</v>
      </c>
    </row>
    <row r="148" spans="2:3">
      <c r="B148" s="212">
        <v>121</v>
      </c>
      <c r="C148" s="212">
        <f t="shared" si="5"/>
        <v>109.312</v>
      </c>
    </row>
    <row r="149" spans="2:3">
      <c r="B149" s="212">
        <v>122</v>
      </c>
      <c r="C149" s="212">
        <f t="shared" si="5"/>
        <v>110.208</v>
      </c>
    </row>
    <row r="150" spans="2:3">
      <c r="B150" s="212">
        <v>123</v>
      </c>
      <c r="C150" s="212">
        <f t="shared" si="5"/>
        <v>111.104</v>
      </c>
    </row>
    <row r="151" spans="2:3">
      <c r="B151" s="212">
        <v>124</v>
      </c>
      <c r="C151" s="212">
        <f t="shared" si="5"/>
        <v>112</v>
      </c>
    </row>
    <row r="152" spans="2:3">
      <c r="B152" s="212">
        <v>125</v>
      </c>
      <c r="C152" s="212">
        <f t="shared" si="5"/>
        <v>112.896</v>
      </c>
    </row>
    <row r="153" spans="2:3">
      <c r="B153" s="212">
        <v>126</v>
      </c>
      <c r="C153" s="212">
        <f t="shared" si="5"/>
        <v>113.792</v>
      </c>
    </row>
    <row r="154" spans="2:3">
      <c r="B154" s="212">
        <v>127</v>
      </c>
      <c r="C154" s="212">
        <f t="shared" si="5"/>
        <v>114.688</v>
      </c>
    </row>
    <row r="155" spans="2:3">
      <c r="B155" s="212">
        <v>128</v>
      </c>
      <c r="C155" s="212">
        <f t="shared" si="5"/>
        <v>115.584</v>
      </c>
    </row>
    <row r="156" spans="2:3">
      <c r="B156" s="212">
        <v>129</v>
      </c>
      <c r="C156" s="212">
        <f t="shared" ref="C156:C219" si="6">$A$27*16*($B156+1)/(10^6)</f>
        <v>116.48</v>
      </c>
    </row>
    <row r="157" spans="2:3">
      <c r="B157" s="212">
        <v>130</v>
      </c>
      <c r="C157" s="212">
        <f t="shared" si="6"/>
        <v>117.376</v>
      </c>
    </row>
    <row r="158" spans="2:3">
      <c r="B158" s="212">
        <v>131</v>
      </c>
      <c r="C158" s="212">
        <f t="shared" si="6"/>
        <v>118.27200000000001</v>
      </c>
    </row>
    <row r="159" spans="2:3">
      <c r="B159" s="212">
        <v>132</v>
      </c>
      <c r="C159" s="212">
        <f t="shared" si="6"/>
        <v>119.16800000000001</v>
      </c>
    </row>
    <row r="160" spans="2:3">
      <c r="B160" s="212">
        <v>133</v>
      </c>
      <c r="C160" s="212">
        <f t="shared" si="6"/>
        <v>120.06399999999999</v>
      </c>
    </row>
    <row r="161" spans="2:3">
      <c r="B161" s="212">
        <v>134</v>
      </c>
      <c r="C161" s="212">
        <f t="shared" si="6"/>
        <v>120.96</v>
      </c>
    </row>
    <row r="162" spans="2:3">
      <c r="B162" s="212">
        <v>135</v>
      </c>
      <c r="C162" s="212">
        <f t="shared" si="6"/>
        <v>121.85599999999999</v>
      </c>
    </row>
    <row r="163" spans="2:3">
      <c r="B163" s="212">
        <v>136</v>
      </c>
      <c r="C163" s="212">
        <f t="shared" si="6"/>
        <v>122.752</v>
      </c>
    </row>
    <row r="164" spans="2:3">
      <c r="B164" s="212">
        <v>137</v>
      </c>
      <c r="C164" s="212">
        <f t="shared" si="6"/>
        <v>123.648</v>
      </c>
    </row>
    <row r="165" spans="2:3">
      <c r="B165" s="212">
        <v>138</v>
      </c>
      <c r="C165" s="212">
        <f t="shared" si="6"/>
        <v>124.544</v>
      </c>
    </row>
    <row r="166" spans="2:3">
      <c r="B166" s="212">
        <v>139</v>
      </c>
      <c r="C166" s="212">
        <f t="shared" si="6"/>
        <v>125.44</v>
      </c>
    </row>
    <row r="167" spans="2:3">
      <c r="B167" s="212">
        <v>140</v>
      </c>
      <c r="C167" s="212">
        <f t="shared" si="6"/>
        <v>126.336</v>
      </c>
    </row>
    <row r="168" spans="2:3">
      <c r="B168" s="212">
        <v>141</v>
      </c>
      <c r="C168" s="212">
        <f t="shared" si="6"/>
        <v>127.232</v>
      </c>
    </row>
    <row r="169" spans="2:3">
      <c r="B169" s="212">
        <v>142</v>
      </c>
      <c r="C169" s="212">
        <f t="shared" si="6"/>
        <v>128.12799999999999</v>
      </c>
    </row>
    <row r="170" spans="2:3">
      <c r="B170" s="212">
        <v>143</v>
      </c>
      <c r="C170" s="212">
        <f t="shared" si="6"/>
        <v>129.024</v>
      </c>
    </row>
    <row r="171" spans="2:3">
      <c r="B171" s="212">
        <v>144</v>
      </c>
      <c r="C171" s="212">
        <f t="shared" si="6"/>
        <v>129.91999999999999</v>
      </c>
    </row>
    <row r="172" spans="2:3">
      <c r="B172" s="212">
        <v>145</v>
      </c>
      <c r="C172" s="212">
        <f t="shared" si="6"/>
        <v>130.816</v>
      </c>
    </row>
    <row r="173" spans="2:3">
      <c r="B173" s="212">
        <v>146</v>
      </c>
      <c r="C173" s="212">
        <f t="shared" si="6"/>
        <v>131.71199999999999</v>
      </c>
    </row>
    <row r="174" spans="2:3">
      <c r="B174" s="212">
        <v>147</v>
      </c>
      <c r="C174" s="212">
        <f t="shared" si="6"/>
        <v>132.608</v>
      </c>
    </row>
    <row r="175" spans="2:3">
      <c r="B175" s="212">
        <v>148</v>
      </c>
      <c r="C175" s="212">
        <f t="shared" si="6"/>
        <v>133.50399999999999</v>
      </c>
    </row>
    <row r="176" spans="2:3">
      <c r="B176" s="212">
        <v>149</v>
      </c>
      <c r="C176" s="212">
        <f t="shared" si="6"/>
        <v>134.4</v>
      </c>
    </row>
    <row r="177" spans="2:3">
      <c r="B177" s="212">
        <v>150</v>
      </c>
      <c r="C177" s="212">
        <f t="shared" si="6"/>
        <v>135.29599999999999</v>
      </c>
    </row>
    <row r="178" spans="2:3">
      <c r="B178" s="212">
        <v>151</v>
      </c>
      <c r="C178" s="212">
        <f t="shared" si="6"/>
        <v>136.19200000000001</v>
      </c>
    </row>
    <row r="179" spans="2:3">
      <c r="B179" s="212">
        <v>152</v>
      </c>
      <c r="C179" s="212">
        <f t="shared" si="6"/>
        <v>137.08799999999999</v>
      </c>
    </row>
    <row r="180" spans="2:3">
      <c r="B180" s="212">
        <v>153</v>
      </c>
      <c r="C180" s="212">
        <f t="shared" si="6"/>
        <v>137.98400000000001</v>
      </c>
    </row>
    <row r="181" spans="2:3">
      <c r="B181" s="212">
        <v>154</v>
      </c>
      <c r="C181" s="212">
        <f t="shared" si="6"/>
        <v>138.88</v>
      </c>
    </row>
    <row r="182" spans="2:3">
      <c r="B182" s="212">
        <v>155</v>
      </c>
      <c r="C182" s="212">
        <f t="shared" si="6"/>
        <v>139.77600000000001</v>
      </c>
    </row>
    <row r="183" spans="2:3">
      <c r="B183" s="212">
        <v>156</v>
      </c>
      <c r="C183" s="212">
        <f t="shared" si="6"/>
        <v>140.672</v>
      </c>
    </row>
    <row r="184" spans="2:3">
      <c r="B184" s="212">
        <v>157</v>
      </c>
      <c r="C184" s="212">
        <f t="shared" si="6"/>
        <v>141.56800000000001</v>
      </c>
    </row>
    <row r="185" spans="2:3">
      <c r="B185" s="212">
        <v>158</v>
      </c>
      <c r="C185" s="212">
        <f t="shared" si="6"/>
        <v>142.464</v>
      </c>
    </row>
    <row r="186" spans="2:3">
      <c r="B186" s="212">
        <v>159</v>
      </c>
      <c r="C186" s="212">
        <f t="shared" si="6"/>
        <v>143.36000000000001</v>
      </c>
    </row>
    <row r="187" spans="2:3">
      <c r="B187" s="212">
        <v>160</v>
      </c>
      <c r="C187" s="212">
        <f t="shared" si="6"/>
        <v>144.256</v>
      </c>
    </row>
    <row r="188" spans="2:3">
      <c r="B188" s="212">
        <v>161</v>
      </c>
      <c r="C188" s="212">
        <f t="shared" si="6"/>
        <v>145.15199999999999</v>
      </c>
    </row>
    <row r="189" spans="2:3">
      <c r="B189" s="212">
        <v>162</v>
      </c>
      <c r="C189" s="212">
        <f t="shared" si="6"/>
        <v>146.048</v>
      </c>
    </row>
    <row r="190" spans="2:3">
      <c r="B190" s="212">
        <v>163</v>
      </c>
      <c r="C190" s="212">
        <f t="shared" si="6"/>
        <v>146.94399999999999</v>
      </c>
    </row>
    <row r="191" spans="2:3">
      <c r="B191" s="212">
        <v>164</v>
      </c>
      <c r="C191" s="212">
        <f t="shared" si="6"/>
        <v>147.84</v>
      </c>
    </row>
    <row r="192" spans="2:3">
      <c r="B192" s="212">
        <v>165</v>
      </c>
      <c r="C192" s="212">
        <f t="shared" si="6"/>
        <v>148.73599999999999</v>
      </c>
    </row>
    <row r="193" spans="2:3">
      <c r="B193" s="212">
        <v>166</v>
      </c>
      <c r="C193" s="212">
        <f t="shared" si="6"/>
        <v>149.63200000000001</v>
      </c>
    </row>
    <row r="194" spans="2:3">
      <c r="B194" s="212">
        <v>167</v>
      </c>
      <c r="C194" s="212">
        <f t="shared" si="6"/>
        <v>150.52799999999999</v>
      </c>
    </row>
    <row r="195" spans="2:3">
      <c r="B195" s="212">
        <v>168</v>
      </c>
      <c r="C195" s="212">
        <f t="shared" si="6"/>
        <v>151.42400000000001</v>
      </c>
    </row>
    <row r="196" spans="2:3">
      <c r="B196" s="212">
        <v>169</v>
      </c>
      <c r="C196" s="212">
        <f t="shared" si="6"/>
        <v>152.32</v>
      </c>
    </row>
    <row r="197" spans="2:3">
      <c r="B197" s="212">
        <v>170</v>
      </c>
      <c r="C197" s="212">
        <f t="shared" si="6"/>
        <v>153.21600000000001</v>
      </c>
    </row>
    <row r="198" spans="2:3">
      <c r="B198" s="212">
        <v>171</v>
      </c>
      <c r="C198" s="212">
        <f t="shared" si="6"/>
        <v>154.11199999999999</v>
      </c>
    </row>
    <row r="199" spans="2:3">
      <c r="B199" s="212">
        <v>172</v>
      </c>
      <c r="C199" s="212">
        <f t="shared" si="6"/>
        <v>155.00800000000001</v>
      </c>
    </row>
    <row r="200" spans="2:3">
      <c r="B200" s="212">
        <v>173</v>
      </c>
      <c r="C200" s="212">
        <f t="shared" si="6"/>
        <v>155.904</v>
      </c>
    </row>
    <row r="201" spans="2:3">
      <c r="B201" s="212">
        <v>174</v>
      </c>
      <c r="C201" s="212">
        <f t="shared" si="6"/>
        <v>156.80000000000001</v>
      </c>
    </row>
    <row r="202" spans="2:3">
      <c r="B202" s="212">
        <v>175</v>
      </c>
      <c r="C202" s="212">
        <f t="shared" si="6"/>
        <v>157.696</v>
      </c>
    </row>
    <row r="203" spans="2:3">
      <c r="B203" s="212">
        <v>176</v>
      </c>
      <c r="C203" s="212">
        <f t="shared" si="6"/>
        <v>158.59200000000001</v>
      </c>
    </row>
    <row r="204" spans="2:3">
      <c r="B204" s="212">
        <v>177</v>
      </c>
      <c r="C204" s="212">
        <f t="shared" si="6"/>
        <v>159.488</v>
      </c>
    </row>
    <row r="205" spans="2:3">
      <c r="B205" s="212">
        <v>178</v>
      </c>
      <c r="C205" s="212">
        <f t="shared" si="6"/>
        <v>160.38399999999999</v>
      </c>
    </row>
    <row r="206" spans="2:3">
      <c r="B206" s="212">
        <v>179</v>
      </c>
      <c r="C206" s="212">
        <f t="shared" si="6"/>
        <v>161.28</v>
      </c>
    </row>
    <row r="207" spans="2:3">
      <c r="B207" s="212">
        <v>180</v>
      </c>
      <c r="C207" s="212">
        <f t="shared" si="6"/>
        <v>162.17599999999999</v>
      </c>
    </row>
    <row r="208" spans="2:3">
      <c r="B208" s="212">
        <v>181</v>
      </c>
      <c r="C208" s="212">
        <f t="shared" si="6"/>
        <v>163.072</v>
      </c>
    </row>
    <row r="209" spans="2:3">
      <c r="B209" s="212">
        <v>182</v>
      </c>
      <c r="C209" s="212">
        <f t="shared" si="6"/>
        <v>163.96799999999999</v>
      </c>
    </row>
    <row r="210" spans="2:3">
      <c r="B210" s="212">
        <v>183</v>
      </c>
      <c r="C210" s="212">
        <f t="shared" si="6"/>
        <v>164.864</v>
      </c>
    </row>
    <row r="211" spans="2:3">
      <c r="B211" s="212">
        <v>184</v>
      </c>
      <c r="C211" s="212">
        <f t="shared" si="6"/>
        <v>165.76</v>
      </c>
    </row>
    <row r="212" spans="2:3">
      <c r="B212" s="212">
        <v>185</v>
      </c>
      <c r="C212" s="212">
        <f t="shared" si="6"/>
        <v>166.65600000000001</v>
      </c>
    </row>
    <row r="213" spans="2:3">
      <c r="B213" s="212">
        <v>186</v>
      </c>
      <c r="C213" s="212">
        <f t="shared" si="6"/>
        <v>167.55199999999999</v>
      </c>
    </row>
    <row r="214" spans="2:3">
      <c r="B214" s="212">
        <v>187</v>
      </c>
      <c r="C214" s="212">
        <f t="shared" si="6"/>
        <v>168.44800000000001</v>
      </c>
    </row>
    <row r="215" spans="2:3">
      <c r="B215" s="212">
        <v>188</v>
      </c>
      <c r="C215" s="212">
        <f t="shared" si="6"/>
        <v>169.34399999999999</v>
      </c>
    </row>
    <row r="216" spans="2:3">
      <c r="B216" s="212">
        <v>189</v>
      </c>
      <c r="C216" s="212">
        <f t="shared" si="6"/>
        <v>170.24</v>
      </c>
    </row>
    <row r="217" spans="2:3">
      <c r="B217" s="212">
        <v>190</v>
      </c>
      <c r="C217" s="212">
        <f t="shared" si="6"/>
        <v>171.136</v>
      </c>
    </row>
    <row r="218" spans="2:3">
      <c r="B218" s="212">
        <v>191</v>
      </c>
      <c r="C218" s="212">
        <f t="shared" si="6"/>
        <v>172.03200000000001</v>
      </c>
    </row>
    <row r="219" spans="2:3">
      <c r="B219" s="212">
        <v>192</v>
      </c>
      <c r="C219" s="212">
        <f t="shared" si="6"/>
        <v>172.928</v>
      </c>
    </row>
    <row r="220" spans="2:3">
      <c r="B220" s="212">
        <v>193</v>
      </c>
      <c r="C220" s="212">
        <f t="shared" ref="C220:C282" si="7">$A$27*16*($B220+1)/(10^6)</f>
        <v>173.82400000000001</v>
      </c>
    </row>
    <row r="221" spans="2:3">
      <c r="B221" s="212">
        <v>194</v>
      </c>
      <c r="C221" s="212">
        <f t="shared" si="7"/>
        <v>174.72</v>
      </c>
    </row>
    <row r="222" spans="2:3">
      <c r="B222" s="212">
        <v>195</v>
      </c>
      <c r="C222" s="212">
        <f t="shared" si="7"/>
        <v>175.61600000000001</v>
      </c>
    </row>
    <row r="223" spans="2:3">
      <c r="B223" s="212">
        <v>196</v>
      </c>
      <c r="C223" s="212">
        <f t="shared" si="7"/>
        <v>176.512</v>
      </c>
    </row>
    <row r="224" spans="2:3">
      <c r="B224" s="212">
        <v>197</v>
      </c>
      <c r="C224" s="212">
        <f t="shared" si="7"/>
        <v>177.40799999999999</v>
      </c>
    </row>
    <row r="225" spans="2:3">
      <c r="B225" s="212">
        <v>198</v>
      </c>
      <c r="C225" s="212">
        <f t="shared" si="7"/>
        <v>178.304</v>
      </c>
    </row>
    <row r="226" spans="2:3">
      <c r="B226" s="212">
        <v>199</v>
      </c>
      <c r="C226" s="212">
        <f t="shared" si="7"/>
        <v>179.2</v>
      </c>
    </row>
    <row r="227" spans="2:3">
      <c r="B227" s="212">
        <v>200</v>
      </c>
      <c r="C227" s="212">
        <f t="shared" si="7"/>
        <v>180.096</v>
      </c>
    </row>
    <row r="228" spans="2:3">
      <c r="B228" s="212">
        <v>201</v>
      </c>
      <c r="C228" s="212">
        <f t="shared" si="7"/>
        <v>180.99199999999999</v>
      </c>
    </row>
    <row r="229" spans="2:3">
      <c r="B229" s="212">
        <v>202</v>
      </c>
      <c r="C229" s="212">
        <f t="shared" si="7"/>
        <v>181.88800000000001</v>
      </c>
    </row>
    <row r="230" spans="2:3">
      <c r="B230" s="212">
        <v>203</v>
      </c>
      <c r="C230" s="212">
        <f t="shared" si="7"/>
        <v>182.78399999999999</v>
      </c>
    </row>
    <row r="231" spans="2:3">
      <c r="B231" s="212">
        <v>204</v>
      </c>
      <c r="C231" s="212">
        <f t="shared" si="7"/>
        <v>183.68</v>
      </c>
    </row>
    <row r="232" spans="2:3">
      <c r="B232" s="212">
        <v>205</v>
      </c>
      <c r="C232" s="212">
        <f t="shared" si="7"/>
        <v>184.57599999999999</v>
      </c>
    </row>
    <row r="233" spans="2:3">
      <c r="B233" s="212">
        <v>206</v>
      </c>
      <c r="C233" s="212">
        <f t="shared" si="7"/>
        <v>185.47200000000001</v>
      </c>
    </row>
    <row r="234" spans="2:3">
      <c r="B234" s="212">
        <v>207</v>
      </c>
      <c r="C234" s="212">
        <f t="shared" si="7"/>
        <v>186.36799999999999</v>
      </c>
    </row>
    <row r="235" spans="2:3">
      <c r="B235" s="212">
        <v>208</v>
      </c>
      <c r="C235" s="212">
        <f t="shared" si="7"/>
        <v>187.26400000000001</v>
      </c>
    </row>
    <row r="236" spans="2:3">
      <c r="B236" s="212">
        <v>209</v>
      </c>
      <c r="C236" s="212">
        <f t="shared" si="7"/>
        <v>188.16</v>
      </c>
    </row>
    <row r="237" spans="2:3">
      <c r="B237" s="212">
        <v>210</v>
      </c>
      <c r="C237" s="212">
        <f t="shared" si="7"/>
        <v>189.05600000000001</v>
      </c>
    </row>
    <row r="238" spans="2:3">
      <c r="B238" s="212">
        <v>211</v>
      </c>
      <c r="C238" s="212">
        <f t="shared" si="7"/>
        <v>189.952</v>
      </c>
    </row>
    <row r="239" spans="2:3">
      <c r="B239" s="212">
        <v>212</v>
      </c>
      <c r="C239" s="212">
        <f t="shared" si="7"/>
        <v>190.84800000000001</v>
      </c>
    </row>
    <row r="240" spans="2:3">
      <c r="B240" s="212">
        <v>213</v>
      </c>
      <c r="C240" s="212">
        <f t="shared" si="7"/>
        <v>191.744</v>
      </c>
    </row>
    <row r="241" spans="2:3">
      <c r="B241" s="212">
        <v>214</v>
      </c>
      <c r="C241" s="212">
        <f t="shared" si="7"/>
        <v>192.64</v>
      </c>
    </row>
    <row r="242" spans="2:3">
      <c r="B242" s="212">
        <v>215</v>
      </c>
      <c r="C242" s="212">
        <f t="shared" si="7"/>
        <v>193.536</v>
      </c>
    </row>
    <row r="243" spans="2:3">
      <c r="B243" s="212">
        <v>216</v>
      </c>
      <c r="C243" s="212">
        <f t="shared" si="7"/>
        <v>194.43199999999999</v>
      </c>
    </row>
    <row r="244" spans="2:3">
      <c r="B244" s="212">
        <v>217</v>
      </c>
      <c r="C244" s="212">
        <f t="shared" si="7"/>
        <v>195.328</v>
      </c>
    </row>
    <row r="245" spans="2:3">
      <c r="B245" s="212">
        <v>218</v>
      </c>
      <c r="C245" s="212">
        <f t="shared" si="7"/>
        <v>196.22399999999999</v>
      </c>
    </row>
    <row r="246" spans="2:3">
      <c r="B246" s="212">
        <v>219</v>
      </c>
      <c r="C246" s="212">
        <f t="shared" si="7"/>
        <v>197.12</v>
      </c>
    </row>
    <row r="247" spans="2:3">
      <c r="B247" s="212">
        <v>220</v>
      </c>
      <c r="C247" s="212">
        <f t="shared" si="7"/>
        <v>198.01599999999999</v>
      </c>
    </row>
    <row r="248" spans="2:3">
      <c r="B248" s="212">
        <v>221</v>
      </c>
      <c r="C248" s="212">
        <f t="shared" si="7"/>
        <v>198.91200000000001</v>
      </c>
    </row>
    <row r="249" spans="2:3">
      <c r="B249" s="212">
        <v>222</v>
      </c>
      <c r="C249" s="212">
        <f t="shared" si="7"/>
        <v>199.80799999999999</v>
      </c>
    </row>
    <row r="250" spans="2:3">
      <c r="B250" s="212">
        <v>223</v>
      </c>
      <c r="C250" s="212">
        <f t="shared" si="7"/>
        <v>200.70400000000001</v>
      </c>
    </row>
    <row r="251" spans="2:3">
      <c r="B251" s="212">
        <v>224</v>
      </c>
      <c r="C251" s="212">
        <f t="shared" si="7"/>
        <v>201.6</v>
      </c>
    </row>
    <row r="252" spans="2:3">
      <c r="B252" s="212">
        <v>225</v>
      </c>
      <c r="C252" s="212">
        <f t="shared" si="7"/>
        <v>202.49600000000001</v>
      </c>
    </row>
    <row r="253" spans="2:3">
      <c r="B253" s="212">
        <v>226</v>
      </c>
      <c r="C253" s="212">
        <f t="shared" si="7"/>
        <v>203.392</v>
      </c>
    </row>
    <row r="254" spans="2:3">
      <c r="B254" s="212">
        <v>227</v>
      </c>
      <c r="C254" s="212">
        <f t="shared" si="7"/>
        <v>204.28800000000001</v>
      </c>
    </row>
    <row r="255" spans="2:3">
      <c r="B255" s="212">
        <v>228</v>
      </c>
      <c r="C255" s="212">
        <f t="shared" si="7"/>
        <v>205.184</v>
      </c>
    </row>
    <row r="256" spans="2:3">
      <c r="B256" s="212">
        <v>229</v>
      </c>
      <c r="C256" s="212">
        <f t="shared" si="7"/>
        <v>206.08</v>
      </c>
    </row>
    <row r="257" spans="2:3">
      <c r="B257" s="212">
        <v>230</v>
      </c>
      <c r="C257" s="212">
        <f t="shared" si="7"/>
        <v>206.976</v>
      </c>
    </row>
    <row r="258" spans="2:3">
      <c r="B258" s="212">
        <v>231</v>
      </c>
      <c r="C258" s="212">
        <f t="shared" si="7"/>
        <v>207.87200000000001</v>
      </c>
    </row>
    <row r="259" spans="2:3">
      <c r="B259" s="212">
        <v>232</v>
      </c>
      <c r="C259" s="212">
        <f t="shared" si="7"/>
        <v>208.768</v>
      </c>
    </row>
    <row r="260" spans="2:3">
      <c r="B260" s="212">
        <v>233</v>
      </c>
      <c r="C260" s="212">
        <f t="shared" si="7"/>
        <v>209.66399999999999</v>
      </c>
    </row>
    <row r="261" spans="2:3">
      <c r="B261" s="212">
        <v>234</v>
      </c>
      <c r="C261" s="212">
        <f t="shared" si="7"/>
        <v>210.56</v>
      </c>
    </row>
    <row r="262" spans="2:3">
      <c r="B262" s="212">
        <v>235</v>
      </c>
      <c r="C262" s="212">
        <f t="shared" si="7"/>
        <v>211.45599999999999</v>
      </c>
    </row>
    <row r="263" spans="2:3">
      <c r="B263" s="212">
        <v>236</v>
      </c>
      <c r="C263" s="212">
        <f t="shared" si="7"/>
        <v>212.352</v>
      </c>
    </row>
    <row r="264" spans="2:3">
      <c r="B264" s="212">
        <v>237</v>
      </c>
      <c r="C264" s="212">
        <f t="shared" si="7"/>
        <v>213.24799999999999</v>
      </c>
    </row>
    <row r="265" spans="2:3">
      <c r="B265" s="212">
        <v>238</v>
      </c>
      <c r="C265" s="212">
        <f t="shared" si="7"/>
        <v>214.14400000000001</v>
      </c>
    </row>
    <row r="266" spans="2:3">
      <c r="B266" s="212">
        <v>239</v>
      </c>
      <c r="C266" s="212">
        <f t="shared" si="7"/>
        <v>215.04</v>
      </c>
    </row>
    <row r="267" spans="2:3">
      <c r="B267" s="212">
        <v>240</v>
      </c>
      <c r="C267" s="212">
        <f t="shared" si="7"/>
        <v>215.93600000000001</v>
      </c>
    </row>
    <row r="268" spans="2:3">
      <c r="B268" s="212">
        <v>241</v>
      </c>
      <c r="C268" s="212">
        <f t="shared" si="7"/>
        <v>216.83199999999999</v>
      </c>
    </row>
    <row r="269" spans="2:3">
      <c r="B269" s="212">
        <v>242</v>
      </c>
      <c r="C269" s="212">
        <f t="shared" si="7"/>
        <v>217.72800000000001</v>
      </c>
    </row>
    <row r="270" spans="2:3">
      <c r="B270" s="212">
        <v>243</v>
      </c>
      <c r="C270" s="212">
        <f t="shared" si="7"/>
        <v>218.624</v>
      </c>
    </row>
    <row r="271" spans="2:3">
      <c r="B271" s="212">
        <v>244</v>
      </c>
      <c r="C271" s="212">
        <f t="shared" si="7"/>
        <v>219.52</v>
      </c>
    </row>
    <row r="272" spans="2:3">
      <c r="B272" s="212">
        <v>245</v>
      </c>
      <c r="C272" s="212">
        <f t="shared" si="7"/>
        <v>220.416</v>
      </c>
    </row>
    <row r="273" spans="2:3">
      <c r="B273" s="212">
        <v>246</v>
      </c>
      <c r="C273" s="212">
        <f t="shared" si="7"/>
        <v>221.31200000000001</v>
      </c>
    </row>
    <row r="274" spans="2:3">
      <c r="B274" s="212">
        <v>247</v>
      </c>
      <c r="C274" s="212">
        <f t="shared" si="7"/>
        <v>222.208</v>
      </c>
    </row>
    <row r="275" spans="2:3">
      <c r="B275" s="212">
        <v>248</v>
      </c>
      <c r="C275" s="212">
        <f t="shared" si="7"/>
        <v>223.10400000000001</v>
      </c>
    </row>
    <row r="276" spans="2:3">
      <c r="B276" s="212">
        <v>249</v>
      </c>
      <c r="C276" s="212">
        <f t="shared" si="7"/>
        <v>224</v>
      </c>
    </row>
    <row r="277" spans="2:3">
      <c r="B277" s="212">
        <v>250</v>
      </c>
      <c r="C277" s="212">
        <f t="shared" si="7"/>
        <v>224.89599999999999</v>
      </c>
    </row>
    <row r="278" spans="2:3">
      <c r="B278" s="212">
        <v>251</v>
      </c>
      <c r="C278" s="212">
        <f t="shared" si="7"/>
        <v>225.792</v>
      </c>
    </row>
    <row r="279" spans="2:3">
      <c r="B279" s="212">
        <v>252</v>
      </c>
      <c r="C279" s="212">
        <f t="shared" si="7"/>
        <v>226.68799999999999</v>
      </c>
    </row>
    <row r="280" spans="2:3">
      <c r="B280" s="212">
        <v>253</v>
      </c>
      <c r="C280" s="212">
        <f t="shared" si="7"/>
        <v>227.584</v>
      </c>
    </row>
    <row r="281" spans="2:3">
      <c r="B281" s="212">
        <v>254</v>
      </c>
      <c r="C281" s="212">
        <f t="shared" si="7"/>
        <v>228.48</v>
      </c>
    </row>
    <row r="282" spans="2:3">
      <c r="B282" s="212">
        <v>255</v>
      </c>
      <c r="C282" s="212">
        <f t="shared" si="7"/>
        <v>229.376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50"/>
  <sheetViews>
    <sheetView showRuler="0" zoomScaleNormal="100" zoomScalePageLayoutView="120" workbookViewId="0">
      <selection activeCell="H10" sqref="H10"/>
    </sheetView>
  </sheetViews>
  <sheetFormatPr baseColWidth="10" defaultRowHeight="16"/>
  <cols>
    <col min="1" max="1" width="2.83203125" style="91" customWidth="1"/>
    <col min="2" max="2" width="6.1640625" style="89" bestFit="1" customWidth="1"/>
    <col min="3" max="3" width="23.6640625" style="90" bestFit="1" customWidth="1"/>
    <col min="4" max="4" width="31.1640625" style="91" bestFit="1" customWidth="1"/>
    <col min="5" max="5" width="2.1640625" style="91" customWidth="1"/>
    <col min="6" max="6" width="20.33203125" style="91" bestFit="1" customWidth="1"/>
    <col min="7" max="7" width="24.5" style="91" bestFit="1" customWidth="1"/>
    <col min="8" max="8" width="4.5" style="91" customWidth="1"/>
    <col min="9" max="9" width="10.83203125" style="41"/>
    <col min="10" max="10" width="3.83203125" style="41" bestFit="1" customWidth="1"/>
    <col min="11" max="25" width="4.1640625" style="89" bestFit="1" customWidth="1"/>
    <col min="26" max="27" width="3.1640625" style="89" bestFit="1" customWidth="1"/>
    <col min="28" max="16384" width="10.83203125" style="91"/>
  </cols>
  <sheetData>
    <row r="1" spans="3:27">
      <c r="J1" s="229">
        <v>1</v>
      </c>
      <c r="K1" s="229">
        <v>2</v>
      </c>
      <c r="L1" s="229">
        <v>3</v>
      </c>
      <c r="M1" s="229">
        <v>4</v>
      </c>
      <c r="N1" s="229">
        <v>5</v>
      </c>
      <c r="O1" s="229">
        <v>6</v>
      </c>
      <c r="P1" s="229">
        <v>7</v>
      </c>
      <c r="Q1" s="229">
        <v>8</v>
      </c>
      <c r="R1" s="41">
        <v>9</v>
      </c>
      <c r="S1" s="41">
        <v>10</v>
      </c>
      <c r="T1" s="41">
        <v>11</v>
      </c>
      <c r="U1" s="41">
        <v>12</v>
      </c>
      <c r="V1" s="41">
        <v>13</v>
      </c>
      <c r="W1" s="41">
        <v>14</v>
      </c>
      <c r="X1" s="41">
        <v>15</v>
      </c>
      <c r="Y1" s="41">
        <v>16</v>
      </c>
      <c r="Z1" s="41">
        <v>17</v>
      </c>
      <c r="AA1" s="41">
        <v>18</v>
      </c>
    </row>
    <row r="2" spans="3:27">
      <c r="C2" s="235" t="s">
        <v>629</v>
      </c>
      <c r="D2" s="235"/>
      <c r="F2" s="235" t="s">
        <v>621</v>
      </c>
      <c r="G2" s="235"/>
      <c r="I2" s="41" t="s">
        <v>924</v>
      </c>
      <c r="J2" s="229" t="s">
        <v>925</v>
      </c>
      <c r="K2" s="230" t="s">
        <v>926</v>
      </c>
      <c r="L2" s="230" t="s">
        <v>927</v>
      </c>
      <c r="M2" s="230" t="s">
        <v>928</v>
      </c>
      <c r="N2" s="230" t="s">
        <v>929</v>
      </c>
      <c r="O2" s="230" t="s">
        <v>930</v>
      </c>
      <c r="P2" s="230" t="s">
        <v>931</v>
      </c>
      <c r="Q2" s="230" t="s">
        <v>932</v>
      </c>
      <c r="R2" s="89" t="s">
        <v>933</v>
      </c>
      <c r="S2" s="89" t="s">
        <v>934</v>
      </c>
      <c r="T2" s="89" t="s">
        <v>935</v>
      </c>
      <c r="U2" s="89" t="s">
        <v>936</v>
      </c>
      <c r="V2" s="89" t="s">
        <v>937</v>
      </c>
      <c r="W2" s="89" t="s">
        <v>938</v>
      </c>
      <c r="X2" s="89" t="s">
        <v>939</v>
      </c>
      <c r="Y2" s="89" t="s">
        <v>940</v>
      </c>
      <c r="Z2" s="89" t="s">
        <v>941</v>
      </c>
      <c r="AA2" s="89" t="s">
        <v>942</v>
      </c>
    </row>
    <row r="3" spans="3:27">
      <c r="C3" s="124" t="s">
        <v>578</v>
      </c>
      <c r="D3" s="124" t="s">
        <v>570</v>
      </c>
      <c r="F3" s="124" t="s">
        <v>616</v>
      </c>
      <c r="G3" s="126" t="s">
        <v>617</v>
      </c>
    </row>
    <row r="4" spans="3:27" ht="16" customHeight="1">
      <c r="C4" s="104" t="s">
        <v>188</v>
      </c>
      <c r="D4" s="104" t="s">
        <v>184</v>
      </c>
      <c r="E4" s="90"/>
      <c r="F4" s="231" t="s">
        <v>626</v>
      </c>
      <c r="G4" s="125" t="s">
        <v>665</v>
      </c>
    </row>
    <row r="5" spans="3:27">
      <c r="C5" s="104" t="s">
        <v>189</v>
      </c>
      <c r="D5" s="104" t="s">
        <v>185</v>
      </c>
      <c r="F5" s="125" t="s">
        <v>195</v>
      </c>
      <c r="G5" s="125" t="s">
        <v>666</v>
      </c>
    </row>
    <row r="6" spans="3:27">
      <c r="C6" s="105"/>
      <c r="D6" s="104" t="s">
        <v>182</v>
      </c>
      <c r="E6" s="90"/>
      <c r="F6" s="125" t="s">
        <v>196</v>
      </c>
      <c r="G6" s="232" t="s">
        <v>946</v>
      </c>
    </row>
    <row r="7" spans="3:27">
      <c r="C7" s="106"/>
      <c r="D7" s="104" t="s">
        <v>183</v>
      </c>
      <c r="E7" s="90"/>
      <c r="F7" s="231" t="s">
        <v>627</v>
      </c>
      <c r="G7" s="232" t="s">
        <v>945</v>
      </c>
    </row>
    <row r="8" spans="3:27">
      <c r="C8" s="107" t="s">
        <v>579</v>
      </c>
      <c r="D8" s="107" t="s">
        <v>580</v>
      </c>
      <c r="F8" s="125" t="s">
        <v>197</v>
      </c>
      <c r="G8" s="125" t="s">
        <v>615</v>
      </c>
    </row>
    <row r="9" spans="3:27" ht="15" customHeight="1">
      <c r="C9" s="104" t="s">
        <v>187</v>
      </c>
      <c r="D9" s="104" t="s">
        <v>186</v>
      </c>
      <c r="F9" s="125" t="s">
        <v>198</v>
      </c>
      <c r="G9" s="125" t="s">
        <v>614</v>
      </c>
    </row>
    <row r="10" spans="3:27" ht="15" customHeight="1">
      <c r="C10" s="124" t="s">
        <v>571</v>
      </c>
      <c r="D10" s="124" t="s">
        <v>592</v>
      </c>
      <c r="F10" s="236" t="s">
        <v>618</v>
      </c>
      <c r="G10" s="236"/>
    </row>
    <row r="11" spans="3:27" ht="15" customHeight="1">
      <c r="C11" s="104" t="s">
        <v>203</v>
      </c>
      <c r="D11" s="104" t="s">
        <v>190</v>
      </c>
      <c r="F11" s="98" t="s">
        <v>573</v>
      </c>
      <c r="G11" s="98" t="s">
        <v>574</v>
      </c>
    </row>
    <row r="12" spans="3:27" ht="15" customHeight="1">
      <c r="C12" s="104" t="s">
        <v>204</v>
      </c>
      <c r="D12" s="104" t="s">
        <v>191</v>
      </c>
      <c r="F12" s="99" t="s">
        <v>280</v>
      </c>
      <c r="G12" s="99" t="s">
        <v>279</v>
      </c>
    </row>
    <row r="13" spans="3:27" ht="15" customHeight="1">
      <c r="C13" s="104" t="s">
        <v>205</v>
      </c>
      <c r="D13" s="104" t="s">
        <v>193</v>
      </c>
      <c r="F13" s="99" t="s">
        <v>283</v>
      </c>
      <c r="G13" s="99" t="s">
        <v>284</v>
      </c>
    </row>
    <row r="14" spans="3:27" ht="15" customHeight="1">
      <c r="C14" s="104" t="s">
        <v>206</v>
      </c>
      <c r="D14" s="104" t="s">
        <v>581</v>
      </c>
      <c r="F14" s="99" t="s">
        <v>281</v>
      </c>
      <c r="G14" s="99" t="s">
        <v>282</v>
      </c>
    </row>
    <row r="15" spans="3:27" ht="15" customHeight="1">
      <c r="C15" s="104" t="s">
        <v>207</v>
      </c>
      <c r="D15" s="104" t="s">
        <v>582</v>
      </c>
      <c r="F15" s="99" t="s">
        <v>289</v>
      </c>
      <c r="G15" s="99" t="s">
        <v>290</v>
      </c>
    </row>
    <row r="16" spans="3:27" ht="15" customHeight="1">
      <c r="C16" s="104" t="s">
        <v>202</v>
      </c>
      <c r="D16" s="104" t="s">
        <v>192</v>
      </c>
      <c r="F16" s="99" t="s">
        <v>287</v>
      </c>
      <c r="G16" s="99" t="s">
        <v>288</v>
      </c>
    </row>
    <row r="17" spans="2:7" ht="15" customHeight="1">
      <c r="C17" s="104"/>
      <c r="D17" s="104" t="s">
        <v>194</v>
      </c>
      <c r="F17" s="99" t="s">
        <v>293</v>
      </c>
      <c r="G17" s="99" t="s">
        <v>294</v>
      </c>
    </row>
    <row r="18" spans="2:7">
      <c r="C18" s="131" t="s">
        <v>593</v>
      </c>
      <c r="D18" s="99" t="s">
        <v>622</v>
      </c>
      <c r="F18" s="99" t="s">
        <v>291</v>
      </c>
      <c r="G18" s="99" t="s">
        <v>292</v>
      </c>
    </row>
    <row r="19" spans="2:7">
      <c r="C19" s="132" t="s">
        <v>593</v>
      </c>
      <c r="D19" s="99" t="s">
        <v>623</v>
      </c>
      <c r="F19" s="99" t="s">
        <v>285</v>
      </c>
      <c r="G19" s="99" t="s">
        <v>286</v>
      </c>
    </row>
    <row r="20" spans="2:7">
      <c r="C20" s="132" t="s">
        <v>594</v>
      </c>
      <c r="D20" s="99" t="s">
        <v>583</v>
      </c>
    </row>
    <row r="21" spans="2:7">
      <c r="C21" s="132" t="s">
        <v>594</v>
      </c>
      <c r="D21" s="100" t="s">
        <v>609</v>
      </c>
      <c r="F21" s="235" t="s">
        <v>619</v>
      </c>
      <c r="G21" s="235"/>
    </row>
    <row r="22" spans="2:7">
      <c r="C22" s="123" t="s">
        <v>595</v>
      </c>
      <c r="D22" s="99" t="s">
        <v>628</v>
      </c>
      <c r="F22" s="124" t="s">
        <v>568</v>
      </c>
      <c r="G22" s="124" t="s">
        <v>567</v>
      </c>
    </row>
    <row r="23" spans="2:7">
      <c r="F23" s="109" t="s">
        <v>676</v>
      </c>
      <c r="G23" s="110" t="s">
        <v>199</v>
      </c>
    </row>
    <row r="24" spans="2:7">
      <c r="B24" s="237" t="s">
        <v>631</v>
      </c>
      <c r="C24" s="235"/>
      <c r="D24" s="235"/>
      <c r="F24" s="110" t="s">
        <v>173</v>
      </c>
      <c r="G24" s="110" t="s">
        <v>598</v>
      </c>
    </row>
    <row r="25" spans="2:7">
      <c r="B25" s="127"/>
      <c r="C25" s="127" t="s">
        <v>606</v>
      </c>
      <c r="D25" s="122" t="s">
        <v>168</v>
      </c>
      <c r="F25" s="110" t="s">
        <v>174</v>
      </c>
      <c r="G25" s="110" t="s">
        <v>599</v>
      </c>
    </row>
    <row r="26" spans="2:7">
      <c r="B26" s="127" t="s">
        <v>607</v>
      </c>
      <c r="C26" s="119" t="s">
        <v>601</v>
      </c>
      <c r="D26" s="99" t="s">
        <v>159</v>
      </c>
      <c r="F26" s="111" t="s">
        <v>175</v>
      </c>
      <c r="G26" s="110" t="s">
        <v>600</v>
      </c>
    </row>
    <row r="27" spans="2:7" ht="15" customHeight="1">
      <c r="B27" s="127" t="s">
        <v>608</v>
      </c>
      <c r="C27" s="117" t="s">
        <v>667</v>
      </c>
      <c r="D27" s="99" t="s">
        <v>160</v>
      </c>
      <c r="F27" s="102"/>
      <c r="G27" s="134" t="s">
        <v>628</v>
      </c>
    </row>
    <row r="28" spans="2:7">
      <c r="B28" s="127" t="s">
        <v>0</v>
      </c>
      <c r="C28" s="119" t="s">
        <v>668</v>
      </c>
      <c r="D28" s="113" t="s">
        <v>596</v>
      </c>
      <c r="F28" s="124" t="s">
        <v>569</v>
      </c>
      <c r="G28" s="124" t="s">
        <v>572</v>
      </c>
    </row>
    <row r="29" spans="2:7">
      <c r="B29" s="127" t="s">
        <v>1</v>
      </c>
      <c r="C29" s="117" t="s">
        <v>669</v>
      </c>
      <c r="D29" s="113" t="s">
        <v>597</v>
      </c>
      <c r="F29" s="109" t="s">
        <v>677</v>
      </c>
      <c r="G29" s="110" t="s">
        <v>678</v>
      </c>
    </row>
    <row r="30" spans="2:7">
      <c r="B30" s="127" t="s">
        <v>2</v>
      </c>
      <c r="C30" s="120" t="s">
        <v>672</v>
      </c>
      <c r="D30" s="99" t="s">
        <v>161</v>
      </c>
      <c r="F30" s="110" t="s">
        <v>176</v>
      </c>
      <c r="G30" s="110" t="s">
        <v>679</v>
      </c>
    </row>
    <row r="31" spans="2:7">
      <c r="B31" s="128"/>
      <c r="C31" s="115" t="s">
        <v>1058</v>
      </c>
      <c r="D31" s="122" t="s">
        <v>612</v>
      </c>
      <c r="F31" s="110" t="s">
        <v>177</v>
      </c>
      <c r="G31" s="110" t="s">
        <v>200</v>
      </c>
    </row>
    <row r="32" spans="2:7">
      <c r="B32" s="129"/>
      <c r="C32" s="115" t="s">
        <v>276</v>
      </c>
      <c r="D32" s="122" t="s">
        <v>613</v>
      </c>
      <c r="F32" s="111" t="s">
        <v>178</v>
      </c>
      <c r="G32" s="110" t="s">
        <v>201</v>
      </c>
    </row>
    <row r="33" spans="2:7">
      <c r="B33" s="130"/>
      <c r="C33" s="121" t="s">
        <v>674</v>
      </c>
      <c r="D33" s="122" t="s">
        <v>630</v>
      </c>
      <c r="F33" s="110" t="s">
        <v>179</v>
      </c>
      <c r="G33" s="135" t="s">
        <v>680</v>
      </c>
    </row>
    <row r="34" spans="2:7">
      <c r="B34" s="127" t="s">
        <v>3</v>
      </c>
      <c r="C34" s="120" t="s">
        <v>673</v>
      </c>
      <c r="D34" s="99" t="s">
        <v>162</v>
      </c>
      <c r="F34" s="110" t="s">
        <v>180</v>
      </c>
      <c r="G34" s="135" t="s">
        <v>681</v>
      </c>
    </row>
    <row r="35" spans="2:7">
      <c r="B35" s="128"/>
      <c r="C35" s="115" t="s">
        <v>463</v>
      </c>
      <c r="D35" s="122" t="s">
        <v>612</v>
      </c>
      <c r="F35" s="102"/>
      <c r="G35" s="136" t="s">
        <v>620</v>
      </c>
    </row>
    <row r="36" spans="2:7">
      <c r="B36" s="129"/>
      <c r="C36" s="115" t="s">
        <v>277</v>
      </c>
      <c r="D36" s="122" t="s">
        <v>613</v>
      </c>
      <c r="F36" s="102"/>
      <c r="G36" s="99" t="s">
        <v>576</v>
      </c>
    </row>
    <row r="37" spans="2:7">
      <c r="B37" s="130"/>
      <c r="C37" s="121" t="s">
        <v>675</v>
      </c>
      <c r="D37" s="122" t="s">
        <v>630</v>
      </c>
      <c r="F37" s="112" t="s">
        <v>302</v>
      </c>
      <c r="G37" s="113" t="s">
        <v>575</v>
      </c>
    </row>
    <row r="38" spans="2:7">
      <c r="B38" s="233" t="s">
        <v>11</v>
      </c>
      <c r="C38" s="119" t="s">
        <v>10</v>
      </c>
      <c r="D38" s="234" t="s">
        <v>13</v>
      </c>
      <c r="F38" s="112" t="s">
        <v>301</v>
      </c>
      <c r="G38" s="99" t="s">
        <v>269</v>
      </c>
    </row>
    <row r="39" spans="2:7">
      <c r="B39" s="233"/>
      <c r="C39" s="121" t="s">
        <v>670</v>
      </c>
      <c r="D39" s="234"/>
      <c r="F39" s="112" t="s">
        <v>300</v>
      </c>
      <c r="G39" s="99" t="s">
        <v>270</v>
      </c>
    </row>
    <row r="40" spans="2:7">
      <c r="B40" s="128"/>
      <c r="C40" s="118" t="s">
        <v>605</v>
      </c>
      <c r="D40" s="102"/>
      <c r="F40" s="112" t="s">
        <v>299</v>
      </c>
      <c r="G40" s="99" t="s">
        <v>274</v>
      </c>
    </row>
    <row r="41" spans="2:7">
      <c r="B41" s="129"/>
      <c r="C41" s="116" t="s">
        <v>156</v>
      </c>
      <c r="D41" s="103"/>
      <c r="F41" s="112" t="s">
        <v>298</v>
      </c>
      <c r="G41" s="99" t="s">
        <v>271</v>
      </c>
    </row>
    <row r="42" spans="2:7">
      <c r="B42" s="129"/>
      <c r="C42" s="117" t="s">
        <v>157</v>
      </c>
      <c r="D42" s="101"/>
      <c r="F42" s="112" t="s">
        <v>297</v>
      </c>
      <c r="G42" s="99" t="s">
        <v>272</v>
      </c>
    </row>
    <row r="43" spans="2:7">
      <c r="B43" s="129" t="s">
        <v>15</v>
      </c>
      <c r="C43" s="118" t="s">
        <v>602</v>
      </c>
      <c r="D43" s="102"/>
      <c r="F43" s="112" t="s">
        <v>296</v>
      </c>
      <c r="G43" s="99" t="s">
        <v>273</v>
      </c>
    </row>
    <row r="44" spans="2:7">
      <c r="B44" s="129"/>
      <c r="C44" s="116" t="s">
        <v>604</v>
      </c>
      <c r="D44" s="103" t="s">
        <v>611</v>
      </c>
      <c r="F44" s="112" t="s">
        <v>295</v>
      </c>
      <c r="G44" s="99" t="s">
        <v>275</v>
      </c>
    </row>
    <row r="45" spans="2:7">
      <c r="B45" s="129"/>
      <c r="C45" s="117" t="s">
        <v>603</v>
      </c>
      <c r="D45" s="101"/>
    </row>
    <row r="46" spans="2:7">
      <c r="B46" s="129"/>
      <c r="C46" s="119" t="s">
        <v>158</v>
      </c>
      <c r="D46" s="99"/>
      <c r="F46" s="124" t="s">
        <v>577</v>
      </c>
      <c r="G46" s="133" t="s">
        <v>624</v>
      </c>
    </row>
    <row r="47" spans="2:7">
      <c r="B47" s="130"/>
      <c r="C47" s="117" t="s">
        <v>278</v>
      </c>
      <c r="D47" s="103" t="s">
        <v>611</v>
      </c>
      <c r="F47" s="92" t="s">
        <v>169</v>
      </c>
      <c r="G47" s="91" t="s">
        <v>625</v>
      </c>
    </row>
    <row r="48" spans="2:7">
      <c r="B48" s="128"/>
      <c r="C48" s="134" t="s">
        <v>583</v>
      </c>
      <c r="D48" s="99" t="s">
        <v>167</v>
      </c>
      <c r="F48" s="92" t="s">
        <v>170</v>
      </c>
    </row>
    <row r="49" spans="2:6">
      <c r="B49" s="129" t="s">
        <v>12</v>
      </c>
      <c r="C49" s="134" t="s">
        <v>609</v>
      </c>
      <c r="D49" s="99" t="s">
        <v>610</v>
      </c>
      <c r="F49" s="92" t="s">
        <v>171</v>
      </c>
    </row>
    <row r="50" spans="2:6">
      <c r="B50" s="130"/>
      <c r="C50" s="114" t="s">
        <v>671</v>
      </c>
      <c r="D50" s="99" t="s">
        <v>14</v>
      </c>
      <c r="F50" s="92" t="s">
        <v>172</v>
      </c>
    </row>
  </sheetData>
  <mergeCells count="7">
    <mergeCell ref="B38:B39"/>
    <mergeCell ref="D38:D39"/>
    <mergeCell ref="F2:G2"/>
    <mergeCell ref="F10:G10"/>
    <mergeCell ref="B24:D24"/>
    <mergeCell ref="F21:G21"/>
    <mergeCell ref="C2:D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FA3B4-370B-2F48-AADA-650D135BD754}">
  <dimension ref="B1:L36"/>
  <sheetViews>
    <sheetView workbookViewId="0">
      <selection activeCell="E13" sqref="E13"/>
    </sheetView>
  </sheetViews>
  <sheetFormatPr baseColWidth="10" defaultRowHeight="16"/>
  <cols>
    <col min="1" max="1" width="3.5" style="54" customWidth="1"/>
    <col min="2" max="2" width="10.83203125" style="54"/>
    <col min="3" max="3" width="21.6640625" style="54" bestFit="1" customWidth="1"/>
    <col min="4" max="4" width="10.83203125" style="54" bestFit="1" customWidth="1"/>
    <col min="5" max="5" width="50.83203125" style="54" bestFit="1" customWidth="1"/>
    <col min="6" max="6" width="11.83203125" style="54" bestFit="1" customWidth="1"/>
    <col min="7" max="7" width="8.6640625" style="54" bestFit="1" customWidth="1"/>
    <col min="8" max="8" width="14" style="54" bestFit="1" customWidth="1"/>
    <col min="9" max="9" width="8.33203125" style="54" bestFit="1" customWidth="1"/>
    <col min="10" max="10" width="10.33203125" style="54" bestFit="1" customWidth="1"/>
    <col min="11" max="11" width="8.6640625" style="54" bestFit="1" customWidth="1"/>
    <col min="12" max="12" width="12.1640625" style="54" bestFit="1" customWidth="1"/>
    <col min="13" max="16384" width="10.83203125" style="54"/>
  </cols>
  <sheetData>
    <row r="1" spans="2:12" ht="17">
      <c r="B1" s="54" t="s">
        <v>992</v>
      </c>
      <c r="D1" s="54" t="s">
        <v>993</v>
      </c>
      <c r="F1" s="55" t="s">
        <v>994</v>
      </c>
    </row>
    <row r="2" spans="2:12" ht="34">
      <c r="B2" s="238" t="s">
        <v>967</v>
      </c>
      <c r="C2" s="54" t="s">
        <v>979</v>
      </c>
      <c r="D2" s="54" t="s">
        <v>996</v>
      </c>
      <c r="E2" s="55" t="s">
        <v>1057</v>
      </c>
      <c r="F2" s="54" t="s">
        <v>1013</v>
      </c>
      <c r="G2" s="54" t="s">
        <v>1014</v>
      </c>
      <c r="H2" s="54" t="s">
        <v>1042</v>
      </c>
      <c r="I2" s="54" t="s">
        <v>1015</v>
      </c>
      <c r="J2" s="54" t="s">
        <v>1016</v>
      </c>
      <c r="K2" s="54" t="s">
        <v>1044</v>
      </c>
      <c r="L2" s="54" t="s">
        <v>1043</v>
      </c>
    </row>
    <row r="3" spans="2:12" ht="34">
      <c r="B3" s="238"/>
      <c r="C3" s="54" t="s">
        <v>997</v>
      </c>
      <c r="D3" s="54" t="s">
        <v>998</v>
      </c>
      <c r="E3" s="55" t="s">
        <v>1060</v>
      </c>
      <c r="F3" s="54" t="s">
        <v>968</v>
      </c>
      <c r="G3" s="54" t="s">
        <v>1017</v>
      </c>
      <c r="H3" s="54" t="s">
        <v>1018</v>
      </c>
      <c r="I3" s="54" t="s">
        <v>1019</v>
      </c>
      <c r="J3" s="54" t="s">
        <v>1020</v>
      </c>
    </row>
    <row r="4" spans="2:12" ht="34">
      <c r="B4" s="238"/>
      <c r="C4" s="54" t="s">
        <v>999</v>
      </c>
      <c r="D4" s="54" t="s">
        <v>1000</v>
      </c>
      <c r="E4" s="55" t="s">
        <v>1059</v>
      </c>
      <c r="F4" s="54" t="s">
        <v>1019</v>
      </c>
      <c r="G4" s="54" t="s">
        <v>1020</v>
      </c>
    </row>
    <row r="5" spans="2:12">
      <c r="B5" s="238"/>
      <c r="C5" s="54" t="s">
        <v>1001</v>
      </c>
      <c r="D5" s="54" t="s">
        <v>1002</v>
      </c>
      <c r="F5" s="54" t="s">
        <v>605</v>
      </c>
      <c r="G5" s="54" t="s">
        <v>602</v>
      </c>
    </row>
    <row r="6" spans="2:12">
      <c r="B6" s="238"/>
      <c r="C6" s="54" t="s">
        <v>1003</v>
      </c>
      <c r="D6" s="54" t="s">
        <v>1004</v>
      </c>
      <c r="F6" s="54" t="s">
        <v>605</v>
      </c>
      <c r="G6" s="54" t="s">
        <v>602</v>
      </c>
      <c r="H6" s="54" t="s">
        <v>1019</v>
      </c>
      <c r="I6" s="54" t="s">
        <v>1020</v>
      </c>
    </row>
    <row r="7" spans="2:12">
      <c r="B7" s="238"/>
      <c r="C7" s="54" t="s">
        <v>11</v>
      </c>
      <c r="D7" s="54" t="s">
        <v>1021</v>
      </c>
      <c r="F7" s="54" t="s">
        <v>1022</v>
      </c>
      <c r="G7" s="54" t="s">
        <v>1023</v>
      </c>
    </row>
    <row r="8" spans="2:12">
      <c r="B8" s="238" t="s">
        <v>989</v>
      </c>
      <c r="C8" s="54" t="s">
        <v>951</v>
      </c>
      <c r="D8" s="54" t="s">
        <v>1007</v>
      </c>
      <c r="F8" s="54" t="s">
        <v>951</v>
      </c>
    </row>
    <row r="9" spans="2:12">
      <c r="B9" s="238"/>
      <c r="C9" s="54" t="s">
        <v>1005</v>
      </c>
      <c r="D9" s="54" t="s">
        <v>1008</v>
      </c>
      <c r="F9" s="54" t="s">
        <v>952</v>
      </c>
    </row>
    <row r="10" spans="2:12">
      <c r="B10" s="238"/>
      <c r="C10" s="54" t="s">
        <v>953</v>
      </c>
      <c r="D10" s="54" t="s">
        <v>1009</v>
      </c>
      <c r="F10" s="54" t="s">
        <v>953</v>
      </c>
      <c r="G10" s="54" t="s">
        <v>958</v>
      </c>
    </row>
    <row r="11" spans="2:12">
      <c r="B11" s="238"/>
      <c r="C11" s="54" t="s">
        <v>1006</v>
      </c>
      <c r="D11" s="54" t="s">
        <v>1010</v>
      </c>
      <c r="F11" s="54" t="s">
        <v>1024</v>
      </c>
      <c r="G11" s="54" t="s">
        <v>1025</v>
      </c>
    </row>
    <row r="12" spans="2:12">
      <c r="B12" s="238"/>
      <c r="C12" s="54" t="s">
        <v>955</v>
      </c>
      <c r="D12" s="54" t="s">
        <v>1011</v>
      </c>
      <c r="F12" s="54" t="s">
        <v>976</v>
      </c>
    </row>
    <row r="13" spans="2:12">
      <c r="B13" s="238"/>
      <c r="C13" s="54" t="s">
        <v>956</v>
      </c>
      <c r="D13" s="54" t="s">
        <v>1012</v>
      </c>
    </row>
    <row r="14" spans="2:12">
      <c r="B14" s="238" t="s">
        <v>990</v>
      </c>
      <c r="C14" s="54" t="s">
        <v>587</v>
      </c>
      <c r="D14" s="54" t="s">
        <v>1026</v>
      </c>
      <c r="F14" s="54" t="s">
        <v>587</v>
      </c>
      <c r="G14" s="54" t="s">
        <v>959</v>
      </c>
    </row>
    <row r="15" spans="2:12">
      <c r="B15" s="238"/>
      <c r="C15" s="54" t="s">
        <v>589</v>
      </c>
      <c r="D15" s="54" t="s">
        <v>1027</v>
      </c>
      <c r="F15" s="54" t="s">
        <v>589</v>
      </c>
      <c r="G15" s="54" t="s">
        <v>960</v>
      </c>
    </row>
    <row r="16" spans="2:12">
      <c r="B16" s="238"/>
      <c r="C16" s="54" t="s">
        <v>585</v>
      </c>
      <c r="D16" s="54" t="s">
        <v>1028</v>
      </c>
      <c r="F16" s="54" t="s">
        <v>957</v>
      </c>
    </row>
    <row r="17" spans="2:8">
      <c r="B17" s="238"/>
      <c r="C17" s="54" t="s">
        <v>591</v>
      </c>
      <c r="D17" s="54" t="s">
        <v>1029</v>
      </c>
      <c r="F17" s="54" t="s">
        <v>954</v>
      </c>
      <c r="G17" s="54" t="s">
        <v>417</v>
      </c>
    </row>
    <row r="18" spans="2:8">
      <c r="B18" s="238" t="s">
        <v>988</v>
      </c>
      <c r="C18" s="54" t="s">
        <v>961</v>
      </c>
      <c r="D18" s="54" t="s">
        <v>1030</v>
      </c>
      <c r="F18" s="54" t="s">
        <v>961</v>
      </c>
    </row>
    <row r="19" spans="2:8">
      <c r="B19" s="238"/>
      <c r="C19" s="54" t="s">
        <v>962</v>
      </c>
      <c r="D19" s="54" t="s">
        <v>1031</v>
      </c>
      <c r="F19" s="54" t="s">
        <v>1035</v>
      </c>
    </row>
    <row r="20" spans="2:8">
      <c r="B20" s="238"/>
      <c r="C20" s="54" t="s">
        <v>964</v>
      </c>
      <c r="D20" s="54" t="s">
        <v>1032</v>
      </c>
      <c r="F20" s="54" t="s">
        <v>964</v>
      </c>
    </row>
    <row r="21" spans="2:8">
      <c r="B21" s="238"/>
      <c r="C21" s="54" t="s">
        <v>963</v>
      </c>
      <c r="D21" s="54" t="s">
        <v>1033</v>
      </c>
      <c r="F21" s="54" t="s">
        <v>1036</v>
      </c>
    </row>
    <row r="22" spans="2:8">
      <c r="B22" s="238"/>
      <c r="C22" s="54" t="s">
        <v>965</v>
      </c>
      <c r="D22" s="54" t="s">
        <v>1034</v>
      </c>
      <c r="F22" s="54" t="s">
        <v>965</v>
      </c>
    </row>
    <row r="23" spans="2:8">
      <c r="B23" s="238"/>
      <c r="C23" s="54" t="s">
        <v>966</v>
      </c>
      <c r="D23" s="54" t="s">
        <v>1037</v>
      </c>
      <c r="F23" s="54" t="s">
        <v>966</v>
      </c>
    </row>
    <row r="24" spans="2:8">
      <c r="B24" s="238" t="s">
        <v>991</v>
      </c>
      <c r="C24" s="54" t="s">
        <v>977</v>
      </c>
      <c r="D24" s="54" t="s">
        <v>1038</v>
      </c>
      <c r="F24" s="54" t="s">
        <v>969</v>
      </c>
    </row>
    <row r="25" spans="2:8">
      <c r="B25" s="238"/>
      <c r="D25" s="54" t="s">
        <v>1039</v>
      </c>
      <c r="F25" s="54" t="s">
        <v>975</v>
      </c>
    </row>
    <row r="26" spans="2:8">
      <c r="B26" s="238"/>
      <c r="C26" s="54" t="s">
        <v>978</v>
      </c>
      <c r="D26" s="54" t="s">
        <v>1040</v>
      </c>
      <c r="F26" s="54" t="s">
        <v>1041</v>
      </c>
    </row>
    <row r="27" spans="2:8">
      <c r="B27" s="238" t="s">
        <v>985</v>
      </c>
      <c r="C27" s="54" t="s">
        <v>986</v>
      </c>
      <c r="D27" s="54" t="s">
        <v>1045</v>
      </c>
      <c r="F27" s="54" t="s">
        <v>1046</v>
      </c>
      <c r="G27" s="54" t="s">
        <v>1047</v>
      </c>
      <c r="H27" s="54" t="s">
        <v>1048</v>
      </c>
    </row>
    <row r="28" spans="2:8">
      <c r="B28" s="238"/>
      <c r="C28" s="54" t="s">
        <v>987</v>
      </c>
      <c r="D28" s="54" t="s">
        <v>1049</v>
      </c>
      <c r="F28" s="54" t="s">
        <v>974</v>
      </c>
    </row>
    <row r="29" spans="2:8">
      <c r="B29" s="238" t="s">
        <v>980</v>
      </c>
      <c r="C29" s="54" t="s">
        <v>981</v>
      </c>
      <c r="D29" s="54" t="s">
        <v>1050</v>
      </c>
      <c r="F29" s="54" t="s">
        <v>971</v>
      </c>
    </row>
    <row r="30" spans="2:8">
      <c r="B30" s="238"/>
      <c r="C30" s="54" t="s">
        <v>982</v>
      </c>
      <c r="D30" s="54" t="s">
        <v>1051</v>
      </c>
      <c r="F30" s="54" t="s">
        <v>970</v>
      </c>
    </row>
    <row r="31" spans="2:8">
      <c r="B31" s="238"/>
      <c r="C31" s="54" t="s">
        <v>173</v>
      </c>
      <c r="D31" s="54" t="s">
        <v>1052</v>
      </c>
      <c r="F31" s="54" t="s">
        <v>173</v>
      </c>
      <c r="G31" s="54" t="s">
        <v>174</v>
      </c>
    </row>
    <row r="32" spans="2:8">
      <c r="B32" s="238" t="s">
        <v>972</v>
      </c>
      <c r="C32" s="54" t="s">
        <v>983</v>
      </c>
      <c r="D32" s="54" t="s">
        <v>1053</v>
      </c>
      <c r="F32" s="54" t="s">
        <v>973</v>
      </c>
    </row>
    <row r="33" spans="2:9">
      <c r="B33" s="238"/>
      <c r="C33" s="54" t="s">
        <v>984</v>
      </c>
      <c r="D33" s="54" t="s">
        <v>1054</v>
      </c>
      <c r="F33" s="54" t="s">
        <v>972</v>
      </c>
    </row>
    <row r="34" spans="2:9">
      <c r="B34" s="238"/>
      <c r="C34" s="54" t="s">
        <v>176</v>
      </c>
      <c r="D34" s="54" t="s">
        <v>1055</v>
      </c>
      <c r="F34" s="54" t="s">
        <v>176</v>
      </c>
      <c r="G34" s="54" t="s">
        <v>177</v>
      </c>
    </row>
    <row r="35" spans="2:9">
      <c r="B35" s="238"/>
      <c r="C35" s="54" t="s">
        <v>179</v>
      </c>
      <c r="D35" s="54" t="s">
        <v>1056</v>
      </c>
      <c r="F35" s="54" t="s">
        <v>179</v>
      </c>
      <c r="G35" s="54" t="s">
        <v>180</v>
      </c>
    </row>
    <row r="36" spans="2:9">
      <c r="B36" s="54" t="s">
        <v>995</v>
      </c>
      <c r="F36" s="54" t="s">
        <v>169</v>
      </c>
      <c r="G36" s="54" t="s">
        <v>170</v>
      </c>
      <c r="H36" s="54" t="s">
        <v>171</v>
      </c>
      <c r="I36" s="54" t="s">
        <v>172</v>
      </c>
    </row>
  </sheetData>
  <mergeCells count="8">
    <mergeCell ref="B29:B31"/>
    <mergeCell ref="B32:B35"/>
    <mergeCell ref="B2:B7"/>
    <mergeCell ref="B8:B13"/>
    <mergeCell ref="B14:B17"/>
    <mergeCell ref="B18:B23"/>
    <mergeCell ref="B24:B26"/>
    <mergeCell ref="B27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3E06-AEEF-B243-8A2D-98BA18736FBF}">
  <dimension ref="A2:B95"/>
  <sheetViews>
    <sheetView workbookViewId="0">
      <selection activeCell="A33" sqref="A33"/>
    </sheetView>
  </sheetViews>
  <sheetFormatPr baseColWidth="10" defaultRowHeight="16"/>
  <cols>
    <col min="1" max="1" width="67.5" style="226" customWidth="1"/>
    <col min="2" max="2" width="47.33203125" style="91" bestFit="1" customWidth="1"/>
  </cols>
  <sheetData>
    <row r="2" spans="1:2">
      <c r="A2" s="226" t="s">
        <v>694</v>
      </c>
    </row>
    <row r="3" spans="1:2">
      <c r="A3" s="226" t="s">
        <v>685</v>
      </c>
    </row>
    <row r="4" spans="1:2">
      <c r="A4" s="226" t="s">
        <v>684</v>
      </c>
    </row>
    <row r="5" spans="1:2">
      <c r="A5" s="226" t="s">
        <v>712</v>
      </c>
    </row>
    <row r="6" spans="1:2">
      <c r="A6" s="226" t="s">
        <v>713</v>
      </c>
    </row>
    <row r="7" spans="1:2">
      <c r="A7" s="226" t="s">
        <v>714</v>
      </c>
    </row>
    <row r="8" spans="1:2">
      <c r="A8" s="226" t="s">
        <v>715</v>
      </c>
    </row>
    <row r="9" spans="1:2">
      <c r="A9" s="226" t="s">
        <v>944</v>
      </c>
      <c r="B9" s="91" t="s">
        <v>943</v>
      </c>
    </row>
    <row r="12" spans="1:2">
      <c r="A12" s="227" t="s">
        <v>683</v>
      </c>
    </row>
    <row r="13" spans="1:2">
      <c r="A13" s="226" t="s">
        <v>885</v>
      </c>
    </row>
    <row r="14" spans="1:2">
      <c r="A14" s="226" t="s">
        <v>886</v>
      </c>
      <c r="B14" s="91" t="s">
        <v>887</v>
      </c>
    </row>
    <row r="15" spans="1:2">
      <c r="A15" s="226" t="s">
        <v>687</v>
      </c>
      <c r="B15" s="228" t="s">
        <v>883</v>
      </c>
    </row>
    <row r="16" spans="1:2">
      <c r="A16" s="226" t="s">
        <v>686</v>
      </c>
      <c r="B16" s="91" t="s">
        <v>884</v>
      </c>
    </row>
    <row r="17" spans="1:2">
      <c r="A17" s="226" t="s">
        <v>688</v>
      </c>
      <c r="B17" s="91" t="s">
        <v>888</v>
      </c>
    </row>
    <row r="18" spans="1:2">
      <c r="A18" s="226" t="s">
        <v>889</v>
      </c>
      <c r="B18" s="91" t="s">
        <v>890</v>
      </c>
    </row>
    <row r="19" spans="1:2">
      <c r="A19" s="226" t="s">
        <v>689</v>
      </c>
    </row>
    <row r="20" spans="1:2">
      <c r="A20" s="226" t="s">
        <v>693</v>
      </c>
      <c r="B20" s="91" t="s">
        <v>891</v>
      </c>
    </row>
    <row r="21" spans="1:2">
      <c r="A21" s="226" t="s">
        <v>893</v>
      </c>
      <c r="B21" s="91" t="s">
        <v>892</v>
      </c>
    </row>
    <row r="22" spans="1:2">
      <c r="A22" s="226" t="s">
        <v>894</v>
      </c>
      <c r="B22" s="91" t="s">
        <v>895</v>
      </c>
    </row>
    <row r="23" spans="1:2">
      <c r="A23" s="226" t="s">
        <v>896</v>
      </c>
    </row>
    <row r="24" spans="1:2">
      <c r="A24" s="226" t="s">
        <v>897</v>
      </c>
    </row>
    <row r="25" spans="1:2">
      <c r="A25" s="226" t="s">
        <v>898</v>
      </c>
    </row>
    <row r="26" spans="1:2">
      <c r="A26" s="226" t="s">
        <v>899</v>
      </c>
    </row>
    <row r="27" spans="1:2">
      <c r="A27" s="226" t="s">
        <v>900</v>
      </c>
    </row>
    <row r="28" spans="1:2">
      <c r="A28" s="226" t="s">
        <v>901</v>
      </c>
    </row>
    <row r="29" spans="1:2">
      <c r="A29" s="226" t="s">
        <v>902</v>
      </c>
      <c r="B29" s="91" t="s">
        <v>905</v>
      </c>
    </row>
    <row r="37" spans="1:2">
      <c r="A37" s="226" t="s">
        <v>695</v>
      </c>
    </row>
    <row r="38" spans="1:2">
      <c r="A38" s="226" t="s">
        <v>697</v>
      </c>
    </row>
    <row r="39" spans="1:2">
      <c r="A39" s="226" t="s">
        <v>696</v>
      </c>
    </row>
    <row r="40" spans="1:2">
      <c r="A40" s="226" t="s">
        <v>698</v>
      </c>
    </row>
    <row r="41" spans="1:2">
      <c r="A41" s="226" t="s">
        <v>699</v>
      </c>
    </row>
    <row r="42" spans="1:2">
      <c r="A42" s="226" t="s">
        <v>700</v>
      </c>
    </row>
    <row r="43" spans="1:2">
      <c r="A43" s="226" t="s">
        <v>701</v>
      </c>
    </row>
    <row r="44" spans="1:2">
      <c r="A44" s="226" t="s">
        <v>947</v>
      </c>
      <c r="B44" s="91" t="s">
        <v>948</v>
      </c>
    </row>
    <row r="45" spans="1:2">
      <c r="A45" s="226" t="s">
        <v>903</v>
      </c>
    </row>
    <row r="46" spans="1:2">
      <c r="A46" s="226" t="s">
        <v>904</v>
      </c>
    </row>
    <row r="47" spans="1:2">
      <c r="A47" s="226" t="s">
        <v>949</v>
      </c>
    </row>
    <row r="48" spans="1:2">
      <c r="A48" s="226" t="s">
        <v>950</v>
      </c>
    </row>
    <row r="50" spans="1:1">
      <c r="A50" s="226" t="s">
        <v>711</v>
      </c>
    </row>
    <row r="51" spans="1:1">
      <c r="A51" s="226" t="s">
        <v>907</v>
      </c>
    </row>
    <row r="52" spans="1:1">
      <c r="A52" s="226" t="s">
        <v>908</v>
      </c>
    </row>
    <row r="53" spans="1:1">
      <c r="A53" s="226" t="s">
        <v>906</v>
      </c>
    </row>
    <row r="55" spans="1:1">
      <c r="A55" s="226" t="s">
        <v>703</v>
      </c>
    </row>
    <row r="56" spans="1:1">
      <c r="A56" s="226" t="s">
        <v>708</v>
      </c>
    </row>
    <row r="57" spans="1:1">
      <c r="A57" s="226" t="s">
        <v>704</v>
      </c>
    </row>
    <row r="58" spans="1:1">
      <c r="A58" s="226" t="s">
        <v>705</v>
      </c>
    </row>
    <row r="59" spans="1:1">
      <c r="A59" s="226" t="s">
        <v>706</v>
      </c>
    </row>
    <row r="60" spans="1:1">
      <c r="A60" s="226" t="s">
        <v>707</v>
      </c>
    </row>
    <row r="61" spans="1:1">
      <c r="A61" s="226" t="s">
        <v>709</v>
      </c>
    </row>
    <row r="62" spans="1:1">
      <c r="A62" s="226" t="s">
        <v>710</v>
      </c>
    </row>
    <row r="64" spans="1:1">
      <c r="A64" s="226" t="s">
        <v>909</v>
      </c>
    </row>
    <row r="65" spans="1:1">
      <c r="A65" s="226" t="s">
        <v>910</v>
      </c>
    </row>
    <row r="66" spans="1:1">
      <c r="A66" s="226" t="s">
        <v>911</v>
      </c>
    </row>
    <row r="67" spans="1:1">
      <c r="A67" s="226" t="s">
        <v>912</v>
      </c>
    </row>
    <row r="69" spans="1:1">
      <c r="A69" s="226" t="s">
        <v>913</v>
      </c>
    </row>
    <row r="70" spans="1:1">
      <c r="A70" s="226" t="s">
        <v>914</v>
      </c>
    </row>
    <row r="71" spans="1:1">
      <c r="A71" s="226" t="s">
        <v>915</v>
      </c>
    </row>
    <row r="72" spans="1:1">
      <c r="A72" s="226" t="s">
        <v>916</v>
      </c>
    </row>
    <row r="73" spans="1:1">
      <c r="A73" s="226" t="s">
        <v>917</v>
      </c>
    </row>
    <row r="75" spans="1:1">
      <c r="A75" s="226" t="s">
        <v>918</v>
      </c>
    </row>
    <row r="76" spans="1:1">
      <c r="A76" s="226" t="s">
        <v>919</v>
      </c>
    </row>
    <row r="77" spans="1:1">
      <c r="A77" s="226" t="s">
        <v>920</v>
      </c>
    </row>
    <row r="78" spans="1:1">
      <c r="A78" s="226" t="s">
        <v>923</v>
      </c>
    </row>
    <row r="79" spans="1:1">
      <c r="A79" s="226" t="s">
        <v>922</v>
      </c>
    </row>
    <row r="80" spans="1:1">
      <c r="A80" s="226" t="s">
        <v>921</v>
      </c>
    </row>
    <row r="87" spans="1:1">
      <c r="A87" s="226" t="s">
        <v>702</v>
      </c>
    </row>
    <row r="88" spans="1:1">
      <c r="A88" s="226" t="s">
        <v>875</v>
      </c>
    </row>
    <row r="89" spans="1:1">
      <c r="A89" s="226" t="s">
        <v>876</v>
      </c>
    </row>
    <row r="90" spans="1:1">
      <c r="A90" s="226" t="s">
        <v>877</v>
      </c>
    </row>
    <row r="91" spans="1:1">
      <c r="A91" s="226" t="s">
        <v>878</v>
      </c>
    </row>
    <row r="92" spans="1:1">
      <c r="A92" s="226" t="s">
        <v>879</v>
      </c>
    </row>
    <row r="93" spans="1:1">
      <c r="A93" s="226" t="s">
        <v>880</v>
      </c>
    </row>
    <row r="94" spans="1:1">
      <c r="A94" s="226" t="s">
        <v>881</v>
      </c>
    </row>
    <row r="95" spans="1:1">
      <c r="A95" s="226" t="s">
        <v>882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FB8FB-F5E3-2244-A7F3-FF5AB78ECD76}">
  <dimension ref="B2:F16"/>
  <sheetViews>
    <sheetView workbookViewId="0">
      <selection activeCell="B4" sqref="B4:C5"/>
    </sheetView>
  </sheetViews>
  <sheetFormatPr baseColWidth="10" defaultRowHeight="16"/>
  <cols>
    <col min="2" max="2" width="24.83203125" style="41" bestFit="1" customWidth="1"/>
    <col min="3" max="4" width="11.6640625" bestFit="1" customWidth="1"/>
    <col min="5" max="5" width="15.1640625" bestFit="1" customWidth="1"/>
    <col min="6" max="6" width="16.5" bestFit="1" customWidth="1"/>
  </cols>
  <sheetData>
    <row r="2" spans="2:6">
      <c r="B2" s="1"/>
      <c r="C2" s="1" t="s">
        <v>306</v>
      </c>
      <c r="D2" s="240" t="s">
        <v>305</v>
      </c>
      <c r="E2" s="240"/>
      <c r="F2" s="240"/>
    </row>
    <row r="3" spans="2:6" ht="34">
      <c r="B3" s="1"/>
      <c r="C3" s="1" t="s">
        <v>304</v>
      </c>
      <c r="D3" s="39" t="s">
        <v>311</v>
      </c>
      <c r="E3" s="1">
        <v>1</v>
      </c>
      <c r="F3" s="1">
        <v>0</v>
      </c>
    </row>
    <row r="4" spans="2:6" ht="34">
      <c r="B4" s="39" t="s">
        <v>307</v>
      </c>
      <c r="C4" s="239" t="s">
        <v>312</v>
      </c>
      <c r="D4" s="239" t="s">
        <v>313</v>
      </c>
      <c r="E4" s="40"/>
      <c r="F4" s="40"/>
    </row>
    <row r="5" spans="2:6" ht="34">
      <c r="B5" s="39" t="s">
        <v>308</v>
      </c>
      <c r="C5" s="240"/>
      <c r="D5" s="240"/>
      <c r="E5" s="39" t="s">
        <v>317</v>
      </c>
      <c r="F5" s="39" t="s">
        <v>446</v>
      </c>
    </row>
    <row r="6" spans="2:6" ht="34">
      <c r="B6" s="39" t="s">
        <v>309</v>
      </c>
      <c r="C6" s="40"/>
      <c r="D6" s="40"/>
      <c r="E6" s="39" t="s">
        <v>315</v>
      </c>
      <c r="F6" s="39" t="s">
        <v>316</v>
      </c>
    </row>
    <row r="7" spans="2:6" ht="34">
      <c r="B7" s="39" t="s">
        <v>310</v>
      </c>
      <c r="C7" s="40"/>
      <c r="D7" s="40"/>
      <c r="E7" s="1"/>
      <c r="F7" s="1"/>
    </row>
    <row r="8" spans="2:6" ht="34">
      <c r="B8" s="39" t="s">
        <v>314</v>
      </c>
      <c r="C8" s="40"/>
      <c r="D8" s="40"/>
      <c r="E8" s="1" t="s">
        <v>163</v>
      </c>
      <c r="F8" s="1" t="s">
        <v>164</v>
      </c>
    </row>
    <row r="9" spans="2:6">
      <c r="B9" s="1" t="s">
        <v>302</v>
      </c>
      <c r="C9" s="40"/>
      <c r="D9" s="40"/>
      <c r="E9" s="1" t="s">
        <v>280</v>
      </c>
      <c r="F9" s="1" t="s">
        <v>279</v>
      </c>
    </row>
    <row r="10" spans="2:6">
      <c r="B10" s="1" t="s">
        <v>301</v>
      </c>
      <c r="C10" s="40"/>
      <c r="D10" s="40"/>
      <c r="E10" s="1" t="s">
        <v>283</v>
      </c>
      <c r="F10" s="1" t="s">
        <v>284</v>
      </c>
    </row>
    <row r="11" spans="2:6">
      <c r="B11" s="1" t="s">
        <v>300</v>
      </c>
      <c r="C11" s="40"/>
      <c r="D11" s="40"/>
      <c r="E11" s="1" t="s">
        <v>281</v>
      </c>
      <c r="F11" s="1" t="s">
        <v>282</v>
      </c>
    </row>
    <row r="12" spans="2:6">
      <c r="B12" s="1" t="s">
        <v>299</v>
      </c>
      <c r="C12" s="40"/>
      <c r="D12" s="40"/>
      <c r="E12" s="1" t="s">
        <v>289</v>
      </c>
      <c r="F12" s="1" t="s">
        <v>290</v>
      </c>
    </row>
    <row r="13" spans="2:6">
      <c r="B13" s="1" t="s">
        <v>298</v>
      </c>
      <c r="C13" s="40"/>
      <c r="D13" s="40"/>
      <c r="E13" s="1" t="s">
        <v>287</v>
      </c>
      <c r="F13" s="1" t="s">
        <v>288</v>
      </c>
    </row>
    <row r="14" spans="2:6">
      <c r="B14" s="1" t="s">
        <v>297</v>
      </c>
      <c r="C14" s="40"/>
      <c r="D14" s="40"/>
      <c r="E14" s="1" t="s">
        <v>303</v>
      </c>
      <c r="F14" s="1" t="s">
        <v>294</v>
      </c>
    </row>
    <row r="15" spans="2:6">
      <c r="B15" s="1" t="s">
        <v>296</v>
      </c>
      <c r="C15" s="40"/>
      <c r="D15" s="40"/>
      <c r="E15" s="1" t="s">
        <v>291</v>
      </c>
      <c r="F15" s="1" t="s">
        <v>292</v>
      </c>
    </row>
    <row r="16" spans="2:6">
      <c r="B16" s="1" t="s">
        <v>295</v>
      </c>
      <c r="C16" s="40"/>
      <c r="D16" s="40"/>
      <c r="E16" s="1" t="s">
        <v>285</v>
      </c>
      <c r="F16" s="1" t="s">
        <v>286</v>
      </c>
    </row>
  </sheetData>
  <mergeCells count="3">
    <mergeCell ref="D4:D5"/>
    <mergeCell ref="D2:F2"/>
    <mergeCell ref="C4:C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1A54-3C12-7343-86BA-C14441796D75}">
  <dimension ref="A1:J58"/>
  <sheetViews>
    <sheetView zoomScale="120" zoomScaleNormal="120" workbookViewId="0">
      <selection activeCell="I32" sqref="I32"/>
    </sheetView>
  </sheetViews>
  <sheetFormatPr baseColWidth="10" defaultRowHeight="14"/>
  <cols>
    <col min="1" max="1" width="9.83203125" style="2" bestFit="1" customWidth="1"/>
    <col min="2" max="2" width="3.33203125" style="4" bestFit="1" customWidth="1"/>
    <col min="3" max="3" width="25.5" style="5" customWidth="1"/>
    <col min="4" max="4" width="8" style="4" bestFit="1" customWidth="1"/>
    <col min="5" max="5" width="6.1640625" style="3" bestFit="1" customWidth="1"/>
    <col min="6" max="6" width="15.6640625" style="2" bestFit="1" customWidth="1"/>
    <col min="7" max="7" width="21.5" style="2" bestFit="1" customWidth="1"/>
    <col min="8" max="8" width="35.83203125" style="2" bestFit="1" customWidth="1"/>
    <col min="9" max="9" width="24.6640625" style="2" customWidth="1"/>
    <col min="10" max="16384" width="10.83203125" style="2"/>
  </cols>
  <sheetData>
    <row r="1" spans="1:10" ht="15">
      <c r="A1" s="2" t="s">
        <v>50</v>
      </c>
      <c r="B1" s="4" t="s">
        <v>49</v>
      </c>
      <c r="C1" s="5" t="s">
        <v>48</v>
      </c>
      <c r="D1" s="4" t="s">
        <v>47</v>
      </c>
      <c r="E1" s="3" t="s">
        <v>46</v>
      </c>
      <c r="F1" s="2" t="s">
        <v>45</v>
      </c>
      <c r="G1" s="2" t="s">
        <v>44</v>
      </c>
      <c r="H1" s="2" t="s">
        <v>43</v>
      </c>
    </row>
    <row r="2" spans="1:10" ht="30">
      <c r="A2" s="2" t="s">
        <v>42</v>
      </c>
      <c r="B2" s="4">
        <v>8</v>
      </c>
      <c r="C2" s="5" t="s">
        <v>41</v>
      </c>
      <c r="D2" s="4" t="s">
        <v>9</v>
      </c>
      <c r="E2" s="3">
        <v>2</v>
      </c>
      <c r="F2" s="2" t="s">
        <v>40</v>
      </c>
      <c r="G2" s="2" t="s">
        <v>39</v>
      </c>
    </row>
    <row r="3" spans="1:10" ht="30">
      <c r="A3" s="2" t="s">
        <v>38</v>
      </c>
      <c r="B3" s="4">
        <v>16</v>
      </c>
      <c r="C3" s="5" t="s">
        <v>37</v>
      </c>
      <c r="D3" s="4" t="s">
        <v>9</v>
      </c>
      <c r="E3" s="3" t="s">
        <v>36</v>
      </c>
      <c r="F3" s="2" t="s">
        <v>32</v>
      </c>
      <c r="G3" s="2" t="s">
        <v>31</v>
      </c>
      <c r="H3" s="2" t="s">
        <v>35</v>
      </c>
    </row>
    <row r="4" spans="1:10" ht="30">
      <c r="A4" s="2" t="s">
        <v>34</v>
      </c>
      <c r="B4" s="4">
        <v>16</v>
      </c>
      <c r="C4" s="5" t="s">
        <v>33</v>
      </c>
      <c r="D4" s="4" t="s">
        <v>9</v>
      </c>
      <c r="F4" s="2" t="s">
        <v>32</v>
      </c>
      <c r="G4" s="2" t="s">
        <v>31</v>
      </c>
      <c r="H4" s="2" t="s">
        <v>30</v>
      </c>
    </row>
    <row r="5" spans="1:10" ht="30">
      <c r="A5" s="2" t="s">
        <v>29</v>
      </c>
      <c r="B5" s="4">
        <v>8</v>
      </c>
      <c r="C5" s="5" t="s">
        <v>23</v>
      </c>
      <c r="D5" s="4" t="s">
        <v>9</v>
      </c>
      <c r="E5" s="3">
        <v>2</v>
      </c>
      <c r="F5" s="2" t="s">
        <v>18</v>
      </c>
      <c r="G5" s="2" t="s">
        <v>28</v>
      </c>
    </row>
    <row r="6" spans="1:10" ht="30">
      <c r="A6" s="2" t="s">
        <v>27</v>
      </c>
      <c r="B6" s="4">
        <v>8</v>
      </c>
      <c r="C6" s="5" t="s">
        <v>26</v>
      </c>
      <c r="D6" s="4" t="s">
        <v>19</v>
      </c>
      <c r="F6" s="2" t="s">
        <v>18</v>
      </c>
      <c r="G6" s="2" t="s">
        <v>25</v>
      </c>
    </row>
    <row r="7" spans="1:10" ht="30">
      <c r="A7" s="2" t="s">
        <v>24</v>
      </c>
      <c r="B7" s="4">
        <v>16</v>
      </c>
      <c r="C7" s="5" t="s">
        <v>23</v>
      </c>
      <c r="D7" s="4" t="s">
        <v>19</v>
      </c>
      <c r="F7" s="2" t="s">
        <v>18</v>
      </c>
      <c r="G7" s="2" t="s">
        <v>22</v>
      </c>
      <c r="H7" s="2" t="s">
        <v>21</v>
      </c>
    </row>
    <row r="8" spans="1:10" ht="45">
      <c r="B8" s="4">
        <v>16</v>
      </c>
      <c r="C8" s="5" t="s">
        <v>20</v>
      </c>
      <c r="D8" s="4" t="s">
        <v>19</v>
      </c>
      <c r="F8" s="2" t="s">
        <v>18</v>
      </c>
      <c r="G8" s="2" t="s">
        <v>17</v>
      </c>
      <c r="H8" s="2" t="s">
        <v>16</v>
      </c>
    </row>
    <row r="11" spans="1:10">
      <c r="H11" s="2" t="s">
        <v>212</v>
      </c>
      <c r="J11" s="2" t="s">
        <v>213</v>
      </c>
    </row>
    <row r="12" spans="1:10">
      <c r="H12" s="2" t="s">
        <v>227</v>
      </c>
      <c r="I12" s="2" t="s">
        <v>240</v>
      </c>
    </row>
    <row r="13" spans="1:10">
      <c r="H13" s="2" t="s">
        <v>214</v>
      </c>
      <c r="J13" s="2" t="s">
        <v>215</v>
      </c>
    </row>
    <row r="14" spans="1:10">
      <c r="H14" s="2" t="s">
        <v>216</v>
      </c>
      <c r="J14" s="2" t="s">
        <v>217</v>
      </c>
    </row>
    <row r="15" spans="1:10">
      <c r="H15" s="2" t="s">
        <v>229</v>
      </c>
    </row>
    <row r="16" spans="1:10">
      <c r="H16" s="2" t="s">
        <v>228</v>
      </c>
    </row>
    <row r="18" spans="6:10">
      <c r="H18" s="2" t="s">
        <v>230</v>
      </c>
      <c r="J18" s="2" t="s">
        <v>218</v>
      </c>
    </row>
    <row r="19" spans="6:10">
      <c r="F19" s="2" t="s">
        <v>264</v>
      </c>
      <c r="H19" s="2" t="s">
        <v>231</v>
      </c>
      <c r="J19" s="2" t="s">
        <v>219</v>
      </c>
    </row>
    <row r="20" spans="6:10">
      <c r="F20" s="2" t="s">
        <v>265</v>
      </c>
      <c r="H20" s="2" t="s">
        <v>232</v>
      </c>
      <c r="J20" s="2" t="s">
        <v>220</v>
      </c>
    </row>
    <row r="21" spans="6:10">
      <c r="F21" s="2" t="s">
        <v>266</v>
      </c>
      <c r="H21" s="2" t="s">
        <v>233</v>
      </c>
      <c r="J21" s="2" t="s">
        <v>221</v>
      </c>
    </row>
    <row r="22" spans="6:10">
      <c r="F22" s="2" t="s">
        <v>267</v>
      </c>
    </row>
    <row r="23" spans="6:10">
      <c r="F23" s="2" t="s">
        <v>268</v>
      </c>
      <c r="H23" s="2" t="s">
        <v>224</v>
      </c>
    </row>
    <row r="24" spans="6:10">
      <c r="H24" s="2" t="s">
        <v>225</v>
      </c>
    </row>
    <row r="25" spans="6:10">
      <c r="H25" s="2" t="s">
        <v>226</v>
      </c>
    </row>
    <row r="26" spans="6:10">
      <c r="H26" s="2" t="s">
        <v>223</v>
      </c>
    </row>
    <row r="27" spans="6:10">
      <c r="H27" s="2" t="s">
        <v>222</v>
      </c>
    </row>
    <row r="29" spans="6:10">
      <c r="H29" s="2" t="s">
        <v>234</v>
      </c>
      <c r="I29" s="2" t="s">
        <v>236</v>
      </c>
    </row>
    <row r="30" spans="6:10">
      <c r="H30" s="2" t="s">
        <v>235</v>
      </c>
    </row>
    <row r="32" spans="6:10">
      <c r="H32" s="2" t="s">
        <v>237</v>
      </c>
      <c r="I32" s="2" t="s">
        <v>238</v>
      </c>
    </row>
    <row r="33" spans="8:8">
      <c r="H33" s="2" t="s">
        <v>239</v>
      </c>
    </row>
    <row r="34" spans="8:8">
      <c r="H34" s="2" t="s">
        <v>252</v>
      </c>
    </row>
    <row r="35" spans="8:8">
      <c r="H35" s="2" t="s">
        <v>250</v>
      </c>
    </row>
    <row r="36" spans="8:8">
      <c r="H36" s="2" t="s">
        <v>251</v>
      </c>
    </row>
    <row r="37" spans="8:8">
      <c r="H37" s="2" t="s">
        <v>253</v>
      </c>
    </row>
    <row r="38" spans="8:8">
      <c r="H38" s="2" t="s">
        <v>254</v>
      </c>
    </row>
    <row r="39" spans="8:8">
      <c r="H39" s="2" t="s">
        <v>241</v>
      </c>
    </row>
    <row r="40" spans="8:8">
      <c r="H40" s="2" t="s">
        <v>242</v>
      </c>
    </row>
    <row r="41" spans="8:8">
      <c r="H41" s="2" t="s">
        <v>243</v>
      </c>
    </row>
    <row r="42" spans="8:8">
      <c r="H42" s="2" t="s">
        <v>244</v>
      </c>
    </row>
    <row r="43" spans="8:8">
      <c r="H43" s="2" t="s">
        <v>245</v>
      </c>
    </row>
    <row r="44" spans="8:8">
      <c r="H44" s="2" t="s">
        <v>246</v>
      </c>
    </row>
    <row r="45" spans="8:8">
      <c r="H45" s="2" t="s">
        <v>247</v>
      </c>
    </row>
    <row r="46" spans="8:8">
      <c r="H46" s="2" t="s">
        <v>248</v>
      </c>
    </row>
    <row r="47" spans="8:8">
      <c r="H47" s="2" t="s">
        <v>249</v>
      </c>
    </row>
    <row r="48" spans="8:8">
      <c r="H48" s="2" t="s">
        <v>255</v>
      </c>
    </row>
    <row r="49" spans="8:8">
      <c r="H49" s="2" t="s">
        <v>256</v>
      </c>
    </row>
    <row r="50" spans="8:8">
      <c r="H50" s="2" t="s">
        <v>257</v>
      </c>
    </row>
    <row r="51" spans="8:8">
      <c r="H51" s="2" t="s">
        <v>258</v>
      </c>
    </row>
    <row r="52" spans="8:8">
      <c r="H52" s="2" t="s">
        <v>259</v>
      </c>
    </row>
    <row r="54" spans="8:8">
      <c r="H54" s="2" t="s">
        <v>260</v>
      </c>
    </row>
    <row r="55" spans="8:8">
      <c r="H55" s="2" t="s">
        <v>261</v>
      </c>
    </row>
    <row r="57" spans="8:8">
      <c r="H57" s="2" t="s">
        <v>262</v>
      </c>
    </row>
    <row r="58" spans="8:8">
      <c r="H58" s="2" t="s">
        <v>263</v>
      </c>
    </row>
  </sheetData>
  <autoFilter ref="A1:H5" xr:uid="{E03C4A33-1868-9440-9EA6-E014C30BD8DF}">
    <sortState xmlns:xlrd2="http://schemas.microsoft.com/office/spreadsheetml/2017/richdata2" ref="A2:H5">
      <sortCondition ref="A1:A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E29F-0DED-B848-8E5F-8FE2B6F23669}">
  <dimension ref="C4:I56"/>
  <sheetViews>
    <sheetView workbookViewId="0">
      <selection activeCell="C34" sqref="C34"/>
    </sheetView>
  </sheetViews>
  <sheetFormatPr baseColWidth="10" defaultColWidth="8.83203125" defaultRowHeight="15"/>
  <cols>
    <col min="1" max="2" width="8.83203125" style="7"/>
    <col min="3" max="3" width="27.5" style="7" customWidth="1"/>
    <col min="4" max="4" width="18.5" style="7" customWidth="1"/>
    <col min="5" max="5" width="17.6640625" style="7" customWidth="1"/>
    <col min="6" max="6" width="18.5" style="7" customWidth="1"/>
    <col min="7" max="7" width="18.33203125" style="7" customWidth="1"/>
    <col min="8" max="8" width="17.83203125" style="7" customWidth="1"/>
    <col min="9" max="9" width="36.6640625" style="7" customWidth="1"/>
    <col min="10" max="16384" width="8.83203125" style="7"/>
  </cols>
  <sheetData>
    <row r="4" spans="3:9" ht="16" thickBot="1">
      <c r="C4" s="6"/>
    </row>
    <row r="5" spans="3:9" ht="15.75" customHeight="1">
      <c r="C5" s="241" t="s">
        <v>51</v>
      </c>
      <c r="D5" s="241" t="s">
        <v>52</v>
      </c>
      <c r="E5" s="241" t="s">
        <v>53</v>
      </c>
      <c r="F5" s="241" t="s">
        <v>54</v>
      </c>
      <c r="G5" s="241" t="s">
        <v>52</v>
      </c>
      <c r="H5" s="241" t="s">
        <v>53</v>
      </c>
      <c r="I5" s="241" t="s">
        <v>48</v>
      </c>
    </row>
    <row r="6" spans="3:9" ht="16" thickBot="1">
      <c r="C6" s="242"/>
      <c r="D6" s="242"/>
      <c r="E6" s="242"/>
      <c r="F6" s="242"/>
      <c r="G6" s="242"/>
      <c r="H6" s="242"/>
      <c r="I6" s="242"/>
    </row>
    <row r="7" spans="3:9">
      <c r="C7" s="8" t="s">
        <v>55</v>
      </c>
      <c r="D7" s="9" t="s">
        <v>56</v>
      </c>
      <c r="E7" s="10">
        <v>2</v>
      </c>
      <c r="F7" s="11" t="s">
        <v>57</v>
      </c>
      <c r="G7" s="9" t="s">
        <v>58</v>
      </c>
      <c r="H7" s="10">
        <v>4</v>
      </c>
      <c r="I7" s="243" t="s">
        <v>59</v>
      </c>
    </row>
    <row r="8" spans="3:9">
      <c r="C8" s="8" t="s">
        <v>60</v>
      </c>
      <c r="D8" s="9" t="s">
        <v>56</v>
      </c>
      <c r="E8" s="10">
        <v>2</v>
      </c>
      <c r="F8" s="11" t="s">
        <v>61</v>
      </c>
      <c r="G8" s="9" t="s">
        <v>58</v>
      </c>
      <c r="H8" s="10">
        <v>4</v>
      </c>
      <c r="I8" s="243"/>
    </row>
    <row r="9" spans="3:9">
      <c r="C9" s="11" t="s">
        <v>62</v>
      </c>
      <c r="D9" s="9" t="s">
        <v>63</v>
      </c>
      <c r="E9" s="10">
        <v>8</v>
      </c>
      <c r="F9" s="12"/>
      <c r="G9" s="13"/>
      <c r="H9" s="14"/>
      <c r="I9" s="243"/>
    </row>
    <row r="10" spans="3:9" ht="16" thickBot="1">
      <c r="C10" s="15" t="s">
        <v>64</v>
      </c>
      <c r="D10" s="16" t="s">
        <v>63</v>
      </c>
      <c r="E10" s="17">
        <v>8</v>
      </c>
      <c r="F10" s="18"/>
      <c r="G10" s="19"/>
      <c r="H10" s="20"/>
      <c r="I10" s="244"/>
    </row>
    <row r="11" spans="3:9">
      <c r="C11" s="21" t="s">
        <v>65</v>
      </c>
      <c r="D11" s="22" t="s">
        <v>56</v>
      </c>
      <c r="E11" s="23">
        <v>1</v>
      </c>
      <c r="F11" s="21" t="s">
        <v>66</v>
      </c>
      <c r="G11" s="22" t="s">
        <v>58</v>
      </c>
      <c r="H11" s="23">
        <v>2</v>
      </c>
      <c r="I11" s="245" t="s">
        <v>67</v>
      </c>
    </row>
    <row r="12" spans="3:9">
      <c r="C12" s="11" t="s">
        <v>68</v>
      </c>
      <c r="D12" s="9" t="s">
        <v>69</v>
      </c>
      <c r="E12" s="10">
        <v>6</v>
      </c>
      <c r="F12" s="24" t="s">
        <v>70</v>
      </c>
      <c r="G12" s="9" t="s">
        <v>58</v>
      </c>
      <c r="H12" s="10">
        <v>2</v>
      </c>
      <c r="I12" s="243"/>
    </row>
    <row r="13" spans="3:9">
      <c r="C13" s="11" t="s">
        <v>71</v>
      </c>
      <c r="D13" s="9" t="s">
        <v>56</v>
      </c>
      <c r="E13" s="10">
        <v>1</v>
      </c>
      <c r="F13" s="11" t="s">
        <v>72</v>
      </c>
      <c r="G13" s="9" t="s">
        <v>58</v>
      </c>
      <c r="H13" s="10">
        <v>2</v>
      </c>
      <c r="I13" s="243"/>
    </row>
    <row r="14" spans="3:9" ht="16" thickBot="1">
      <c r="C14" s="15" t="s">
        <v>73</v>
      </c>
      <c r="D14" s="16" t="s">
        <v>69</v>
      </c>
      <c r="E14" s="17">
        <v>6</v>
      </c>
      <c r="F14" s="15" t="s">
        <v>74</v>
      </c>
      <c r="G14" s="16" t="s">
        <v>58</v>
      </c>
      <c r="H14" s="17">
        <v>2</v>
      </c>
      <c r="I14" s="244"/>
    </row>
    <row r="15" spans="3:9">
      <c r="C15" s="21" t="s">
        <v>75</v>
      </c>
      <c r="D15" s="22" t="s">
        <v>56</v>
      </c>
      <c r="E15" s="23">
        <v>1</v>
      </c>
      <c r="F15" s="21" t="s">
        <v>76</v>
      </c>
      <c r="G15" s="22" t="s">
        <v>58</v>
      </c>
      <c r="H15" s="23">
        <v>2</v>
      </c>
      <c r="I15" s="245" t="s">
        <v>77</v>
      </c>
    </row>
    <row r="16" spans="3:9">
      <c r="C16" s="11" t="s">
        <v>78</v>
      </c>
      <c r="D16" s="9" t="s">
        <v>69</v>
      </c>
      <c r="E16" s="10">
        <v>6</v>
      </c>
      <c r="F16" s="11" t="s">
        <v>79</v>
      </c>
      <c r="G16" s="9" t="s">
        <v>58</v>
      </c>
      <c r="H16" s="10">
        <v>2</v>
      </c>
      <c r="I16" s="243"/>
    </row>
    <row r="17" spans="3:9">
      <c r="C17" s="11" t="s">
        <v>80</v>
      </c>
      <c r="D17" s="9" t="s">
        <v>56</v>
      </c>
      <c r="E17" s="10">
        <v>1</v>
      </c>
      <c r="F17" s="11" t="s">
        <v>81</v>
      </c>
      <c r="G17" s="9" t="s">
        <v>58</v>
      </c>
      <c r="H17" s="10">
        <v>2</v>
      </c>
      <c r="I17" s="243"/>
    </row>
    <row r="18" spans="3:9" ht="16" thickBot="1">
      <c r="C18" s="15" t="s">
        <v>82</v>
      </c>
      <c r="D18" s="16" t="s">
        <v>69</v>
      </c>
      <c r="E18" s="17">
        <v>6</v>
      </c>
      <c r="F18" s="15" t="s">
        <v>83</v>
      </c>
      <c r="G18" s="16" t="s">
        <v>58</v>
      </c>
      <c r="H18" s="17">
        <v>2</v>
      </c>
      <c r="I18" s="244"/>
    </row>
    <row r="19" spans="3:9">
      <c r="C19" s="246"/>
      <c r="D19" s="248"/>
      <c r="E19" s="250"/>
      <c r="F19" s="21" t="s">
        <v>84</v>
      </c>
      <c r="G19" s="22" t="s">
        <v>58</v>
      </c>
      <c r="H19" s="23">
        <v>2</v>
      </c>
      <c r="I19" s="245" t="s">
        <v>85</v>
      </c>
    </row>
    <row r="20" spans="3:9" ht="16" thickBot="1">
      <c r="C20" s="247"/>
      <c r="D20" s="249"/>
      <c r="E20" s="251"/>
      <c r="F20" s="15" t="s">
        <v>86</v>
      </c>
      <c r="G20" s="16" t="s">
        <v>58</v>
      </c>
      <c r="H20" s="17">
        <v>4</v>
      </c>
      <c r="I20" s="244"/>
    </row>
    <row r="21" spans="3:9">
      <c r="C21" s="246"/>
      <c r="D21" s="248"/>
      <c r="E21" s="250"/>
      <c r="F21" s="21" t="s">
        <v>87</v>
      </c>
      <c r="G21" s="248"/>
      <c r="H21" s="23">
        <v>2</v>
      </c>
      <c r="I21" s="245" t="s">
        <v>88</v>
      </c>
    </row>
    <row r="22" spans="3:9" ht="16" thickBot="1">
      <c r="C22" s="247"/>
      <c r="D22" s="249"/>
      <c r="E22" s="251"/>
      <c r="F22" s="15" t="s">
        <v>89</v>
      </c>
      <c r="G22" s="249"/>
      <c r="H22" s="17">
        <v>7</v>
      </c>
      <c r="I22" s="244"/>
    </row>
    <row r="23" spans="3:9">
      <c r="C23" s="25" t="s">
        <v>90</v>
      </c>
      <c r="D23" s="22" t="s">
        <v>91</v>
      </c>
      <c r="E23" s="23">
        <v>1</v>
      </c>
      <c r="F23" s="252" t="s">
        <v>92</v>
      </c>
      <c r="G23" s="248" t="s">
        <v>58</v>
      </c>
      <c r="H23" s="250">
        <v>2</v>
      </c>
      <c r="I23" s="245" t="s">
        <v>93</v>
      </c>
    </row>
    <row r="24" spans="3:9" ht="16" thickBot="1">
      <c r="C24" s="26" t="s">
        <v>94</v>
      </c>
      <c r="D24" s="16" t="s">
        <v>95</v>
      </c>
      <c r="E24" s="17">
        <v>4</v>
      </c>
      <c r="F24" s="253"/>
      <c r="G24" s="249"/>
      <c r="H24" s="251"/>
      <c r="I24" s="244"/>
    </row>
    <row r="25" spans="3:9" ht="16" thickBot="1">
      <c r="C25" s="27" t="s">
        <v>96</v>
      </c>
      <c r="D25" s="28" t="s">
        <v>97</v>
      </c>
      <c r="E25" s="29">
        <v>13</v>
      </c>
      <c r="F25" s="30"/>
      <c r="G25" s="28"/>
      <c r="H25" s="29"/>
      <c r="I25" s="31" t="s">
        <v>98</v>
      </c>
    </row>
    <row r="26" spans="3:9" ht="48" customHeight="1">
      <c r="C26" s="21" t="s">
        <v>99</v>
      </c>
      <c r="D26" s="22" t="s">
        <v>56</v>
      </c>
      <c r="E26" s="23" t="s">
        <v>100</v>
      </c>
      <c r="F26" s="246"/>
      <c r="G26" s="248"/>
      <c r="H26" s="250"/>
      <c r="I26" s="245" t="s">
        <v>101</v>
      </c>
    </row>
    <row r="27" spans="3:9" ht="16" thickBot="1">
      <c r="C27" s="15" t="s">
        <v>102</v>
      </c>
      <c r="D27" s="16" t="s">
        <v>56</v>
      </c>
      <c r="E27" s="17" t="s">
        <v>100</v>
      </c>
      <c r="F27" s="247"/>
      <c r="G27" s="249"/>
      <c r="H27" s="251"/>
      <c r="I27" s="244"/>
    </row>
    <row r="28" spans="3:9">
      <c r="C28" s="25" t="s">
        <v>103</v>
      </c>
      <c r="D28" s="22" t="s">
        <v>56</v>
      </c>
      <c r="E28" s="23" t="s">
        <v>100</v>
      </c>
      <c r="F28" s="21" t="s">
        <v>104</v>
      </c>
      <c r="G28" s="22" t="s">
        <v>58</v>
      </c>
      <c r="H28" s="23">
        <v>4</v>
      </c>
      <c r="I28" s="245" t="s">
        <v>105</v>
      </c>
    </row>
    <row r="29" spans="3:9" ht="16" thickBot="1">
      <c r="C29" s="32" t="s">
        <v>106</v>
      </c>
      <c r="D29" s="16" t="s">
        <v>56</v>
      </c>
      <c r="E29" s="17" t="s">
        <v>100</v>
      </c>
      <c r="F29" s="15" t="s">
        <v>107</v>
      </c>
      <c r="G29" s="16" t="s">
        <v>58</v>
      </c>
      <c r="H29" s="17">
        <v>4</v>
      </c>
      <c r="I29" s="244"/>
    </row>
    <row r="30" spans="3:9" ht="18" customHeight="1">
      <c r="C30" s="21" t="s">
        <v>108</v>
      </c>
      <c r="D30" s="22" t="s">
        <v>56</v>
      </c>
      <c r="E30" s="23">
        <v>1</v>
      </c>
      <c r="F30" s="246" t="s">
        <v>109</v>
      </c>
      <c r="G30" s="248" t="s">
        <v>58</v>
      </c>
      <c r="H30" s="250">
        <v>2</v>
      </c>
      <c r="I30" s="245" t="s">
        <v>110</v>
      </c>
    </row>
    <row r="31" spans="3:9">
      <c r="C31" s="11" t="s">
        <v>111</v>
      </c>
      <c r="D31" s="9" t="s">
        <v>69</v>
      </c>
      <c r="E31" s="10">
        <v>6</v>
      </c>
      <c r="F31" s="254"/>
      <c r="G31" s="255"/>
      <c r="H31" s="256"/>
      <c r="I31" s="243"/>
    </row>
    <row r="32" spans="3:9">
      <c r="C32" s="11" t="s">
        <v>112</v>
      </c>
      <c r="D32" s="9" t="s">
        <v>69</v>
      </c>
      <c r="E32" s="10">
        <v>6</v>
      </c>
      <c r="F32" s="254"/>
      <c r="G32" s="255"/>
      <c r="H32" s="256"/>
      <c r="I32" s="243"/>
    </row>
    <row r="33" spans="3:9" ht="16" thickBot="1">
      <c r="C33" s="15" t="s">
        <v>113</v>
      </c>
      <c r="D33" s="16" t="s">
        <v>69</v>
      </c>
      <c r="E33" s="17">
        <v>6</v>
      </c>
      <c r="F33" s="247"/>
      <c r="G33" s="249"/>
      <c r="H33" s="251"/>
      <c r="I33" s="244"/>
    </row>
    <row r="34" spans="3:9" ht="45.75" customHeight="1">
      <c r="C34" s="21" t="s">
        <v>114</v>
      </c>
      <c r="D34" s="22" t="s">
        <v>63</v>
      </c>
      <c r="E34" s="23" t="s">
        <v>115</v>
      </c>
      <c r="F34" s="246"/>
      <c r="G34" s="248"/>
      <c r="H34" s="250"/>
      <c r="I34" s="245" t="s">
        <v>116</v>
      </c>
    </row>
    <row r="35" spans="3:9">
      <c r="C35" s="11" t="s">
        <v>117</v>
      </c>
      <c r="D35" s="9" t="s">
        <v>63</v>
      </c>
      <c r="E35" s="10" t="s">
        <v>115</v>
      </c>
      <c r="F35" s="254"/>
      <c r="G35" s="255"/>
      <c r="H35" s="256"/>
      <c r="I35" s="243"/>
    </row>
    <row r="36" spans="3:9" ht="16" thickBot="1">
      <c r="C36" s="15" t="s">
        <v>118</v>
      </c>
      <c r="D36" s="16" t="s">
        <v>63</v>
      </c>
      <c r="E36" s="17" t="s">
        <v>119</v>
      </c>
      <c r="F36" s="247"/>
      <c r="G36" s="249"/>
      <c r="H36" s="251"/>
      <c r="I36" s="244"/>
    </row>
    <row r="37" spans="3:9" ht="20.25" customHeight="1">
      <c r="C37" s="21" t="s">
        <v>120</v>
      </c>
      <c r="D37" s="22" t="s">
        <v>69</v>
      </c>
      <c r="E37" s="23">
        <v>6</v>
      </c>
      <c r="F37" s="246"/>
      <c r="G37" s="248"/>
      <c r="H37" s="250"/>
      <c r="I37" s="245" t="s">
        <v>121</v>
      </c>
    </row>
    <row r="38" spans="3:9">
      <c r="C38" s="11" t="s">
        <v>122</v>
      </c>
      <c r="D38" s="9" t="s">
        <v>69</v>
      </c>
      <c r="E38" s="10">
        <v>7</v>
      </c>
      <c r="F38" s="254"/>
      <c r="G38" s="255"/>
      <c r="H38" s="256"/>
      <c r="I38" s="243"/>
    </row>
    <row r="39" spans="3:9" ht="16" thickBot="1">
      <c r="C39" s="11" t="s">
        <v>123</v>
      </c>
      <c r="D39" s="9" t="s">
        <v>69</v>
      </c>
      <c r="E39" s="10">
        <v>6</v>
      </c>
      <c r="F39" s="254"/>
      <c r="G39" s="255"/>
      <c r="H39" s="256"/>
      <c r="I39" s="243"/>
    </row>
    <row r="40" spans="3:9">
      <c r="C40" s="33" t="s">
        <v>124</v>
      </c>
      <c r="D40" s="257"/>
      <c r="E40" s="34" t="s">
        <v>125</v>
      </c>
      <c r="F40" s="258"/>
      <c r="G40" s="257"/>
      <c r="H40" s="260"/>
      <c r="I40" s="261" t="s">
        <v>126</v>
      </c>
    </row>
    <row r="41" spans="3:9">
      <c r="C41" s="24" t="s">
        <v>127</v>
      </c>
      <c r="D41" s="255"/>
      <c r="E41" s="10">
        <v>47</v>
      </c>
      <c r="F41" s="259"/>
      <c r="G41" s="255"/>
      <c r="H41" s="256"/>
      <c r="I41" s="243"/>
    </row>
    <row r="42" spans="3:9" ht="16" thickBot="1">
      <c r="C42" s="26" t="s">
        <v>128</v>
      </c>
      <c r="D42" s="249"/>
      <c r="E42" s="17" t="s">
        <v>129</v>
      </c>
      <c r="F42" s="253"/>
      <c r="G42" s="249"/>
      <c r="H42" s="251"/>
      <c r="I42" s="244"/>
    </row>
    <row r="43" spans="3:9">
      <c r="C43" s="35" t="s">
        <v>130</v>
      </c>
      <c r="D43" s="248"/>
      <c r="E43" s="23">
        <v>84</v>
      </c>
      <c r="F43" s="252"/>
      <c r="G43" s="248"/>
      <c r="H43" s="250"/>
      <c r="I43" s="245" t="s">
        <v>131</v>
      </c>
    </row>
    <row r="44" spans="3:9" ht="16" thickBot="1">
      <c r="C44" s="26" t="s">
        <v>132</v>
      </c>
      <c r="D44" s="249"/>
      <c r="E44" s="17">
        <v>24</v>
      </c>
      <c r="F44" s="253"/>
      <c r="G44" s="249"/>
      <c r="H44" s="251"/>
      <c r="I44" s="244"/>
    </row>
    <row r="45" spans="3:9">
      <c r="C45" s="35" t="s">
        <v>133</v>
      </c>
      <c r="D45" s="248"/>
      <c r="E45" s="23" t="s">
        <v>134</v>
      </c>
      <c r="F45" s="35" t="s">
        <v>135</v>
      </c>
      <c r="G45" s="22"/>
      <c r="H45" s="23"/>
      <c r="I45" s="245" t="s">
        <v>136</v>
      </c>
    </row>
    <row r="46" spans="3:9">
      <c r="C46" s="24" t="s">
        <v>137</v>
      </c>
      <c r="D46" s="255"/>
      <c r="E46" s="10" t="s">
        <v>138</v>
      </c>
      <c r="F46" s="24" t="s">
        <v>139</v>
      </c>
      <c r="G46" s="9" t="s">
        <v>58</v>
      </c>
      <c r="H46" s="10" t="s">
        <v>140</v>
      </c>
      <c r="I46" s="243"/>
    </row>
    <row r="47" spans="3:9">
      <c r="C47" s="24" t="s">
        <v>141</v>
      </c>
      <c r="D47" s="255"/>
      <c r="E47" s="10">
        <v>17</v>
      </c>
      <c r="F47" s="12"/>
      <c r="G47" s="13"/>
      <c r="H47" s="14"/>
      <c r="I47" s="243"/>
    </row>
    <row r="48" spans="3:9" ht="16" thickBot="1">
      <c r="C48" s="26" t="s">
        <v>142</v>
      </c>
      <c r="D48" s="249"/>
      <c r="E48" s="17" t="s">
        <v>143</v>
      </c>
      <c r="F48" s="18"/>
      <c r="G48" s="19"/>
      <c r="H48" s="20"/>
      <c r="I48" s="244"/>
    </row>
    <row r="49" spans="3:9">
      <c r="C49" s="35" t="s">
        <v>144</v>
      </c>
      <c r="D49" s="22" t="s">
        <v>63</v>
      </c>
      <c r="E49" s="23" t="s">
        <v>145</v>
      </c>
      <c r="F49" s="252"/>
      <c r="G49" s="248"/>
      <c r="H49" s="250"/>
      <c r="I49" s="245" t="s">
        <v>146</v>
      </c>
    </row>
    <row r="50" spans="3:9">
      <c r="C50" s="24" t="s">
        <v>147</v>
      </c>
      <c r="D50" s="9" t="s">
        <v>63</v>
      </c>
      <c r="E50" s="10" t="s">
        <v>148</v>
      </c>
      <c r="F50" s="259"/>
      <c r="G50" s="255"/>
      <c r="H50" s="256"/>
      <c r="I50" s="243"/>
    </row>
    <row r="51" spans="3:9">
      <c r="C51" s="24" t="s">
        <v>149</v>
      </c>
      <c r="D51" s="9" t="s">
        <v>97</v>
      </c>
      <c r="E51" s="10" t="s">
        <v>150</v>
      </c>
      <c r="F51" s="259"/>
      <c r="G51" s="255"/>
      <c r="H51" s="256"/>
      <c r="I51" s="243"/>
    </row>
    <row r="52" spans="3:9">
      <c r="C52" s="24" t="s">
        <v>151</v>
      </c>
      <c r="D52" s="9" t="s">
        <v>97</v>
      </c>
      <c r="E52" s="10" t="s">
        <v>150</v>
      </c>
      <c r="F52" s="259"/>
      <c r="G52" s="255"/>
      <c r="H52" s="256"/>
      <c r="I52" s="243"/>
    </row>
    <row r="53" spans="3:9">
      <c r="C53" s="24" t="s">
        <v>152</v>
      </c>
      <c r="D53" s="9" t="s">
        <v>97</v>
      </c>
      <c r="E53" s="10" t="s">
        <v>150</v>
      </c>
      <c r="F53" s="259"/>
      <c r="G53" s="255"/>
      <c r="H53" s="256"/>
      <c r="I53" s="243"/>
    </row>
    <row r="54" spans="3:9" ht="16" thickBot="1">
      <c r="C54" s="36" t="s">
        <v>153</v>
      </c>
      <c r="D54" s="37" t="s">
        <v>63</v>
      </c>
      <c r="E54" s="38" t="s">
        <v>154</v>
      </c>
      <c r="F54" s="262"/>
      <c r="G54" s="263"/>
      <c r="H54" s="264"/>
      <c r="I54" s="265"/>
    </row>
    <row r="55" spans="3:9">
      <c r="C55" s="6"/>
    </row>
    <row r="56" spans="3:9">
      <c r="C56" s="6"/>
    </row>
  </sheetData>
  <mergeCells count="56">
    <mergeCell ref="D45:D48"/>
    <mergeCell ref="I45:I48"/>
    <mergeCell ref="F49:F54"/>
    <mergeCell ref="G49:G54"/>
    <mergeCell ref="H49:H54"/>
    <mergeCell ref="I49:I54"/>
    <mergeCell ref="F37:F39"/>
    <mergeCell ref="G37:G39"/>
    <mergeCell ref="H37:H39"/>
    <mergeCell ref="I37:I39"/>
    <mergeCell ref="D43:D44"/>
    <mergeCell ref="F43:F44"/>
    <mergeCell ref="G43:G44"/>
    <mergeCell ref="H43:H44"/>
    <mergeCell ref="I43:I44"/>
    <mergeCell ref="D40:D42"/>
    <mergeCell ref="F40:F42"/>
    <mergeCell ref="G40:G42"/>
    <mergeCell ref="H40:H42"/>
    <mergeCell ref="I40:I42"/>
    <mergeCell ref="I28:I29"/>
    <mergeCell ref="F34:F36"/>
    <mergeCell ref="G34:G36"/>
    <mergeCell ref="H34:H36"/>
    <mergeCell ref="I34:I36"/>
    <mergeCell ref="F30:F33"/>
    <mergeCell ref="G30:G33"/>
    <mergeCell ref="H30:H33"/>
    <mergeCell ref="I30:I33"/>
    <mergeCell ref="C21:C22"/>
    <mergeCell ref="D21:D22"/>
    <mergeCell ref="E21:E22"/>
    <mergeCell ref="G21:G22"/>
    <mergeCell ref="I21:I22"/>
    <mergeCell ref="F23:F24"/>
    <mergeCell ref="G23:G24"/>
    <mergeCell ref="H23:H24"/>
    <mergeCell ref="I23:I24"/>
    <mergeCell ref="F26:F27"/>
    <mergeCell ref="G26:G27"/>
    <mergeCell ref="H26:H27"/>
    <mergeCell ref="I26:I27"/>
    <mergeCell ref="I5:I6"/>
    <mergeCell ref="I7:I10"/>
    <mergeCell ref="I11:I14"/>
    <mergeCell ref="I15:I18"/>
    <mergeCell ref="C19:C20"/>
    <mergeCell ref="D19:D20"/>
    <mergeCell ref="E19:E20"/>
    <mergeCell ref="I19:I20"/>
    <mergeCell ref="C5:C6"/>
    <mergeCell ref="D5:D6"/>
    <mergeCell ref="E5:E6"/>
    <mergeCell ref="F5:F6"/>
    <mergeCell ref="G5:G6"/>
    <mergeCell ref="H5:H6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7003-E66B-6D40-AD9B-85FD78465D68}">
  <dimension ref="B1:G40"/>
  <sheetViews>
    <sheetView zoomScale="140" zoomScaleNormal="140" workbookViewId="0">
      <selection activeCell="C12" sqref="C12"/>
    </sheetView>
  </sheetViews>
  <sheetFormatPr baseColWidth="10" defaultColWidth="11.5" defaultRowHeight="13"/>
  <cols>
    <col min="1" max="1" width="3.33203125" style="168" customWidth="1"/>
    <col min="2" max="2" width="33.6640625" style="168" customWidth="1"/>
    <col min="3" max="3" width="33.1640625" style="168" customWidth="1"/>
    <col min="4" max="4" width="15.6640625" style="168" customWidth="1"/>
    <col min="5" max="5" width="15" style="168" customWidth="1"/>
    <col min="6" max="6" width="11.83203125" style="168" customWidth="1"/>
    <col min="7" max="7" width="10.33203125" style="168" customWidth="1"/>
    <col min="8" max="16384" width="11.5" style="168"/>
  </cols>
  <sheetData>
    <row r="1" spans="2:7" ht="20">
      <c r="B1" s="166" t="s">
        <v>749</v>
      </c>
      <c r="C1" s="167" t="s">
        <v>750</v>
      </c>
      <c r="D1" s="168" t="s">
        <v>751</v>
      </c>
    </row>
    <row r="2" spans="2:7" ht="16">
      <c r="B2" s="168" t="s">
        <v>752</v>
      </c>
      <c r="D2" s="168" t="s">
        <v>753</v>
      </c>
    </row>
    <row r="3" spans="2:7" ht="16">
      <c r="B3" s="168" t="s">
        <v>754</v>
      </c>
    </row>
    <row r="4" spans="2:7">
      <c r="B4" s="168" t="s">
        <v>755</v>
      </c>
    </row>
    <row r="6" spans="2:7" ht="14">
      <c r="B6" s="266" t="s">
        <v>741</v>
      </c>
      <c r="C6" s="266"/>
      <c r="D6" s="266"/>
      <c r="E6" s="266"/>
      <c r="F6" s="266"/>
      <c r="G6" s="266"/>
    </row>
    <row r="7" spans="2:7">
      <c r="B7" s="169" t="s">
        <v>756</v>
      </c>
      <c r="C7" s="170">
        <v>16000000</v>
      </c>
      <c r="D7" s="171" t="s">
        <v>757</v>
      </c>
      <c r="E7" s="168" t="s">
        <v>758</v>
      </c>
      <c r="G7" s="172"/>
    </row>
    <row r="8" spans="2:7">
      <c r="B8" s="169" t="s">
        <v>759</v>
      </c>
      <c r="C8" s="173">
        <v>1</v>
      </c>
      <c r="D8" s="171" t="s">
        <v>757</v>
      </c>
      <c r="E8" s="168" t="s">
        <v>760</v>
      </c>
      <c r="G8" s="172"/>
    </row>
    <row r="9" spans="2:7">
      <c r="B9" s="169" t="s">
        <v>744</v>
      </c>
      <c r="C9" s="174">
        <f>E11</f>
        <v>1.5937500000000001E-5</v>
      </c>
      <c r="D9" s="171" t="s">
        <v>757</v>
      </c>
      <c r="E9" s="168" t="s">
        <v>761</v>
      </c>
      <c r="G9" s="172"/>
    </row>
    <row r="10" spans="2:7">
      <c r="B10" s="169" t="s">
        <v>872</v>
      </c>
      <c r="C10" s="225">
        <f>1/C9</f>
        <v>62745.098039215685</v>
      </c>
      <c r="D10" s="223" t="s">
        <v>757</v>
      </c>
      <c r="E10" s="222" t="s">
        <v>761</v>
      </c>
      <c r="G10" s="172"/>
    </row>
    <row r="11" spans="2:7" ht="14" thickBot="1">
      <c r="B11" s="175" t="s">
        <v>873</v>
      </c>
      <c r="C11" s="224">
        <v>255</v>
      </c>
      <c r="D11" s="176" t="s">
        <v>874</v>
      </c>
      <c r="E11" s="177">
        <f>C11/C7</f>
        <v>1.5937500000000001E-5</v>
      </c>
      <c r="F11" s="177"/>
      <c r="G11" s="178"/>
    </row>
    <row r="12" spans="2:7" ht="14" thickBot="1">
      <c r="D12" s="171"/>
    </row>
    <row r="13" spans="2:7" ht="14">
      <c r="B13" s="267" t="s">
        <v>762</v>
      </c>
      <c r="C13" s="267"/>
      <c r="D13" s="267"/>
      <c r="E13" s="267"/>
      <c r="F13" s="267"/>
      <c r="G13" s="267"/>
    </row>
    <row r="14" spans="2:7">
      <c r="B14" s="179"/>
      <c r="G14" s="180"/>
    </row>
    <row r="15" spans="2:7" ht="14">
      <c r="B15" s="181" t="s">
        <v>763</v>
      </c>
      <c r="G15" s="180"/>
    </row>
    <row r="16" spans="2:7">
      <c r="B16" s="179" t="s">
        <v>764</v>
      </c>
      <c r="C16" s="168">
        <f>C9*C7/C8</f>
        <v>255.00000000000003</v>
      </c>
      <c r="G16" s="180"/>
    </row>
    <row r="17" spans="2:7">
      <c r="B17" s="179" t="s">
        <v>765</v>
      </c>
      <c r="C17" s="182">
        <f>ROUND(C16,0)</f>
        <v>255</v>
      </c>
      <c r="D17" s="171" t="s">
        <v>766</v>
      </c>
      <c r="E17" s="183">
        <f>C17/($C$7/$C$8)</f>
        <v>1.5937500000000001E-5</v>
      </c>
      <c r="F17" s="171" t="s">
        <v>767</v>
      </c>
      <c r="G17" s="184">
        <f>(E17-$C$9)/$C$9</f>
        <v>0</v>
      </c>
    </row>
    <row r="18" spans="2:7">
      <c r="B18" s="179" t="s">
        <v>768</v>
      </c>
      <c r="C18" s="185" t="str">
        <f>DEC2HEX(C17,4)</f>
        <v>00FF</v>
      </c>
      <c r="G18" s="180"/>
    </row>
    <row r="19" spans="2:7">
      <c r="B19" s="179"/>
      <c r="G19" s="180"/>
    </row>
    <row r="20" spans="2:7" ht="14">
      <c r="B20" s="186" t="s">
        <v>769</v>
      </c>
      <c r="G20" s="180"/>
    </row>
    <row r="21" spans="2:7">
      <c r="B21" s="179" t="s">
        <v>770</v>
      </c>
      <c r="C21" s="182">
        <f>65536-C17</f>
        <v>65281</v>
      </c>
      <c r="D21" s="171" t="s">
        <v>766</v>
      </c>
      <c r="E21" s="183">
        <f>(65536-C21)/($C$7/$C$8)</f>
        <v>1.5937500000000001E-5</v>
      </c>
      <c r="F21" s="171" t="s">
        <v>767</v>
      </c>
      <c r="G21" s="184">
        <f>(E21-$C$9)/$C$9</f>
        <v>0</v>
      </c>
    </row>
    <row r="22" spans="2:7">
      <c r="B22" s="179" t="s">
        <v>771</v>
      </c>
      <c r="C22" s="185" t="str">
        <f>DEC2HEX(C21,4)</f>
        <v>FF01</v>
      </c>
      <c r="G22" s="180"/>
    </row>
    <row r="23" spans="2:7">
      <c r="B23" s="179"/>
      <c r="G23" s="180"/>
    </row>
    <row r="24" spans="2:7" ht="14">
      <c r="B24" s="187" t="s">
        <v>772</v>
      </c>
      <c r="G24" s="180"/>
    </row>
    <row r="25" spans="2:7">
      <c r="B25" s="179" t="s">
        <v>764</v>
      </c>
      <c r="C25" s="188">
        <f>IF(C16&gt;255,"Not Available",C16)</f>
        <v>255.00000000000003</v>
      </c>
      <c r="G25" s="180"/>
    </row>
    <row r="26" spans="2:7">
      <c r="B26" s="179" t="s">
        <v>765</v>
      </c>
      <c r="C26" s="182">
        <f>ROUND(C25,0)</f>
        <v>255</v>
      </c>
      <c r="D26" s="171" t="s">
        <v>766</v>
      </c>
      <c r="E26" s="183">
        <f>C26/($C$7/$C$8)</f>
        <v>1.5937500000000001E-5</v>
      </c>
      <c r="F26" s="171" t="s">
        <v>767</v>
      </c>
      <c r="G26" s="184">
        <f>(E26-$C$9)/$C$9</f>
        <v>0</v>
      </c>
    </row>
    <row r="27" spans="2:7">
      <c r="B27" s="179" t="s">
        <v>768</v>
      </c>
      <c r="C27" s="185" t="str">
        <f>DEC2HEX(C26,4)</f>
        <v>00FF</v>
      </c>
      <c r="G27" s="180"/>
    </row>
    <row r="28" spans="2:7">
      <c r="B28" s="179"/>
      <c r="G28" s="180"/>
    </row>
    <row r="29" spans="2:7" ht="14">
      <c r="B29" s="189" t="s">
        <v>773</v>
      </c>
      <c r="G29" s="180"/>
    </row>
    <row r="30" spans="2:7">
      <c r="B30" s="179" t="s">
        <v>770</v>
      </c>
      <c r="C30" s="185">
        <f>IF(C16&gt;255,"Not Available",256-C26)</f>
        <v>1</v>
      </c>
      <c r="D30" s="171" t="s">
        <v>766</v>
      </c>
      <c r="E30" s="183">
        <f>(256-C30)/($C$7/$C$8)</f>
        <v>1.5937500000000001E-5</v>
      </c>
      <c r="F30" s="171" t="s">
        <v>767</v>
      </c>
      <c r="G30" s="184">
        <f>(E30-$C$9)/$C$9</f>
        <v>0</v>
      </c>
    </row>
    <row r="31" spans="2:7">
      <c r="B31" s="179" t="s">
        <v>771</v>
      </c>
      <c r="C31" s="185" t="str">
        <f>IF(C16&gt;255,"Not Available",DEC2HEX(C30,2))</f>
        <v>01</v>
      </c>
      <c r="D31" s="190" t="str">
        <f>IF(AND(C26=0,C16&lt;256),"RELOADING NOT NEEDED. AUTO OVERFLOW GIVES 0% ERROR","")</f>
        <v/>
      </c>
      <c r="G31" s="180"/>
    </row>
    <row r="32" spans="2:7">
      <c r="B32" s="179"/>
      <c r="G32" s="180"/>
    </row>
    <row r="33" spans="2:7" ht="14">
      <c r="B33" s="191" t="s">
        <v>774</v>
      </c>
      <c r="G33" s="180"/>
    </row>
    <row r="34" spans="2:7">
      <c r="B34" s="179" t="s">
        <v>775</v>
      </c>
      <c r="C34" s="192">
        <f>$C$8/$C$7*256</f>
        <v>1.5999999999999999E-5</v>
      </c>
      <c r="G34" s="180"/>
    </row>
    <row r="35" spans="2:7">
      <c r="B35" s="179" t="s">
        <v>776</v>
      </c>
      <c r="C35" s="192">
        <f>$C$8/$C$7*65536</f>
        <v>4.0959999999999998E-3</v>
      </c>
      <c r="G35" s="180"/>
    </row>
    <row r="36" spans="2:7">
      <c r="B36" s="179"/>
      <c r="G36" s="180"/>
    </row>
    <row r="37" spans="2:7" ht="14">
      <c r="B37" s="191" t="s">
        <v>777</v>
      </c>
      <c r="G37" s="180"/>
    </row>
    <row r="38" spans="2:7">
      <c r="B38" s="179" t="s">
        <v>778</v>
      </c>
      <c r="C38" s="192">
        <f>$C$8/$C$7*1</f>
        <v>6.2499999999999997E-8</v>
      </c>
      <c r="G38" s="180"/>
    </row>
    <row r="39" spans="2:7">
      <c r="B39" s="179" t="s">
        <v>779</v>
      </c>
      <c r="C39" s="192">
        <f>$C$8/$C$7*1</f>
        <v>6.2499999999999997E-8</v>
      </c>
      <c r="G39" s="180"/>
    </row>
    <row r="40" spans="2:7" ht="14" thickBot="1">
      <c r="B40" s="193"/>
      <c r="C40" s="194"/>
      <c r="D40" s="194"/>
      <c r="E40" s="194"/>
      <c r="F40" s="194"/>
      <c r="G40" s="195"/>
    </row>
  </sheetData>
  <mergeCells count="2">
    <mergeCell ref="B6:G6"/>
    <mergeCell ref="B13:G13"/>
  </mergeCells>
  <hyperlinks>
    <hyperlink ref="B2" r:id="rId1" display="www.vardaan.com" xr:uid="{A681A053-A49C-2740-B621-AB5EE6BE4F2A}"/>
    <hyperlink ref="B3" r:id="rId2" display="www.vardaan.com" xr:uid="{B4162774-0E84-AD46-9745-1ECA17B82EFB}"/>
  </hyperlink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5CB3-77A8-1D40-803C-652014A63620}">
  <dimension ref="B1:H265"/>
  <sheetViews>
    <sheetView zoomScale="117" zoomScaleNormal="117" workbookViewId="0">
      <selection activeCell="C8" sqref="C8"/>
    </sheetView>
  </sheetViews>
  <sheetFormatPr baseColWidth="10" defaultRowHeight="15"/>
  <cols>
    <col min="1" max="1" width="2.1640625" style="151" customWidth="1"/>
    <col min="2" max="2" width="24.83203125" style="151" bestFit="1" customWidth="1"/>
    <col min="3" max="3" width="9.33203125" style="151" customWidth="1"/>
    <col min="4" max="4" width="7" style="152" bestFit="1" customWidth="1"/>
    <col min="5" max="5" width="12.5" style="152" bestFit="1" customWidth="1"/>
    <col min="6" max="7" width="7" style="151" bestFit="1" customWidth="1"/>
    <col min="8" max="8" width="9.33203125" style="151" bestFit="1" customWidth="1"/>
    <col min="9" max="16384" width="10.83203125" style="151"/>
  </cols>
  <sheetData>
    <row r="1" spans="2:8" ht="16" thickBot="1"/>
    <row r="2" spans="2:8">
      <c r="B2" s="268" t="s">
        <v>741</v>
      </c>
      <c r="C2" s="268"/>
      <c r="D2" s="268"/>
    </row>
    <row r="3" spans="2:8">
      <c r="B3" s="153" t="s">
        <v>742</v>
      </c>
      <c r="C3" s="154">
        <v>16</v>
      </c>
      <c r="D3" s="155"/>
    </row>
    <row r="4" spans="2:8">
      <c r="B4" s="153" t="s">
        <v>743</v>
      </c>
      <c r="C4" s="156">
        <f>1/($C$3)*1000</f>
        <v>62.5</v>
      </c>
      <c r="D4" s="155"/>
    </row>
    <row r="5" spans="2:8">
      <c r="B5" s="153" t="s">
        <v>744</v>
      </c>
      <c r="C5" s="157">
        <v>0.01</v>
      </c>
      <c r="D5" s="155"/>
    </row>
    <row r="6" spans="2:8" ht="16" thickBot="1">
      <c r="B6" s="158" t="s">
        <v>745</v>
      </c>
      <c r="C6" s="159">
        <f>1/C5</f>
        <v>100</v>
      </c>
      <c r="D6" s="160"/>
    </row>
    <row r="7" spans="2:8" ht="48">
      <c r="B7" s="161"/>
      <c r="D7" s="161"/>
      <c r="F7" s="162" t="s">
        <v>746</v>
      </c>
      <c r="G7" s="162" t="s">
        <v>747</v>
      </c>
      <c r="H7" s="163" t="s">
        <v>748</v>
      </c>
    </row>
    <row r="8" spans="2:8">
      <c r="B8" s="161"/>
      <c r="D8" s="161"/>
      <c r="F8" s="151">
        <v>0</v>
      </c>
      <c r="G8" s="152" t="str">
        <f>REPT(0,2-LEN((DEC2HEX(F8))))&amp;(DEC2HEX(F8))</f>
        <v>00</v>
      </c>
      <c r="H8" s="164">
        <f t="shared" ref="H8:H71" si="0">$F8*$C$4</f>
        <v>0</v>
      </c>
    </row>
    <row r="9" spans="2:8">
      <c r="B9" s="165"/>
      <c r="D9" s="151"/>
      <c r="E9" s="151"/>
      <c r="F9" s="151">
        <v>1</v>
      </c>
      <c r="G9" s="152" t="str">
        <f t="shared" ref="G9:G72" si="1">REPT(0,2-LEN((DEC2HEX(F9))))&amp;(DEC2HEX(F9))</f>
        <v>01</v>
      </c>
      <c r="H9" s="164">
        <f t="shared" si="0"/>
        <v>62.5</v>
      </c>
    </row>
    <row r="10" spans="2:8">
      <c r="D10" s="151"/>
      <c r="E10" s="151"/>
      <c r="F10" s="151">
        <v>2</v>
      </c>
      <c r="G10" s="152" t="str">
        <f t="shared" si="1"/>
        <v>02</v>
      </c>
      <c r="H10" s="164">
        <f t="shared" si="0"/>
        <v>125</v>
      </c>
    </row>
    <row r="11" spans="2:8">
      <c r="D11" s="151"/>
      <c r="E11" s="151"/>
      <c r="F11" s="151">
        <v>3</v>
      </c>
      <c r="G11" s="152" t="str">
        <f t="shared" si="1"/>
        <v>03</v>
      </c>
      <c r="H11" s="164">
        <f t="shared" si="0"/>
        <v>187.5</v>
      </c>
    </row>
    <row r="12" spans="2:8">
      <c r="D12" s="151"/>
      <c r="E12" s="151"/>
      <c r="F12" s="151">
        <v>4</v>
      </c>
      <c r="G12" s="152" t="str">
        <f t="shared" si="1"/>
        <v>04</v>
      </c>
      <c r="H12" s="164">
        <f t="shared" si="0"/>
        <v>250</v>
      </c>
    </row>
    <row r="13" spans="2:8">
      <c r="D13" s="151"/>
      <c r="E13" s="151"/>
      <c r="F13" s="151">
        <v>5</v>
      </c>
      <c r="G13" s="152" t="str">
        <f t="shared" si="1"/>
        <v>05</v>
      </c>
      <c r="H13" s="164">
        <f t="shared" si="0"/>
        <v>312.5</v>
      </c>
    </row>
    <row r="14" spans="2:8">
      <c r="D14" s="151"/>
      <c r="E14" s="151"/>
      <c r="F14" s="151">
        <v>6</v>
      </c>
      <c r="G14" s="152" t="str">
        <f t="shared" si="1"/>
        <v>06</v>
      </c>
      <c r="H14" s="164">
        <f t="shared" si="0"/>
        <v>375</v>
      </c>
    </row>
    <row r="15" spans="2:8">
      <c r="D15" s="151"/>
      <c r="E15" s="151"/>
      <c r="F15" s="151">
        <v>7</v>
      </c>
      <c r="G15" s="152" t="str">
        <f t="shared" si="1"/>
        <v>07</v>
      </c>
      <c r="H15" s="164">
        <f t="shared" si="0"/>
        <v>437.5</v>
      </c>
    </row>
    <row r="16" spans="2:8">
      <c r="D16" s="151"/>
      <c r="E16" s="151"/>
      <c r="F16" s="151">
        <v>8</v>
      </c>
      <c r="G16" s="152" t="str">
        <f t="shared" si="1"/>
        <v>08</v>
      </c>
      <c r="H16" s="164">
        <f t="shared" si="0"/>
        <v>500</v>
      </c>
    </row>
    <row r="17" spans="4:8">
      <c r="D17" s="151"/>
      <c r="E17" s="151"/>
      <c r="F17" s="151">
        <v>9</v>
      </c>
      <c r="G17" s="152" t="str">
        <f t="shared" si="1"/>
        <v>09</v>
      </c>
      <c r="H17" s="164">
        <f t="shared" si="0"/>
        <v>562.5</v>
      </c>
    </row>
    <row r="18" spans="4:8">
      <c r="D18" s="151"/>
      <c r="E18" s="151"/>
      <c r="F18" s="151">
        <v>10</v>
      </c>
      <c r="G18" s="152" t="str">
        <f t="shared" si="1"/>
        <v>0A</v>
      </c>
      <c r="H18" s="164">
        <f t="shared" si="0"/>
        <v>625</v>
      </c>
    </row>
    <row r="19" spans="4:8">
      <c r="D19" s="151"/>
      <c r="E19" s="151"/>
      <c r="F19" s="151">
        <v>11</v>
      </c>
      <c r="G19" s="152" t="str">
        <f t="shared" si="1"/>
        <v>0B</v>
      </c>
      <c r="H19" s="164">
        <f t="shared" si="0"/>
        <v>687.5</v>
      </c>
    </row>
    <row r="20" spans="4:8">
      <c r="D20" s="151"/>
      <c r="E20" s="151"/>
      <c r="F20" s="151">
        <v>12</v>
      </c>
      <c r="G20" s="152" t="str">
        <f t="shared" si="1"/>
        <v>0C</v>
      </c>
      <c r="H20" s="164">
        <f t="shared" si="0"/>
        <v>750</v>
      </c>
    </row>
    <row r="21" spans="4:8">
      <c r="D21" s="151"/>
      <c r="E21" s="151"/>
      <c r="F21" s="151">
        <v>13</v>
      </c>
      <c r="G21" s="152" t="str">
        <f t="shared" si="1"/>
        <v>0D</v>
      </c>
      <c r="H21" s="164">
        <f t="shared" si="0"/>
        <v>812.5</v>
      </c>
    </row>
    <row r="22" spans="4:8">
      <c r="D22" s="151"/>
      <c r="E22" s="151"/>
      <c r="F22" s="151">
        <v>14</v>
      </c>
      <c r="G22" s="152" t="str">
        <f t="shared" si="1"/>
        <v>0E</v>
      </c>
      <c r="H22" s="164">
        <f t="shared" si="0"/>
        <v>875</v>
      </c>
    </row>
    <row r="23" spans="4:8">
      <c r="D23" s="151"/>
      <c r="E23" s="151"/>
      <c r="F23" s="151">
        <v>15</v>
      </c>
      <c r="G23" s="152" t="str">
        <f t="shared" si="1"/>
        <v>0F</v>
      </c>
      <c r="H23" s="164">
        <f t="shared" si="0"/>
        <v>937.5</v>
      </c>
    </row>
    <row r="24" spans="4:8">
      <c r="D24" s="151"/>
      <c r="E24" s="151"/>
      <c r="F24" s="151">
        <v>16</v>
      </c>
      <c r="G24" s="152" t="str">
        <f t="shared" si="1"/>
        <v>10</v>
      </c>
      <c r="H24" s="164">
        <f t="shared" si="0"/>
        <v>1000</v>
      </c>
    </row>
    <row r="25" spans="4:8">
      <c r="D25" s="151"/>
      <c r="E25" s="151"/>
      <c r="F25" s="151">
        <v>17</v>
      </c>
      <c r="G25" s="152" t="str">
        <f t="shared" si="1"/>
        <v>11</v>
      </c>
      <c r="H25" s="164">
        <f t="shared" si="0"/>
        <v>1062.5</v>
      </c>
    </row>
    <row r="26" spans="4:8">
      <c r="D26" s="151"/>
      <c r="E26" s="151"/>
      <c r="F26" s="151">
        <v>18</v>
      </c>
      <c r="G26" s="152" t="str">
        <f t="shared" si="1"/>
        <v>12</v>
      </c>
      <c r="H26" s="164">
        <f t="shared" si="0"/>
        <v>1125</v>
      </c>
    </row>
    <row r="27" spans="4:8">
      <c r="D27" s="151"/>
      <c r="E27" s="151"/>
      <c r="F27" s="151">
        <v>19</v>
      </c>
      <c r="G27" s="152" t="str">
        <f t="shared" si="1"/>
        <v>13</v>
      </c>
      <c r="H27" s="164">
        <f t="shared" si="0"/>
        <v>1187.5</v>
      </c>
    </row>
    <row r="28" spans="4:8">
      <c r="D28" s="151"/>
      <c r="E28" s="151"/>
      <c r="F28" s="151">
        <v>20</v>
      </c>
      <c r="G28" s="152" t="str">
        <f t="shared" si="1"/>
        <v>14</v>
      </c>
      <c r="H28" s="164">
        <f t="shared" si="0"/>
        <v>1250</v>
      </c>
    </row>
    <row r="29" spans="4:8">
      <c r="D29" s="151"/>
      <c r="E29" s="151"/>
      <c r="F29" s="151">
        <v>21</v>
      </c>
      <c r="G29" s="152" t="str">
        <f t="shared" si="1"/>
        <v>15</v>
      </c>
      <c r="H29" s="164">
        <f t="shared" si="0"/>
        <v>1312.5</v>
      </c>
    </row>
    <row r="30" spans="4:8">
      <c r="D30" s="151"/>
      <c r="E30" s="151"/>
      <c r="F30" s="151">
        <v>22</v>
      </c>
      <c r="G30" s="152" t="str">
        <f t="shared" si="1"/>
        <v>16</v>
      </c>
      <c r="H30" s="164">
        <f t="shared" si="0"/>
        <v>1375</v>
      </c>
    </row>
    <row r="31" spans="4:8">
      <c r="D31" s="151"/>
      <c r="E31" s="151"/>
      <c r="F31" s="151">
        <v>23</v>
      </c>
      <c r="G31" s="152" t="str">
        <f t="shared" si="1"/>
        <v>17</v>
      </c>
      <c r="H31" s="164">
        <f t="shared" si="0"/>
        <v>1437.5</v>
      </c>
    </row>
    <row r="32" spans="4:8">
      <c r="D32" s="151"/>
      <c r="E32" s="151"/>
      <c r="F32" s="151">
        <v>24</v>
      </c>
      <c r="G32" s="152" t="str">
        <f t="shared" si="1"/>
        <v>18</v>
      </c>
      <c r="H32" s="164">
        <f t="shared" si="0"/>
        <v>1500</v>
      </c>
    </row>
    <row r="33" spans="4:8">
      <c r="D33" s="151"/>
      <c r="E33" s="151"/>
      <c r="F33" s="151">
        <v>25</v>
      </c>
      <c r="G33" s="152" t="str">
        <f t="shared" si="1"/>
        <v>19</v>
      </c>
      <c r="H33" s="164">
        <f t="shared" si="0"/>
        <v>1562.5</v>
      </c>
    </row>
    <row r="34" spans="4:8">
      <c r="D34" s="151"/>
      <c r="E34" s="151"/>
      <c r="F34" s="151">
        <v>26</v>
      </c>
      <c r="G34" s="152" t="str">
        <f t="shared" si="1"/>
        <v>1A</v>
      </c>
      <c r="H34" s="164">
        <f t="shared" si="0"/>
        <v>1625</v>
      </c>
    </row>
    <row r="35" spans="4:8">
      <c r="D35" s="151"/>
      <c r="E35" s="151"/>
      <c r="F35" s="151">
        <v>27</v>
      </c>
      <c r="G35" s="152" t="str">
        <f t="shared" si="1"/>
        <v>1B</v>
      </c>
      <c r="H35" s="164">
        <f t="shared" si="0"/>
        <v>1687.5</v>
      </c>
    </row>
    <row r="36" spans="4:8">
      <c r="D36" s="151"/>
      <c r="E36" s="151"/>
      <c r="F36" s="151">
        <v>28</v>
      </c>
      <c r="G36" s="152" t="str">
        <f t="shared" si="1"/>
        <v>1C</v>
      </c>
      <c r="H36" s="164">
        <f t="shared" si="0"/>
        <v>1750</v>
      </c>
    </row>
    <row r="37" spans="4:8">
      <c r="D37" s="151"/>
      <c r="E37" s="151"/>
      <c r="F37" s="151">
        <v>29</v>
      </c>
      <c r="G37" s="152" t="str">
        <f t="shared" si="1"/>
        <v>1D</v>
      </c>
      <c r="H37" s="164">
        <f t="shared" si="0"/>
        <v>1812.5</v>
      </c>
    </row>
    <row r="38" spans="4:8">
      <c r="D38" s="151"/>
      <c r="E38" s="151"/>
      <c r="F38" s="151">
        <v>30</v>
      </c>
      <c r="G38" s="152" t="str">
        <f t="shared" si="1"/>
        <v>1E</v>
      </c>
      <c r="H38" s="164">
        <f t="shared" si="0"/>
        <v>1875</v>
      </c>
    </row>
    <row r="39" spans="4:8">
      <c r="D39" s="151"/>
      <c r="E39" s="151"/>
      <c r="F39" s="151">
        <v>31</v>
      </c>
      <c r="G39" s="152" t="str">
        <f t="shared" si="1"/>
        <v>1F</v>
      </c>
      <c r="H39" s="164">
        <f t="shared" si="0"/>
        <v>1937.5</v>
      </c>
    </row>
    <row r="40" spans="4:8">
      <c r="D40" s="151"/>
      <c r="E40" s="151"/>
      <c r="F40" s="151">
        <v>32</v>
      </c>
      <c r="G40" s="152" t="str">
        <f t="shared" si="1"/>
        <v>20</v>
      </c>
      <c r="H40" s="164">
        <f t="shared" si="0"/>
        <v>2000</v>
      </c>
    </row>
    <row r="41" spans="4:8">
      <c r="D41" s="151"/>
      <c r="E41" s="151"/>
      <c r="F41" s="151">
        <v>33</v>
      </c>
      <c r="G41" s="152" t="str">
        <f t="shared" si="1"/>
        <v>21</v>
      </c>
      <c r="H41" s="164">
        <f t="shared" si="0"/>
        <v>2062.5</v>
      </c>
    </row>
    <row r="42" spans="4:8">
      <c r="D42" s="151"/>
      <c r="E42" s="151"/>
      <c r="F42" s="151">
        <v>34</v>
      </c>
      <c r="G42" s="152" t="str">
        <f t="shared" si="1"/>
        <v>22</v>
      </c>
      <c r="H42" s="164">
        <f t="shared" si="0"/>
        <v>2125</v>
      </c>
    </row>
    <row r="43" spans="4:8">
      <c r="D43" s="151"/>
      <c r="E43" s="151"/>
      <c r="F43" s="151">
        <v>35</v>
      </c>
      <c r="G43" s="152" t="str">
        <f t="shared" si="1"/>
        <v>23</v>
      </c>
      <c r="H43" s="164">
        <f t="shared" si="0"/>
        <v>2187.5</v>
      </c>
    </row>
    <row r="44" spans="4:8">
      <c r="D44" s="151"/>
      <c r="E44" s="151"/>
      <c r="F44" s="151">
        <v>36</v>
      </c>
      <c r="G44" s="152" t="str">
        <f t="shared" si="1"/>
        <v>24</v>
      </c>
      <c r="H44" s="164">
        <f t="shared" si="0"/>
        <v>2250</v>
      </c>
    </row>
    <row r="45" spans="4:8">
      <c r="D45" s="151"/>
      <c r="E45" s="151"/>
      <c r="F45" s="151">
        <v>37</v>
      </c>
      <c r="G45" s="152" t="str">
        <f t="shared" si="1"/>
        <v>25</v>
      </c>
      <c r="H45" s="164">
        <f t="shared" si="0"/>
        <v>2312.5</v>
      </c>
    </row>
    <row r="46" spans="4:8">
      <c r="D46" s="151"/>
      <c r="E46" s="151"/>
      <c r="F46" s="151">
        <v>38</v>
      </c>
      <c r="G46" s="152" t="str">
        <f t="shared" si="1"/>
        <v>26</v>
      </c>
      <c r="H46" s="164">
        <f t="shared" si="0"/>
        <v>2375</v>
      </c>
    </row>
    <row r="47" spans="4:8">
      <c r="D47" s="151"/>
      <c r="E47" s="151"/>
      <c r="F47" s="151">
        <v>39</v>
      </c>
      <c r="G47" s="152" t="str">
        <f t="shared" si="1"/>
        <v>27</v>
      </c>
      <c r="H47" s="164">
        <f t="shared" si="0"/>
        <v>2437.5</v>
      </c>
    </row>
    <row r="48" spans="4:8">
      <c r="D48" s="151"/>
      <c r="E48" s="151"/>
      <c r="F48" s="151">
        <v>40</v>
      </c>
      <c r="G48" s="152" t="str">
        <f t="shared" si="1"/>
        <v>28</v>
      </c>
      <c r="H48" s="164">
        <f t="shared" si="0"/>
        <v>2500</v>
      </c>
    </row>
    <row r="49" spans="4:8">
      <c r="D49" s="151"/>
      <c r="E49" s="151"/>
      <c r="F49" s="151">
        <v>41</v>
      </c>
      <c r="G49" s="152" t="str">
        <f t="shared" si="1"/>
        <v>29</v>
      </c>
      <c r="H49" s="164">
        <f t="shared" si="0"/>
        <v>2562.5</v>
      </c>
    </row>
    <row r="50" spans="4:8">
      <c r="D50" s="151"/>
      <c r="E50" s="151"/>
      <c r="F50" s="151">
        <v>42</v>
      </c>
      <c r="G50" s="152" t="str">
        <f t="shared" si="1"/>
        <v>2A</v>
      </c>
      <c r="H50" s="164">
        <f t="shared" si="0"/>
        <v>2625</v>
      </c>
    </row>
    <row r="51" spans="4:8">
      <c r="D51" s="151"/>
      <c r="E51" s="151"/>
      <c r="F51" s="151">
        <v>43</v>
      </c>
      <c r="G51" s="152" t="str">
        <f t="shared" si="1"/>
        <v>2B</v>
      </c>
      <c r="H51" s="164">
        <f t="shared" si="0"/>
        <v>2687.5</v>
      </c>
    </row>
    <row r="52" spans="4:8">
      <c r="D52" s="151"/>
      <c r="E52" s="151"/>
      <c r="F52" s="151">
        <v>44</v>
      </c>
      <c r="G52" s="152" t="str">
        <f t="shared" si="1"/>
        <v>2C</v>
      </c>
      <c r="H52" s="164">
        <f t="shared" si="0"/>
        <v>2750</v>
      </c>
    </row>
    <row r="53" spans="4:8">
      <c r="D53" s="151"/>
      <c r="E53" s="151"/>
      <c r="F53" s="151">
        <v>45</v>
      </c>
      <c r="G53" s="152" t="str">
        <f t="shared" si="1"/>
        <v>2D</v>
      </c>
      <c r="H53" s="164">
        <f t="shared" si="0"/>
        <v>2812.5</v>
      </c>
    </row>
    <row r="54" spans="4:8">
      <c r="D54" s="151"/>
      <c r="E54" s="151"/>
      <c r="F54" s="151">
        <v>46</v>
      </c>
      <c r="G54" s="152" t="str">
        <f t="shared" si="1"/>
        <v>2E</v>
      </c>
      <c r="H54" s="164">
        <f t="shared" si="0"/>
        <v>2875</v>
      </c>
    </row>
    <row r="55" spans="4:8">
      <c r="D55" s="151"/>
      <c r="E55" s="151"/>
      <c r="F55" s="151">
        <v>47</v>
      </c>
      <c r="G55" s="152" t="str">
        <f t="shared" si="1"/>
        <v>2F</v>
      </c>
      <c r="H55" s="164">
        <f t="shared" si="0"/>
        <v>2937.5</v>
      </c>
    </row>
    <row r="56" spans="4:8">
      <c r="D56" s="151"/>
      <c r="E56" s="151"/>
      <c r="F56" s="151">
        <v>48</v>
      </c>
      <c r="G56" s="152" t="str">
        <f t="shared" si="1"/>
        <v>30</v>
      </c>
      <c r="H56" s="164">
        <f t="shared" si="0"/>
        <v>3000</v>
      </c>
    </row>
    <row r="57" spans="4:8">
      <c r="D57" s="151"/>
      <c r="E57" s="151"/>
      <c r="F57" s="151">
        <v>49</v>
      </c>
      <c r="G57" s="152" t="str">
        <f t="shared" si="1"/>
        <v>31</v>
      </c>
      <c r="H57" s="164">
        <f t="shared" si="0"/>
        <v>3062.5</v>
      </c>
    </row>
    <row r="58" spans="4:8">
      <c r="D58" s="151"/>
      <c r="E58" s="151"/>
      <c r="F58" s="151">
        <v>50</v>
      </c>
      <c r="G58" s="152" t="str">
        <f t="shared" si="1"/>
        <v>32</v>
      </c>
      <c r="H58" s="164">
        <f t="shared" si="0"/>
        <v>3125</v>
      </c>
    </row>
    <row r="59" spans="4:8">
      <c r="D59" s="151"/>
      <c r="E59" s="151"/>
      <c r="F59" s="151">
        <v>51</v>
      </c>
      <c r="G59" s="152" t="str">
        <f t="shared" si="1"/>
        <v>33</v>
      </c>
      <c r="H59" s="164">
        <f t="shared" si="0"/>
        <v>3187.5</v>
      </c>
    </row>
    <row r="60" spans="4:8">
      <c r="D60" s="151"/>
      <c r="E60" s="151"/>
      <c r="F60" s="151">
        <v>52</v>
      </c>
      <c r="G60" s="152" t="str">
        <f t="shared" si="1"/>
        <v>34</v>
      </c>
      <c r="H60" s="164">
        <f t="shared" si="0"/>
        <v>3250</v>
      </c>
    </row>
    <row r="61" spans="4:8">
      <c r="D61" s="151"/>
      <c r="E61" s="151"/>
      <c r="F61" s="151">
        <v>53</v>
      </c>
      <c r="G61" s="152" t="str">
        <f t="shared" si="1"/>
        <v>35</v>
      </c>
      <c r="H61" s="164">
        <f t="shared" si="0"/>
        <v>3312.5</v>
      </c>
    </row>
    <row r="62" spans="4:8">
      <c r="D62" s="151"/>
      <c r="E62" s="151"/>
      <c r="F62" s="151">
        <v>54</v>
      </c>
      <c r="G62" s="152" t="str">
        <f t="shared" si="1"/>
        <v>36</v>
      </c>
      <c r="H62" s="164">
        <f t="shared" si="0"/>
        <v>3375</v>
      </c>
    </row>
    <row r="63" spans="4:8">
      <c r="D63" s="151"/>
      <c r="E63" s="151"/>
      <c r="F63" s="151">
        <v>55</v>
      </c>
      <c r="G63" s="152" t="str">
        <f t="shared" si="1"/>
        <v>37</v>
      </c>
      <c r="H63" s="164">
        <f t="shared" si="0"/>
        <v>3437.5</v>
      </c>
    </row>
    <row r="64" spans="4:8">
      <c r="D64" s="151"/>
      <c r="E64" s="151"/>
      <c r="F64" s="151">
        <v>56</v>
      </c>
      <c r="G64" s="152" t="str">
        <f t="shared" si="1"/>
        <v>38</v>
      </c>
      <c r="H64" s="164">
        <f t="shared" si="0"/>
        <v>3500</v>
      </c>
    </row>
    <row r="65" spans="4:8">
      <c r="D65" s="151"/>
      <c r="E65" s="151"/>
      <c r="F65" s="151">
        <v>57</v>
      </c>
      <c r="G65" s="152" t="str">
        <f t="shared" si="1"/>
        <v>39</v>
      </c>
      <c r="H65" s="164">
        <f t="shared" si="0"/>
        <v>3562.5</v>
      </c>
    </row>
    <row r="66" spans="4:8">
      <c r="D66" s="151"/>
      <c r="E66" s="151"/>
      <c r="F66" s="151">
        <v>58</v>
      </c>
      <c r="G66" s="152" t="str">
        <f t="shared" si="1"/>
        <v>3A</v>
      </c>
      <c r="H66" s="164">
        <f t="shared" si="0"/>
        <v>3625</v>
      </c>
    </row>
    <row r="67" spans="4:8">
      <c r="D67" s="151"/>
      <c r="E67" s="151"/>
      <c r="F67" s="151">
        <v>59</v>
      </c>
      <c r="G67" s="152" t="str">
        <f t="shared" si="1"/>
        <v>3B</v>
      </c>
      <c r="H67" s="164">
        <f t="shared" si="0"/>
        <v>3687.5</v>
      </c>
    </row>
    <row r="68" spans="4:8">
      <c r="D68" s="151"/>
      <c r="E68" s="151"/>
      <c r="F68" s="151">
        <v>60</v>
      </c>
      <c r="G68" s="152" t="str">
        <f t="shared" si="1"/>
        <v>3C</v>
      </c>
      <c r="H68" s="164">
        <f t="shared" si="0"/>
        <v>3750</v>
      </c>
    </row>
    <row r="69" spans="4:8">
      <c r="D69" s="151"/>
      <c r="E69" s="151"/>
      <c r="F69" s="151">
        <v>61</v>
      </c>
      <c r="G69" s="152" t="str">
        <f t="shared" si="1"/>
        <v>3D</v>
      </c>
      <c r="H69" s="164">
        <f t="shared" si="0"/>
        <v>3812.5</v>
      </c>
    </row>
    <row r="70" spans="4:8">
      <c r="D70" s="151"/>
      <c r="E70" s="151"/>
      <c r="F70" s="151">
        <v>62</v>
      </c>
      <c r="G70" s="152" t="str">
        <f t="shared" si="1"/>
        <v>3E</v>
      </c>
      <c r="H70" s="164">
        <f t="shared" si="0"/>
        <v>3875</v>
      </c>
    </row>
    <row r="71" spans="4:8">
      <c r="D71" s="151"/>
      <c r="E71" s="151"/>
      <c r="F71" s="151">
        <v>63</v>
      </c>
      <c r="G71" s="152" t="str">
        <f t="shared" si="1"/>
        <v>3F</v>
      </c>
      <c r="H71" s="164">
        <f t="shared" si="0"/>
        <v>3937.5</v>
      </c>
    </row>
    <row r="72" spans="4:8">
      <c r="D72" s="151"/>
      <c r="E72" s="151"/>
      <c r="F72" s="151">
        <v>64</v>
      </c>
      <c r="G72" s="152" t="str">
        <f t="shared" si="1"/>
        <v>40</v>
      </c>
      <c r="H72" s="164">
        <f t="shared" ref="H72:H135" si="2">$F72*$C$4</f>
        <v>4000</v>
      </c>
    </row>
    <row r="73" spans="4:8">
      <c r="D73" s="151"/>
      <c r="E73" s="151"/>
      <c r="F73" s="151">
        <v>65</v>
      </c>
      <c r="G73" s="152" t="str">
        <f t="shared" ref="G73:G136" si="3">REPT(0,2-LEN((DEC2HEX(F73))))&amp;(DEC2HEX(F73))</f>
        <v>41</v>
      </c>
      <c r="H73" s="164">
        <f t="shared" si="2"/>
        <v>4062.5</v>
      </c>
    </row>
    <row r="74" spans="4:8">
      <c r="D74" s="151"/>
      <c r="E74" s="151"/>
      <c r="F74" s="151">
        <v>66</v>
      </c>
      <c r="G74" s="152" t="str">
        <f t="shared" si="3"/>
        <v>42</v>
      </c>
      <c r="H74" s="164">
        <f t="shared" si="2"/>
        <v>4125</v>
      </c>
    </row>
    <row r="75" spans="4:8">
      <c r="D75" s="151"/>
      <c r="E75" s="151"/>
      <c r="F75" s="151">
        <v>67</v>
      </c>
      <c r="G75" s="152" t="str">
        <f t="shared" si="3"/>
        <v>43</v>
      </c>
      <c r="H75" s="164">
        <f t="shared" si="2"/>
        <v>4187.5</v>
      </c>
    </row>
    <row r="76" spans="4:8">
      <c r="D76" s="151"/>
      <c r="E76" s="151"/>
      <c r="F76" s="151">
        <v>68</v>
      </c>
      <c r="G76" s="152" t="str">
        <f t="shared" si="3"/>
        <v>44</v>
      </c>
      <c r="H76" s="164">
        <f t="shared" si="2"/>
        <v>4250</v>
      </c>
    </row>
    <row r="77" spans="4:8">
      <c r="D77" s="151"/>
      <c r="E77" s="151"/>
      <c r="F77" s="151">
        <v>69</v>
      </c>
      <c r="G77" s="152" t="str">
        <f t="shared" si="3"/>
        <v>45</v>
      </c>
      <c r="H77" s="164">
        <f t="shared" si="2"/>
        <v>4312.5</v>
      </c>
    </row>
    <row r="78" spans="4:8">
      <c r="D78" s="151"/>
      <c r="E78" s="151"/>
      <c r="F78" s="151">
        <v>70</v>
      </c>
      <c r="G78" s="152" t="str">
        <f t="shared" si="3"/>
        <v>46</v>
      </c>
      <c r="H78" s="164">
        <f t="shared" si="2"/>
        <v>4375</v>
      </c>
    </row>
    <row r="79" spans="4:8">
      <c r="D79" s="151"/>
      <c r="E79" s="151"/>
      <c r="F79" s="151">
        <v>71</v>
      </c>
      <c r="G79" s="152" t="str">
        <f t="shared" si="3"/>
        <v>47</v>
      </c>
      <c r="H79" s="164">
        <f t="shared" si="2"/>
        <v>4437.5</v>
      </c>
    </row>
    <row r="80" spans="4:8">
      <c r="D80" s="151"/>
      <c r="E80" s="151"/>
      <c r="F80" s="151">
        <v>72</v>
      </c>
      <c r="G80" s="152" t="str">
        <f t="shared" si="3"/>
        <v>48</v>
      </c>
      <c r="H80" s="164">
        <f t="shared" si="2"/>
        <v>4500</v>
      </c>
    </row>
    <row r="81" spans="4:8">
      <c r="D81" s="151"/>
      <c r="E81" s="151"/>
      <c r="F81" s="151">
        <v>73</v>
      </c>
      <c r="G81" s="152" t="str">
        <f t="shared" si="3"/>
        <v>49</v>
      </c>
      <c r="H81" s="164">
        <f t="shared" si="2"/>
        <v>4562.5</v>
      </c>
    </row>
    <row r="82" spans="4:8">
      <c r="D82" s="151"/>
      <c r="E82" s="151"/>
      <c r="F82" s="151">
        <v>74</v>
      </c>
      <c r="G82" s="152" t="str">
        <f t="shared" si="3"/>
        <v>4A</v>
      </c>
      <c r="H82" s="164">
        <f t="shared" si="2"/>
        <v>4625</v>
      </c>
    </row>
    <row r="83" spans="4:8">
      <c r="D83" s="151"/>
      <c r="E83" s="151"/>
      <c r="F83" s="151">
        <v>75</v>
      </c>
      <c r="G83" s="152" t="str">
        <f t="shared" si="3"/>
        <v>4B</v>
      </c>
      <c r="H83" s="164">
        <f t="shared" si="2"/>
        <v>4687.5</v>
      </c>
    </row>
    <row r="84" spans="4:8">
      <c r="D84" s="151"/>
      <c r="E84" s="151"/>
      <c r="F84" s="151">
        <v>76</v>
      </c>
      <c r="G84" s="152" t="str">
        <f t="shared" si="3"/>
        <v>4C</v>
      </c>
      <c r="H84" s="164">
        <f t="shared" si="2"/>
        <v>4750</v>
      </c>
    </row>
    <row r="85" spans="4:8">
      <c r="D85" s="151"/>
      <c r="E85" s="151"/>
      <c r="F85" s="151">
        <v>77</v>
      </c>
      <c r="G85" s="152" t="str">
        <f t="shared" si="3"/>
        <v>4D</v>
      </c>
      <c r="H85" s="164">
        <f t="shared" si="2"/>
        <v>4812.5</v>
      </c>
    </row>
    <row r="86" spans="4:8">
      <c r="D86" s="151"/>
      <c r="E86" s="151"/>
      <c r="F86" s="151">
        <v>78</v>
      </c>
      <c r="G86" s="152" t="str">
        <f t="shared" si="3"/>
        <v>4E</v>
      </c>
      <c r="H86" s="164">
        <f t="shared" si="2"/>
        <v>4875</v>
      </c>
    </row>
    <row r="87" spans="4:8">
      <c r="D87" s="151"/>
      <c r="E87" s="151"/>
      <c r="F87" s="151">
        <v>79</v>
      </c>
      <c r="G87" s="152" t="str">
        <f t="shared" si="3"/>
        <v>4F</v>
      </c>
      <c r="H87" s="164">
        <f t="shared" si="2"/>
        <v>4937.5</v>
      </c>
    </row>
    <row r="88" spans="4:8">
      <c r="D88" s="151"/>
      <c r="E88" s="151"/>
      <c r="F88" s="151">
        <v>80</v>
      </c>
      <c r="G88" s="152" t="str">
        <f t="shared" si="3"/>
        <v>50</v>
      </c>
      <c r="H88" s="164">
        <f t="shared" si="2"/>
        <v>5000</v>
      </c>
    </row>
    <row r="89" spans="4:8">
      <c r="D89" s="151"/>
      <c r="E89" s="151"/>
      <c r="F89" s="151">
        <v>81</v>
      </c>
      <c r="G89" s="152" t="str">
        <f t="shared" si="3"/>
        <v>51</v>
      </c>
      <c r="H89" s="164">
        <f t="shared" si="2"/>
        <v>5062.5</v>
      </c>
    </row>
    <row r="90" spans="4:8">
      <c r="D90" s="151"/>
      <c r="E90" s="151"/>
      <c r="F90" s="151">
        <v>82</v>
      </c>
      <c r="G90" s="152" t="str">
        <f t="shared" si="3"/>
        <v>52</v>
      </c>
      <c r="H90" s="164">
        <f t="shared" si="2"/>
        <v>5125</v>
      </c>
    </row>
    <row r="91" spans="4:8">
      <c r="D91" s="151"/>
      <c r="E91" s="151"/>
      <c r="F91" s="151">
        <v>83</v>
      </c>
      <c r="G91" s="152" t="str">
        <f t="shared" si="3"/>
        <v>53</v>
      </c>
      <c r="H91" s="164">
        <f t="shared" si="2"/>
        <v>5187.5</v>
      </c>
    </row>
    <row r="92" spans="4:8">
      <c r="D92" s="151"/>
      <c r="E92" s="151"/>
      <c r="F92" s="151">
        <v>84</v>
      </c>
      <c r="G92" s="152" t="str">
        <f t="shared" si="3"/>
        <v>54</v>
      </c>
      <c r="H92" s="164">
        <f t="shared" si="2"/>
        <v>5250</v>
      </c>
    </row>
    <row r="93" spans="4:8">
      <c r="D93" s="151"/>
      <c r="E93" s="151"/>
      <c r="F93" s="151">
        <v>85</v>
      </c>
      <c r="G93" s="152" t="str">
        <f t="shared" si="3"/>
        <v>55</v>
      </c>
      <c r="H93" s="164">
        <f t="shared" si="2"/>
        <v>5312.5</v>
      </c>
    </row>
    <row r="94" spans="4:8">
      <c r="D94" s="151"/>
      <c r="E94" s="151"/>
      <c r="F94" s="151">
        <v>86</v>
      </c>
      <c r="G94" s="152" t="str">
        <f t="shared" si="3"/>
        <v>56</v>
      </c>
      <c r="H94" s="164">
        <f t="shared" si="2"/>
        <v>5375</v>
      </c>
    </row>
    <row r="95" spans="4:8">
      <c r="D95" s="151"/>
      <c r="E95" s="151"/>
      <c r="F95" s="151">
        <v>87</v>
      </c>
      <c r="G95" s="152" t="str">
        <f t="shared" si="3"/>
        <v>57</v>
      </c>
      <c r="H95" s="164">
        <f t="shared" si="2"/>
        <v>5437.5</v>
      </c>
    </row>
    <row r="96" spans="4:8">
      <c r="D96" s="151"/>
      <c r="E96" s="151"/>
      <c r="F96" s="151">
        <v>88</v>
      </c>
      <c r="G96" s="152" t="str">
        <f t="shared" si="3"/>
        <v>58</v>
      </c>
      <c r="H96" s="164">
        <f t="shared" si="2"/>
        <v>5500</v>
      </c>
    </row>
    <row r="97" spans="4:8">
      <c r="D97" s="151"/>
      <c r="E97" s="151"/>
      <c r="F97" s="151">
        <v>89</v>
      </c>
      <c r="G97" s="152" t="str">
        <f t="shared" si="3"/>
        <v>59</v>
      </c>
      <c r="H97" s="164">
        <f t="shared" si="2"/>
        <v>5562.5</v>
      </c>
    </row>
    <row r="98" spans="4:8">
      <c r="D98" s="151"/>
      <c r="E98" s="151"/>
      <c r="F98" s="151">
        <v>90</v>
      </c>
      <c r="G98" s="152" t="str">
        <f t="shared" si="3"/>
        <v>5A</v>
      </c>
      <c r="H98" s="164">
        <f t="shared" si="2"/>
        <v>5625</v>
      </c>
    </row>
    <row r="99" spans="4:8">
      <c r="D99" s="151"/>
      <c r="E99" s="151"/>
      <c r="F99" s="151">
        <v>91</v>
      </c>
      <c r="G99" s="152" t="str">
        <f t="shared" si="3"/>
        <v>5B</v>
      </c>
      <c r="H99" s="164">
        <f t="shared" si="2"/>
        <v>5687.5</v>
      </c>
    </row>
    <row r="100" spans="4:8">
      <c r="D100" s="151"/>
      <c r="E100" s="151"/>
      <c r="F100" s="151">
        <v>92</v>
      </c>
      <c r="G100" s="152" t="str">
        <f t="shared" si="3"/>
        <v>5C</v>
      </c>
      <c r="H100" s="164">
        <f t="shared" si="2"/>
        <v>5750</v>
      </c>
    </row>
    <row r="101" spans="4:8">
      <c r="D101" s="151"/>
      <c r="E101" s="151"/>
      <c r="F101" s="151">
        <v>93</v>
      </c>
      <c r="G101" s="152" t="str">
        <f t="shared" si="3"/>
        <v>5D</v>
      </c>
      <c r="H101" s="164">
        <f t="shared" si="2"/>
        <v>5812.5</v>
      </c>
    </row>
    <row r="102" spans="4:8">
      <c r="D102" s="151"/>
      <c r="E102" s="151"/>
      <c r="F102" s="151">
        <v>94</v>
      </c>
      <c r="G102" s="152" t="str">
        <f t="shared" si="3"/>
        <v>5E</v>
      </c>
      <c r="H102" s="164">
        <f t="shared" si="2"/>
        <v>5875</v>
      </c>
    </row>
    <row r="103" spans="4:8">
      <c r="D103" s="151"/>
      <c r="E103" s="151"/>
      <c r="F103" s="151">
        <v>95</v>
      </c>
      <c r="G103" s="152" t="str">
        <f t="shared" si="3"/>
        <v>5F</v>
      </c>
      <c r="H103" s="164">
        <f t="shared" si="2"/>
        <v>5937.5</v>
      </c>
    </row>
    <row r="104" spans="4:8">
      <c r="D104" s="151"/>
      <c r="E104" s="151"/>
      <c r="F104" s="151">
        <v>96</v>
      </c>
      <c r="G104" s="152" t="str">
        <f t="shared" si="3"/>
        <v>60</v>
      </c>
      <c r="H104" s="164">
        <f t="shared" si="2"/>
        <v>6000</v>
      </c>
    </row>
    <row r="105" spans="4:8">
      <c r="D105" s="151"/>
      <c r="E105" s="151"/>
      <c r="F105" s="151">
        <v>97</v>
      </c>
      <c r="G105" s="152" t="str">
        <f t="shared" si="3"/>
        <v>61</v>
      </c>
      <c r="H105" s="164">
        <f t="shared" si="2"/>
        <v>6062.5</v>
      </c>
    </row>
    <row r="106" spans="4:8">
      <c r="D106" s="151"/>
      <c r="E106" s="151"/>
      <c r="F106" s="151">
        <v>98</v>
      </c>
      <c r="G106" s="152" t="str">
        <f t="shared" si="3"/>
        <v>62</v>
      </c>
      <c r="H106" s="164">
        <f t="shared" si="2"/>
        <v>6125</v>
      </c>
    </row>
    <row r="107" spans="4:8">
      <c r="D107" s="151"/>
      <c r="E107" s="151"/>
      <c r="F107" s="151">
        <v>99</v>
      </c>
      <c r="G107" s="152" t="str">
        <f t="shared" si="3"/>
        <v>63</v>
      </c>
      <c r="H107" s="164">
        <f t="shared" si="2"/>
        <v>6187.5</v>
      </c>
    </row>
    <row r="108" spans="4:8">
      <c r="D108" s="151"/>
      <c r="E108" s="151"/>
      <c r="F108" s="151">
        <v>100</v>
      </c>
      <c r="G108" s="152" t="str">
        <f t="shared" si="3"/>
        <v>64</v>
      </c>
      <c r="H108" s="164">
        <f t="shared" si="2"/>
        <v>6250</v>
      </c>
    </row>
    <row r="109" spans="4:8">
      <c r="D109" s="151"/>
      <c r="E109" s="151"/>
      <c r="F109" s="151">
        <v>101</v>
      </c>
      <c r="G109" s="152" t="str">
        <f t="shared" si="3"/>
        <v>65</v>
      </c>
      <c r="H109" s="164">
        <f t="shared" si="2"/>
        <v>6312.5</v>
      </c>
    </row>
    <row r="110" spans="4:8">
      <c r="D110" s="151"/>
      <c r="E110" s="151"/>
      <c r="F110" s="151">
        <v>102</v>
      </c>
      <c r="G110" s="152" t="str">
        <f t="shared" si="3"/>
        <v>66</v>
      </c>
      <c r="H110" s="164">
        <f t="shared" si="2"/>
        <v>6375</v>
      </c>
    </row>
    <row r="111" spans="4:8">
      <c r="D111" s="151"/>
      <c r="E111" s="151"/>
      <c r="F111" s="151">
        <v>103</v>
      </c>
      <c r="G111" s="152" t="str">
        <f t="shared" si="3"/>
        <v>67</v>
      </c>
      <c r="H111" s="164">
        <f t="shared" si="2"/>
        <v>6437.5</v>
      </c>
    </row>
    <row r="112" spans="4:8">
      <c r="D112" s="151"/>
      <c r="E112" s="151"/>
      <c r="F112" s="151">
        <v>104</v>
      </c>
      <c r="G112" s="152" t="str">
        <f t="shared" si="3"/>
        <v>68</v>
      </c>
      <c r="H112" s="164">
        <f t="shared" si="2"/>
        <v>6500</v>
      </c>
    </row>
    <row r="113" spans="4:8">
      <c r="D113" s="151"/>
      <c r="E113" s="151"/>
      <c r="F113" s="151">
        <v>105</v>
      </c>
      <c r="G113" s="152" t="str">
        <f t="shared" si="3"/>
        <v>69</v>
      </c>
      <c r="H113" s="164">
        <f t="shared" si="2"/>
        <v>6562.5</v>
      </c>
    </row>
    <row r="114" spans="4:8">
      <c r="D114" s="151"/>
      <c r="E114" s="151"/>
      <c r="F114" s="151">
        <v>106</v>
      </c>
      <c r="G114" s="152" t="str">
        <f t="shared" si="3"/>
        <v>6A</v>
      </c>
      <c r="H114" s="164">
        <f t="shared" si="2"/>
        <v>6625</v>
      </c>
    </row>
    <row r="115" spans="4:8">
      <c r="D115" s="151"/>
      <c r="E115" s="151"/>
      <c r="F115" s="151">
        <v>107</v>
      </c>
      <c r="G115" s="152" t="str">
        <f t="shared" si="3"/>
        <v>6B</v>
      </c>
      <c r="H115" s="164">
        <f t="shared" si="2"/>
        <v>6687.5</v>
      </c>
    </row>
    <row r="116" spans="4:8">
      <c r="D116" s="151"/>
      <c r="E116" s="151"/>
      <c r="F116" s="151">
        <v>108</v>
      </c>
      <c r="G116" s="152" t="str">
        <f t="shared" si="3"/>
        <v>6C</v>
      </c>
      <c r="H116" s="164">
        <f t="shared" si="2"/>
        <v>6750</v>
      </c>
    </row>
    <row r="117" spans="4:8">
      <c r="D117" s="151"/>
      <c r="E117" s="151"/>
      <c r="F117" s="151">
        <v>109</v>
      </c>
      <c r="G117" s="152" t="str">
        <f t="shared" si="3"/>
        <v>6D</v>
      </c>
      <c r="H117" s="164">
        <f t="shared" si="2"/>
        <v>6812.5</v>
      </c>
    </row>
    <row r="118" spans="4:8">
      <c r="D118" s="151"/>
      <c r="E118" s="151"/>
      <c r="F118" s="151">
        <v>110</v>
      </c>
      <c r="G118" s="152" t="str">
        <f t="shared" si="3"/>
        <v>6E</v>
      </c>
      <c r="H118" s="164">
        <f t="shared" si="2"/>
        <v>6875</v>
      </c>
    </row>
    <row r="119" spans="4:8">
      <c r="D119" s="151"/>
      <c r="E119" s="151"/>
      <c r="F119" s="151">
        <v>111</v>
      </c>
      <c r="G119" s="152" t="str">
        <f t="shared" si="3"/>
        <v>6F</v>
      </c>
      <c r="H119" s="164">
        <f t="shared" si="2"/>
        <v>6937.5</v>
      </c>
    </row>
    <row r="120" spans="4:8">
      <c r="D120" s="151"/>
      <c r="E120" s="151"/>
      <c r="F120" s="151">
        <v>112</v>
      </c>
      <c r="G120" s="152" t="str">
        <f t="shared" si="3"/>
        <v>70</v>
      </c>
      <c r="H120" s="164">
        <f t="shared" si="2"/>
        <v>7000</v>
      </c>
    </row>
    <row r="121" spans="4:8">
      <c r="D121" s="151"/>
      <c r="E121" s="151"/>
      <c r="F121" s="151">
        <v>113</v>
      </c>
      <c r="G121" s="152" t="str">
        <f t="shared" si="3"/>
        <v>71</v>
      </c>
      <c r="H121" s="164">
        <f t="shared" si="2"/>
        <v>7062.5</v>
      </c>
    </row>
    <row r="122" spans="4:8">
      <c r="D122" s="151"/>
      <c r="E122" s="151"/>
      <c r="F122" s="151">
        <v>114</v>
      </c>
      <c r="G122" s="152" t="str">
        <f t="shared" si="3"/>
        <v>72</v>
      </c>
      <c r="H122" s="164">
        <f t="shared" si="2"/>
        <v>7125</v>
      </c>
    </row>
    <row r="123" spans="4:8">
      <c r="D123" s="151"/>
      <c r="E123" s="151"/>
      <c r="F123" s="151">
        <v>115</v>
      </c>
      <c r="G123" s="152" t="str">
        <f t="shared" si="3"/>
        <v>73</v>
      </c>
      <c r="H123" s="164">
        <f t="shared" si="2"/>
        <v>7187.5</v>
      </c>
    </row>
    <row r="124" spans="4:8">
      <c r="D124" s="151"/>
      <c r="E124" s="151"/>
      <c r="F124" s="151">
        <v>116</v>
      </c>
      <c r="G124" s="152" t="str">
        <f t="shared" si="3"/>
        <v>74</v>
      </c>
      <c r="H124" s="164">
        <f t="shared" si="2"/>
        <v>7250</v>
      </c>
    </row>
    <row r="125" spans="4:8">
      <c r="D125" s="151"/>
      <c r="E125" s="151"/>
      <c r="F125" s="151">
        <v>117</v>
      </c>
      <c r="G125" s="152" t="str">
        <f t="shared" si="3"/>
        <v>75</v>
      </c>
      <c r="H125" s="164">
        <f t="shared" si="2"/>
        <v>7312.5</v>
      </c>
    </row>
    <row r="126" spans="4:8">
      <c r="D126" s="151"/>
      <c r="E126" s="151"/>
      <c r="F126" s="151">
        <v>118</v>
      </c>
      <c r="G126" s="152" t="str">
        <f t="shared" si="3"/>
        <v>76</v>
      </c>
      <c r="H126" s="164">
        <f t="shared" si="2"/>
        <v>7375</v>
      </c>
    </row>
    <row r="127" spans="4:8">
      <c r="D127" s="151"/>
      <c r="E127" s="151"/>
      <c r="F127" s="151">
        <v>119</v>
      </c>
      <c r="G127" s="152" t="str">
        <f t="shared" si="3"/>
        <v>77</v>
      </c>
      <c r="H127" s="164">
        <f t="shared" si="2"/>
        <v>7437.5</v>
      </c>
    </row>
    <row r="128" spans="4:8">
      <c r="D128" s="151"/>
      <c r="E128" s="151"/>
      <c r="F128" s="151">
        <v>120</v>
      </c>
      <c r="G128" s="152" t="str">
        <f t="shared" si="3"/>
        <v>78</v>
      </c>
      <c r="H128" s="164">
        <f t="shared" si="2"/>
        <v>7500</v>
      </c>
    </row>
    <row r="129" spans="4:8">
      <c r="D129" s="151"/>
      <c r="E129" s="151"/>
      <c r="F129" s="151">
        <v>121</v>
      </c>
      <c r="G129" s="152" t="str">
        <f t="shared" si="3"/>
        <v>79</v>
      </c>
      <c r="H129" s="164">
        <f t="shared" si="2"/>
        <v>7562.5</v>
      </c>
    </row>
    <row r="130" spans="4:8">
      <c r="D130" s="151"/>
      <c r="E130" s="151"/>
      <c r="F130" s="151">
        <v>122</v>
      </c>
      <c r="G130" s="152" t="str">
        <f t="shared" si="3"/>
        <v>7A</v>
      </c>
      <c r="H130" s="164">
        <f t="shared" si="2"/>
        <v>7625</v>
      </c>
    </row>
    <row r="131" spans="4:8">
      <c r="D131" s="151"/>
      <c r="E131" s="151"/>
      <c r="F131" s="151">
        <v>123</v>
      </c>
      <c r="G131" s="152" t="str">
        <f t="shared" si="3"/>
        <v>7B</v>
      </c>
      <c r="H131" s="164">
        <f t="shared" si="2"/>
        <v>7687.5</v>
      </c>
    </row>
    <row r="132" spans="4:8">
      <c r="D132" s="151"/>
      <c r="E132" s="151"/>
      <c r="F132" s="151">
        <v>124</v>
      </c>
      <c r="G132" s="152" t="str">
        <f t="shared" si="3"/>
        <v>7C</v>
      </c>
      <c r="H132" s="164">
        <f t="shared" si="2"/>
        <v>7750</v>
      </c>
    </row>
    <row r="133" spans="4:8">
      <c r="D133" s="151"/>
      <c r="E133" s="151"/>
      <c r="F133" s="151">
        <v>125</v>
      </c>
      <c r="G133" s="152" t="str">
        <f t="shared" si="3"/>
        <v>7D</v>
      </c>
      <c r="H133" s="164">
        <f t="shared" si="2"/>
        <v>7812.5</v>
      </c>
    </row>
    <row r="134" spans="4:8">
      <c r="D134" s="151"/>
      <c r="E134" s="151"/>
      <c r="F134" s="151">
        <v>126</v>
      </c>
      <c r="G134" s="152" t="str">
        <f t="shared" si="3"/>
        <v>7E</v>
      </c>
      <c r="H134" s="164">
        <f t="shared" si="2"/>
        <v>7875</v>
      </c>
    </row>
    <row r="135" spans="4:8">
      <c r="D135" s="151"/>
      <c r="E135" s="151"/>
      <c r="F135" s="151">
        <v>127</v>
      </c>
      <c r="G135" s="152" t="str">
        <f t="shared" si="3"/>
        <v>7F</v>
      </c>
      <c r="H135" s="164">
        <f t="shared" si="2"/>
        <v>7937.5</v>
      </c>
    </row>
    <row r="136" spans="4:8">
      <c r="D136" s="151"/>
      <c r="E136" s="151"/>
      <c r="F136" s="151">
        <v>128</v>
      </c>
      <c r="G136" s="152" t="str">
        <f t="shared" si="3"/>
        <v>80</v>
      </c>
      <c r="H136" s="164">
        <f t="shared" ref="H136:H199" si="4">$F136*$C$4</f>
        <v>8000</v>
      </c>
    </row>
    <row r="137" spans="4:8">
      <c r="D137" s="151"/>
      <c r="E137" s="151"/>
      <c r="F137" s="151">
        <v>129</v>
      </c>
      <c r="G137" s="152" t="str">
        <f t="shared" ref="G137:G200" si="5">REPT(0,2-LEN((DEC2HEX(F137))))&amp;(DEC2HEX(F137))</f>
        <v>81</v>
      </c>
      <c r="H137" s="164">
        <f t="shared" si="4"/>
        <v>8062.5</v>
      </c>
    </row>
    <row r="138" spans="4:8">
      <c r="D138" s="151"/>
      <c r="E138" s="151"/>
      <c r="F138" s="151">
        <v>130</v>
      </c>
      <c r="G138" s="152" t="str">
        <f t="shared" si="5"/>
        <v>82</v>
      </c>
      <c r="H138" s="164">
        <f t="shared" si="4"/>
        <v>8125</v>
      </c>
    </row>
    <row r="139" spans="4:8">
      <c r="D139" s="151"/>
      <c r="E139" s="151"/>
      <c r="F139" s="151">
        <v>131</v>
      </c>
      <c r="G139" s="152" t="str">
        <f t="shared" si="5"/>
        <v>83</v>
      </c>
      <c r="H139" s="164">
        <f t="shared" si="4"/>
        <v>8187.5</v>
      </c>
    </row>
    <row r="140" spans="4:8">
      <c r="D140" s="151"/>
      <c r="E140" s="151"/>
      <c r="F140" s="151">
        <v>132</v>
      </c>
      <c r="G140" s="152" t="str">
        <f t="shared" si="5"/>
        <v>84</v>
      </c>
      <c r="H140" s="164">
        <f t="shared" si="4"/>
        <v>8250</v>
      </c>
    </row>
    <row r="141" spans="4:8">
      <c r="D141" s="151"/>
      <c r="E141" s="151"/>
      <c r="F141" s="151">
        <v>133</v>
      </c>
      <c r="G141" s="152" t="str">
        <f t="shared" si="5"/>
        <v>85</v>
      </c>
      <c r="H141" s="164">
        <f t="shared" si="4"/>
        <v>8312.5</v>
      </c>
    </row>
    <row r="142" spans="4:8">
      <c r="D142" s="151"/>
      <c r="E142" s="151"/>
      <c r="F142" s="151">
        <v>134</v>
      </c>
      <c r="G142" s="152" t="str">
        <f t="shared" si="5"/>
        <v>86</v>
      </c>
      <c r="H142" s="164">
        <f t="shared" si="4"/>
        <v>8375</v>
      </c>
    </row>
    <row r="143" spans="4:8">
      <c r="D143" s="151"/>
      <c r="E143" s="151"/>
      <c r="F143" s="151">
        <v>135</v>
      </c>
      <c r="G143" s="152" t="str">
        <f t="shared" si="5"/>
        <v>87</v>
      </c>
      <c r="H143" s="164">
        <f t="shared" si="4"/>
        <v>8437.5</v>
      </c>
    </row>
    <row r="144" spans="4:8">
      <c r="D144" s="151"/>
      <c r="E144" s="151"/>
      <c r="F144" s="151">
        <v>136</v>
      </c>
      <c r="G144" s="152" t="str">
        <f t="shared" si="5"/>
        <v>88</v>
      </c>
      <c r="H144" s="164">
        <f t="shared" si="4"/>
        <v>8500</v>
      </c>
    </row>
    <row r="145" spans="4:8">
      <c r="D145" s="151"/>
      <c r="E145" s="151"/>
      <c r="F145" s="151">
        <v>137</v>
      </c>
      <c r="G145" s="152" t="str">
        <f t="shared" si="5"/>
        <v>89</v>
      </c>
      <c r="H145" s="164">
        <f t="shared" si="4"/>
        <v>8562.5</v>
      </c>
    </row>
    <row r="146" spans="4:8">
      <c r="D146" s="151"/>
      <c r="E146" s="151"/>
      <c r="F146" s="151">
        <v>138</v>
      </c>
      <c r="G146" s="152" t="str">
        <f t="shared" si="5"/>
        <v>8A</v>
      </c>
      <c r="H146" s="164">
        <f t="shared" si="4"/>
        <v>8625</v>
      </c>
    </row>
    <row r="147" spans="4:8">
      <c r="D147" s="151"/>
      <c r="E147" s="151"/>
      <c r="F147" s="151">
        <v>139</v>
      </c>
      <c r="G147" s="152" t="str">
        <f t="shared" si="5"/>
        <v>8B</v>
      </c>
      <c r="H147" s="164">
        <f t="shared" si="4"/>
        <v>8687.5</v>
      </c>
    </row>
    <row r="148" spans="4:8">
      <c r="D148" s="151"/>
      <c r="E148" s="151"/>
      <c r="F148" s="151">
        <v>140</v>
      </c>
      <c r="G148" s="152" t="str">
        <f t="shared" si="5"/>
        <v>8C</v>
      </c>
      <c r="H148" s="164">
        <f t="shared" si="4"/>
        <v>8750</v>
      </c>
    </row>
    <row r="149" spans="4:8">
      <c r="D149" s="151"/>
      <c r="E149" s="151"/>
      <c r="F149" s="151">
        <v>141</v>
      </c>
      <c r="G149" s="152" t="str">
        <f t="shared" si="5"/>
        <v>8D</v>
      </c>
      <c r="H149" s="164">
        <f t="shared" si="4"/>
        <v>8812.5</v>
      </c>
    </row>
    <row r="150" spans="4:8">
      <c r="D150" s="151"/>
      <c r="E150" s="151"/>
      <c r="F150" s="151">
        <v>142</v>
      </c>
      <c r="G150" s="152" t="str">
        <f t="shared" si="5"/>
        <v>8E</v>
      </c>
      <c r="H150" s="164">
        <f t="shared" si="4"/>
        <v>8875</v>
      </c>
    </row>
    <row r="151" spans="4:8">
      <c r="D151" s="151"/>
      <c r="E151" s="151"/>
      <c r="F151" s="151">
        <v>143</v>
      </c>
      <c r="G151" s="152" t="str">
        <f t="shared" si="5"/>
        <v>8F</v>
      </c>
      <c r="H151" s="164">
        <f t="shared" si="4"/>
        <v>8937.5</v>
      </c>
    </row>
    <row r="152" spans="4:8">
      <c r="D152" s="151"/>
      <c r="E152" s="151"/>
      <c r="F152" s="151">
        <v>144</v>
      </c>
      <c r="G152" s="152" t="str">
        <f t="shared" si="5"/>
        <v>90</v>
      </c>
      <c r="H152" s="164">
        <f t="shared" si="4"/>
        <v>9000</v>
      </c>
    </row>
    <row r="153" spans="4:8">
      <c r="D153" s="151"/>
      <c r="E153" s="151"/>
      <c r="F153" s="151">
        <v>145</v>
      </c>
      <c r="G153" s="152" t="str">
        <f t="shared" si="5"/>
        <v>91</v>
      </c>
      <c r="H153" s="164">
        <f t="shared" si="4"/>
        <v>9062.5</v>
      </c>
    </row>
    <row r="154" spans="4:8">
      <c r="D154" s="151"/>
      <c r="E154" s="151"/>
      <c r="F154" s="151">
        <v>146</v>
      </c>
      <c r="G154" s="152" t="str">
        <f t="shared" si="5"/>
        <v>92</v>
      </c>
      <c r="H154" s="164">
        <f t="shared" si="4"/>
        <v>9125</v>
      </c>
    </row>
    <row r="155" spans="4:8">
      <c r="D155" s="151"/>
      <c r="E155" s="151"/>
      <c r="F155" s="151">
        <v>147</v>
      </c>
      <c r="G155" s="152" t="str">
        <f t="shared" si="5"/>
        <v>93</v>
      </c>
      <c r="H155" s="164">
        <f t="shared" si="4"/>
        <v>9187.5</v>
      </c>
    </row>
    <row r="156" spans="4:8">
      <c r="D156" s="151"/>
      <c r="E156" s="151"/>
      <c r="F156" s="151">
        <v>148</v>
      </c>
      <c r="G156" s="152" t="str">
        <f t="shared" si="5"/>
        <v>94</v>
      </c>
      <c r="H156" s="164">
        <f t="shared" si="4"/>
        <v>9250</v>
      </c>
    </row>
    <row r="157" spans="4:8">
      <c r="D157" s="151"/>
      <c r="E157" s="151"/>
      <c r="F157" s="151">
        <v>149</v>
      </c>
      <c r="G157" s="152" t="str">
        <f t="shared" si="5"/>
        <v>95</v>
      </c>
      <c r="H157" s="164">
        <f t="shared" si="4"/>
        <v>9312.5</v>
      </c>
    </row>
    <row r="158" spans="4:8">
      <c r="D158" s="151"/>
      <c r="E158" s="151"/>
      <c r="F158" s="151">
        <v>150</v>
      </c>
      <c r="G158" s="152" t="str">
        <f t="shared" si="5"/>
        <v>96</v>
      </c>
      <c r="H158" s="164">
        <f t="shared" si="4"/>
        <v>9375</v>
      </c>
    </row>
    <row r="159" spans="4:8">
      <c r="D159" s="151"/>
      <c r="E159" s="151"/>
      <c r="F159" s="151">
        <v>151</v>
      </c>
      <c r="G159" s="152" t="str">
        <f t="shared" si="5"/>
        <v>97</v>
      </c>
      <c r="H159" s="164">
        <f t="shared" si="4"/>
        <v>9437.5</v>
      </c>
    </row>
    <row r="160" spans="4:8">
      <c r="D160" s="151"/>
      <c r="E160" s="151"/>
      <c r="F160" s="151">
        <v>152</v>
      </c>
      <c r="G160" s="152" t="str">
        <f t="shared" si="5"/>
        <v>98</v>
      </c>
      <c r="H160" s="164">
        <f t="shared" si="4"/>
        <v>9500</v>
      </c>
    </row>
    <row r="161" spans="4:8">
      <c r="D161" s="151"/>
      <c r="E161" s="151"/>
      <c r="F161" s="151">
        <v>153</v>
      </c>
      <c r="G161" s="152" t="str">
        <f t="shared" si="5"/>
        <v>99</v>
      </c>
      <c r="H161" s="164">
        <f t="shared" si="4"/>
        <v>9562.5</v>
      </c>
    </row>
    <row r="162" spans="4:8">
      <c r="D162" s="151"/>
      <c r="E162" s="151"/>
      <c r="F162" s="151">
        <v>154</v>
      </c>
      <c r="G162" s="152" t="str">
        <f t="shared" si="5"/>
        <v>9A</v>
      </c>
      <c r="H162" s="164">
        <f t="shared" si="4"/>
        <v>9625</v>
      </c>
    </row>
    <row r="163" spans="4:8">
      <c r="D163" s="151"/>
      <c r="E163" s="151"/>
      <c r="F163" s="151">
        <v>155</v>
      </c>
      <c r="G163" s="152" t="str">
        <f t="shared" si="5"/>
        <v>9B</v>
      </c>
      <c r="H163" s="164">
        <f t="shared" si="4"/>
        <v>9687.5</v>
      </c>
    </row>
    <row r="164" spans="4:8">
      <c r="D164" s="151"/>
      <c r="E164" s="151"/>
      <c r="F164" s="151">
        <v>156</v>
      </c>
      <c r="G164" s="152" t="str">
        <f t="shared" si="5"/>
        <v>9C</v>
      </c>
      <c r="H164" s="164">
        <f t="shared" si="4"/>
        <v>9750</v>
      </c>
    </row>
    <row r="165" spans="4:8">
      <c r="D165" s="151"/>
      <c r="E165" s="151"/>
      <c r="F165" s="151">
        <v>157</v>
      </c>
      <c r="G165" s="152" t="str">
        <f t="shared" si="5"/>
        <v>9D</v>
      </c>
      <c r="H165" s="164">
        <f t="shared" si="4"/>
        <v>9812.5</v>
      </c>
    </row>
    <row r="166" spans="4:8">
      <c r="D166" s="151"/>
      <c r="E166" s="151"/>
      <c r="F166" s="151">
        <v>158</v>
      </c>
      <c r="G166" s="152" t="str">
        <f t="shared" si="5"/>
        <v>9E</v>
      </c>
      <c r="H166" s="164">
        <f t="shared" si="4"/>
        <v>9875</v>
      </c>
    </row>
    <row r="167" spans="4:8">
      <c r="D167" s="151"/>
      <c r="E167" s="151"/>
      <c r="F167" s="151">
        <v>159</v>
      </c>
      <c r="G167" s="152" t="str">
        <f t="shared" si="5"/>
        <v>9F</v>
      </c>
      <c r="H167" s="164">
        <f t="shared" si="4"/>
        <v>9937.5</v>
      </c>
    </row>
    <row r="168" spans="4:8">
      <c r="D168" s="151"/>
      <c r="E168" s="151"/>
      <c r="F168" s="151">
        <v>160</v>
      </c>
      <c r="G168" s="152" t="str">
        <f t="shared" si="5"/>
        <v>A0</v>
      </c>
      <c r="H168" s="164">
        <f t="shared" si="4"/>
        <v>10000</v>
      </c>
    </row>
    <row r="169" spans="4:8">
      <c r="D169" s="151"/>
      <c r="E169" s="151"/>
      <c r="F169" s="151">
        <v>161</v>
      </c>
      <c r="G169" s="152" t="str">
        <f t="shared" si="5"/>
        <v>A1</v>
      </c>
      <c r="H169" s="164">
        <f t="shared" si="4"/>
        <v>10062.5</v>
      </c>
    </row>
    <row r="170" spans="4:8">
      <c r="D170" s="151"/>
      <c r="E170" s="151"/>
      <c r="F170" s="151">
        <v>162</v>
      </c>
      <c r="G170" s="152" t="str">
        <f t="shared" si="5"/>
        <v>A2</v>
      </c>
      <c r="H170" s="164">
        <f t="shared" si="4"/>
        <v>10125</v>
      </c>
    </row>
    <row r="171" spans="4:8">
      <c r="D171" s="151"/>
      <c r="E171" s="151"/>
      <c r="F171" s="151">
        <v>163</v>
      </c>
      <c r="G171" s="152" t="str">
        <f t="shared" si="5"/>
        <v>A3</v>
      </c>
      <c r="H171" s="164">
        <f t="shared" si="4"/>
        <v>10187.5</v>
      </c>
    </row>
    <row r="172" spans="4:8">
      <c r="D172" s="151"/>
      <c r="E172" s="151"/>
      <c r="F172" s="151">
        <v>164</v>
      </c>
      <c r="G172" s="152" t="str">
        <f t="shared" si="5"/>
        <v>A4</v>
      </c>
      <c r="H172" s="164">
        <f t="shared" si="4"/>
        <v>10250</v>
      </c>
    </row>
    <row r="173" spans="4:8">
      <c r="D173" s="151"/>
      <c r="E173" s="151"/>
      <c r="F173" s="151">
        <v>165</v>
      </c>
      <c r="G173" s="152" t="str">
        <f t="shared" si="5"/>
        <v>A5</v>
      </c>
      <c r="H173" s="164">
        <f t="shared" si="4"/>
        <v>10312.5</v>
      </c>
    </row>
    <row r="174" spans="4:8">
      <c r="D174" s="151"/>
      <c r="E174" s="151"/>
      <c r="F174" s="151">
        <v>166</v>
      </c>
      <c r="G174" s="152" t="str">
        <f t="shared" si="5"/>
        <v>A6</v>
      </c>
      <c r="H174" s="164">
        <f t="shared" si="4"/>
        <v>10375</v>
      </c>
    </row>
    <row r="175" spans="4:8">
      <c r="D175" s="151"/>
      <c r="E175" s="151"/>
      <c r="F175" s="151">
        <v>167</v>
      </c>
      <c r="G175" s="152" t="str">
        <f t="shared" si="5"/>
        <v>A7</v>
      </c>
      <c r="H175" s="164">
        <f t="shared" si="4"/>
        <v>10437.5</v>
      </c>
    </row>
    <row r="176" spans="4:8">
      <c r="D176" s="151"/>
      <c r="E176" s="151"/>
      <c r="F176" s="151">
        <v>168</v>
      </c>
      <c r="G176" s="152" t="str">
        <f t="shared" si="5"/>
        <v>A8</v>
      </c>
      <c r="H176" s="164">
        <f t="shared" si="4"/>
        <v>10500</v>
      </c>
    </row>
    <row r="177" spans="4:8">
      <c r="D177" s="151"/>
      <c r="E177" s="151"/>
      <c r="F177" s="151">
        <v>169</v>
      </c>
      <c r="G177" s="152" t="str">
        <f t="shared" si="5"/>
        <v>A9</v>
      </c>
      <c r="H177" s="164">
        <f t="shared" si="4"/>
        <v>10562.5</v>
      </c>
    </row>
    <row r="178" spans="4:8">
      <c r="D178" s="151"/>
      <c r="E178" s="151"/>
      <c r="F178" s="151">
        <v>170</v>
      </c>
      <c r="G178" s="152" t="str">
        <f t="shared" si="5"/>
        <v>AA</v>
      </c>
      <c r="H178" s="164">
        <f t="shared" si="4"/>
        <v>10625</v>
      </c>
    </row>
    <row r="179" spans="4:8">
      <c r="D179" s="151"/>
      <c r="E179" s="151"/>
      <c r="F179" s="151">
        <v>171</v>
      </c>
      <c r="G179" s="152" t="str">
        <f t="shared" si="5"/>
        <v>AB</v>
      </c>
      <c r="H179" s="164">
        <f t="shared" si="4"/>
        <v>10687.5</v>
      </c>
    </row>
    <row r="180" spans="4:8">
      <c r="D180" s="151"/>
      <c r="E180" s="151"/>
      <c r="F180" s="151">
        <v>172</v>
      </c>
      <c r="G180" s="152" t="str">
        <f t="shared" si="5"/>
        <v>AC</v>
      </c>
      <c r="H180" s="164">
        <f t="shared" si="4"/>
        <v>10750</v>
      </c>
    </row>
    <row r="181" spans="4:8">
      <c r="D181" s="151"/>
      <c r="E181" s="151"/>
      <c r="F181" s="151">
        <v>173</v>
      </c>
      <c r="G181" s="152" t="str">
        <f t="shared" si="5"/>
        <v>AD</v>
      </c>
      <c r="H181" s="164">
        <f t="shared" si="4"/>
        <v>10812.5</v>
      </c>
    </row>
    <row r="182" spans="4:8">
      <c r="D182" s="151"/>
      <c r="E182" s="151"/>
      <c r="F182" s="151">
        <v>174</v>
      </c>
      <c r="G182" s="152" t="str">
        <f t="shared" si="5"/>
        <v>AE</v>
      </c>
      <c r="H182" s="164">
        <f t="shared" si="4"/>
        <v>10875</v>
      </c>
    </row>
    <row r="183" spans="4:8">
      <c r="D183" s="151"/>
      <c r="E183" s="151"/>
      <c r="F183" s="151">
        <v>175</v>
      </c>
      <c r="G183" s="152" t="str">
        <f t="shared" si="5"/>
        <v>AF</v>
      </c>
      <c r="H183" s="164">
        <f t="shared" si="4"/>
        <v>10937.5</v>
      </c>
    </row>
    <row r="184" spans="4:8">
      <c r="D184" s="151"/>
      <c r="E184" s="151"/>
      <c r="F184" s="151">
        <v>176</v>
      </c>
      <c r="G184" s="152" t="str">
        <f t="shared" si="5"/>
        <v>B0</v>
      </c>
      <c r="H184" s="164">
        <f t="shared" si="4"/>
        <v>11000</v>
      </c>
    </row>
    <row r="185" spans="4:8">
      <c r="D185" s="151"/>
      <c r="E185" s="151"/>
      <c r="F185" s="151">
        <v>177</v>
      </c>
      <c r="G185" s="152" t="str">
        <f t="shared" si="5"/>
        <v>B1</v>
      </c>
      <c r="H185" s="164">
        <f t="shared" si="4"/>
        <v>11062.5</v>
      </c>
    </row>
    <row r="186" spans="4:8">
      <c r="D186" s="151"/>
      <c r="E186" s="151"/>
      <c r="F186" s="151">
        <v>178</v>
      </c>
      <c r="G186" s="152" t="str">
        <f t="shared" si="5"/>
        <v>B2</v>
      </c>
      <c r="H186" s="164">
        <f t="shared" si="4"/>
        <v>11125</v>
      </c>
    </row>
    <row r="187" spans="4:8">
      <c r="D187" s="151"/>
      <c r="E187" s="151"/>
      <c r="F187" s="151">
        <v>179</v>
      </c>
      <c r="G187" s="152" t="str">
        <f t="shared" si="5"/>
        <v>B3</v>
      </c>
      <c r="H187" s="164">
        <f t="shared" si="4"/>
        <v>11187.5</v>
      </c>
    </row>
    <row r="188" spans="4:8">
      <c r="D188" s="151"/>
      <c r="E188" s="151"/>
      <c r="F188" s="151">
        <v>180</v>
      </c>
      <c r="G188" s="152" t="str">
        <f t="shared" si="5"/>
        <v>B4</v>
      </c>
      <c r="H188" s="164">
        <f t="shared" si="4"/>
        <v>11250</v>
      </c>
    </row>
    <row r="189" spans="4:8">
      <c r="D189" s="151"/>
      <c r="E189" s="151"/>
      <c r="F189" s="151">
        <v>181</v>
      </c>
      <c r="G189" s="152" t="str">
        <f t="shared" si="5"/>
        <v>B5</v>
      </c>
      <c r="H189" s="164">
        <f t="shared" si="4"/>
        <v>11312.5</v>
      </c>
    </row>
    <row r="190" spans="4:8">
      <c r="D190" s="151"/>
      <c r="E190" s="151"/>
      <c r="F190" s="151">
        <v>182</v>
      </c>
      <c r="G190" s="152" t="str">
        <f t="shared" si="5"/>
        <v>B6</v>
      </c>
      <c r="H190" s="164">
        <f t="shared" si="4"/>
        <v>11375</v>
      </c>
    </row>
    <row r="191" spans="4:8">
      <c r="D191" s="151"/>
      <c r="E191" s="151"/>
      <c r="F191" s="151">
        <v>183</v>
      </c>
      <c r="G191" s="152" t="str">
        <f t="shared" si="5"/>
        <v>B7</v>
      </c>
      <c r="H191" s="164">
        <f t="shared" si="4"/>
        <v>11437.5</v>
      </c>
    </row>
    <row r="192" spans="4:8">
      <c r="D192" s="151"/>
      <c r="E192" s="151"/>
      <c r="F192" s="151">
        <v>184</v>
      </c>
      <c r="G192" s="152" t="str">
        <f t="shared" si="5"/>
        <v>B8</v>
      </c>
      <c r="H192" s="164">
        <f t="shared" si="4"/>
        <v>11500</v>
      </c>
    </row>
    <row r="193" spans="4:8">
      <c r="D193" s="151"/>
      <c r="E193" s="151"/>
      <c r="F193" s="151">
        <v>185</v>
      </c>
      <c r="G193" s="152" t="str">
        <f t="shared" si="5"/>
        <v>B9</v>
      </c>
      <c r="H193" s="164">
        <f t="shared" si="4"/>
        <v>11562.5</v>
      </c>
    </row>
    <row r="194" spans="4:8">
      <c r="D194" s="151"/>
      <c r="E194" s="151"/>
      <c r="F194" s="151">
        <v>186</v>
      </c>
      <c r="G194" s="152" t="str">
        <f t="shared" si="5"/>
        <v>BA</v>
      </c>
      <c r="H194" s="164">
        <f t="shared" si="4"/>
        <v>11625</v>
      </c>
    </row>
    <row r="195" spans="4:8">
      <c r="D195" s="151"/>
      <c r="E195" s="151"/>
      <c r="F195" s="151">
        <v>187</v>
      </c>
      <c r="G195" s="152" t="str">
        <f t="shared" si="5"/>
        <v>BB</v>
      </c>
      <c r="H195" s="164">
        <f t="shared" si="4"/>
        <v>11687.5</v>
      </c>
    </row>
    <row r="196" spans="4:8">
      <c r="D196" s="151"/>
      <c r="E196" s="151"/>
      <c r="F196" s="151">
        <v>188</v>
      </c>
      <c r="G196" s="152" t="str">
        <f t="shared" si="5"/>
        <v>BC</v>
      </c>
      <c r="H196" s="164">
        <f t="shared" si="4"/>
        <v>11750</v>
      </c>
    </row>
    <row r="197" spans="4:8">
      <c r="D197" s="151"/>
      <c r="E197" s="151"/>
      <c r="F197" s="151">
        <v>189</v>
      </c>
      <c r="G197" s="152" t="str">
        <f t="shared" si="5"/>
        <v>BD</v>
      </c>
      <c r="H197" s="164">
        <f t="shared" si="4"/>
        <v>11812.5</v>
      </c>
    </row>
    <row r="198" spans="4:8">
      <c r="D198" s="151"/>
      <c r="E198" s="151"/>
      <c r="F198" s="151">
        <v>190</v>
      </c>
      <c r="G198" s="152" t="str">
        <f t="shared" si="5"/>
        <v>BE</v>
      </c>
      <c r="H198" s="164">
        <f t="shared" si="4"/>
        <v>11875</v>
      </c>
    </row>
    <row r="199" spans="4:8">
      <c r="D199" s="151"/>
      <c r="E199" s="151"/>
      <c r="F199" s="151">
        <v>191</v>
      </c>
      <c r="G199" s="152" t="str">
        <f t="shared" si="5"/>
        <v>BF</v>
      </c>
      <c r="H199" s="164">
        <f t="shared" si="4"/>
        <v>11937.5</v>
      </c>
    </row>
    <row r="200" spans="4:8">
      <c r="D200" s="151"/>
      <c r="E200" s="151"/>
      <c r="F200" s="151">
        <v>192</v>
      </c>
      <c r="G200" s="152" t="str">
        <f t="shared" si="5"/>
        <v>C0</v>
      </c>
      <c r="H200" s="164">
        <f t="shared" ref="H200:H263" si="6">$F200*$C$4</f>
        <v>12000</v>
      </c>
    </row>
    <row r="201" spans="4:8">
      <c r="D201" s="151"/>
      <c r="E201" s="151"/>
      <c r="F201" s="151">
        <v>193</v>
      </c>
      <c r="G201" s="152" t="str">
        <f t="shared" ref="G201:G263" si="7">REPT(0,2-LEN((DEC2HEX(F201))))&amp;(DEC2HEX(F201))</f>
        <v>C1</v>
      </c>
      <c r="H201" s="164">
        <f t="shared" si="6"/>
        <v>12062.5</v>
      </c>
    </row>
    <row r="202" spans="4:8">
      <c r="D202" s="151"/>
      <c r="E202" s="151"/>
      <c r="F202" s="151">
        <v>194</v>
      </c>
      <c r="G202" s="152" t="str">
        <f t="shared" si="7"/>
        <v>C2</v>
      </c>
      <c r="H202" s="164">
        <f t="shared" si="6"/>
        <v>12125</v>
      </c>
    </row>
    <row r="203" spans="4:8">
      <c r="D203" s="151"/>
      <c r="E203" s="151"/>
      <c r="F203" s="151">
        <v>195</v>
      </c>
      <c r="G203" s="152" t="str">
        <f t="shared" si="7"/>
        <v>C3</v>
      </c>
      <c r="H203" s="164">
        <f t="shared" si="6"/>
        <v>12187.5</v>
      </c>
    </row>
    <row r="204" spans="4:8">
      <c r="D204" s="151"/>
      <c r="E204" s="151"/>
      <c r="F204" s="151">
        <v>196</v>
      </c>
      <c r="G204" s="152" t="str">
        <f t="shared" si="7"/>
        <v>C4</v>
      </c>
      <c r="H204" s="164">
        <f t="shared" si="6"/>
        <v>12250</v>
      </c>
    </row>
    <row r="205" spans="4:8">
      <c r="D205" s="151"/>
      <c r="E205" s="151"/>
      <c r="F205" s="151">
        <v>197</v>
      </c>
      <c r="G205" s="152" t="str">
        <f t="shared" si="7"/>
        <v>C5</v>
      </c>
      <c r="H205" s="164">
        <f t="shared" si="6"/>
        <v>12312.5</v>
      </c>
    </row>
    <row r="206" spans="4:8">
      <c r="D206" s="151"/>
      <c r="E206" s="151"/>
      <c r="F206" s="151">
        <v>198</v>
      </c>
      <c r="G206" s="152" t="str">
        <f t="shared" si="7"/>
        <v>C6</v>
      </c>
      <c r="H206" s="164">
        <f t="shared" si="6"/>
        <v>12375</v>
      </c>
    </row>
    <row r="207" spans="4:8">
      <c r="D207" s="151"/>
      <c r="E207" s="151"/>
      <c r="F207" s="151">
        <v>199</v>
      </c>
      <c r="G207" s="152" t="str">
        <f t="shared" si="7"/>
        <v>C7</v>
      </c>
      <c r="H207" s="164">
        <f t="shared" si="6"/>
        <v>12437.5</v>
      </c>
    </row>
    <row r="208" spans="4:8">
      <c r="D208" s="151"/>
      <c r="E208" s="151"/>
      <c r="F208" s="151">
        <v>200</v>
      </c>
      <c r="G208" s="152" t="str">
        <f t="shared" si="7"/>
        <v>C8</v>
      </c>
      <c r="H208" s="164">
        <f t="shared" si="6"/>
        <v>12500</v>
      </c>
    </row>
    <row r="209" spans="4:8">
      <c r="D209" s="151"/>
      <c r="E209" s="151"/>
      <c r="F209" s="151">
        <v>201</v>
      </c>
      <c r="G209" s="152" t="str">
        <f t="shared" si="7"/>
        <v>C9</v>
      </c>
      <c r="H209" s="164">
        <f t="shared" si="6"/>
        <v>12562.5</v>
      </c>
    </row>
    <row r="210" spans="4:8">
      <c r="D210" s="151"/>
      <c r="E210" s="151"/>
      <c r="F210" s="151">
        <v>202</v>
      </c>
      <c r="G210" s="152" t="str">
        <f t="shared" si="7"/>
        <v>CA</v>
      </c>
      <c r="H210" s="164">
        <f t="shared" si="6"/>
        <v>12625</v>
      </c>
    </row>
    <row r="211" spans="4:8">
      <c r="D211" s="151"/>
      <c r="E211" s="151"/>
      <c r="F211" s="151">
        <v>203</v>
      </c>
      <c r="G211" s="152" t="str">
        <f t="shared" si="7"/>
        <v>CB</v>
      </c>
      <c r="H211" s="164">
        <f t="shared" si="6"/>
        <v>12687.5</v>
      </c>
    </row>
    <row r="212" spans="4:8">
      <c r="D212" s="151"/>
      <c r="E212" s="151"/>
      <c r="F212" s="151">
        <v>204</v>
      </c>
      <c r="G212" s="152" t="str">
        <f t="shared" si="7"/>
        <v>CC</v>
      </c>
      <c r="H212" s="164">
        <f t="shared" si="6"/>
        <v>12750</v>
      </c>
    </row>
    <row r="213" spans="4:8">
      <c r="D213" s="151"/>
      <c r="E213" s="151"/>
      <c r="F213" s="151">
        <v>205</v>
      </c>
      <c r="G213" s="152" t="str">
        <f t="shared" si="7"/>
        <v>CD</v>
      </c>
      <c r="H213" s="164">
        <f t="shared" si="6"/>
        <v>12812.5</v>
      </c>
    </row>
    <row r="214" spans="4:8">
      <c r="D214" s="151"/>
      <c r="E214" s="151"/>
      <c r="F214" s="151">
        <v>206</v>
      </c>
      <c r="G214" s="152" t="str">
        <f t="shared" si="7"/>
        <v>CE</v>
      </c>
      <c r="H214" s="164">
        <f t="shared" si="6"/>
        <v>12875</v>
      </c>
    </row>
    <row r="215" spans="4:8">
      <c r="D215" s="151"/>
      <c r="E215" s="151"/>
      <c r="F215" s="151">
        <v>207</v>
      </c>
      <c r="G215" s="152" t="str">
        <f t="shared" si="7"/>
        <v>CF</v>
      </c>
      <c r="H215" s="164">
        <f t="shared" si="6"/>
        <v>12937.5</v>
      </c>
    </row>
    <row r="216" spans="4:8">
      <c r="D216" s="151"/>
      <c r="E216" s="151"/>
      <c r="F216" s="151">
        <v>208</v>
      </c>
      <c r="G216" s="152" t="str">
        <f t="shared" si="7"/>
        <v>D0</v>
      </c>
      <c r="H216" s="164">
        <f t="shared" si="6"/>
        <v>13000</v>
      </c>
    </row>
    <row r="217" spans="4:8">
      <c r="D217" s="151"/>
      <c r="E217" s="151"/>
      <c r="F217" s="151">
        <v>209</v>
      </c>
      <c r="G217" s="152" t="str">
        <f t="shared" si="7"/>
        <v>D1</v>
      </c>
      <c r="H217" s="164">
        <f t="shared" si="6"/>
        <v>13062.5</v>
      </c>
    </row>
    <row r="218" spans="4:8">
      <c r="D218" s="151"/>
      <c r="E218" s="151"/>
      <c r="F218" s="151">
        <v>210</v>
      </c>
      <c r="G218" s="152" t="str">
        <f t="shared" si="7"/>
        <v>D2</v>
      </c>
      <c r="H218" s="164">
        <f t="shared" si="6"/>
        <v>13125</v>
      </c>
    </row>
    <row r="219" spans="4:8">
      <c r="D219" s="151"/>
      <c r="E219" s="151"/>
      <c r="F219" s="151">
        <v>211</v>
      </c>
      <c r="G219" s="152" t="str">
        <f t="shared" si="7"/>
        <v>D3</v>
      </c>
      <c r="H219" s="164">
        <f t="shared" si="6"/>
        <v>13187.5</v>
      </c>
    </row>
    <row r="220" spans="4:8">
      <c r="D220" s="151"/>
      <c r="E220" s="151"/>
      <c r="F220" s="151">
        <v>212</v>
      </c>
      <c r="G220" s="152" t="str">
        <f t="shared" si="7"/>
        <v>D4</v>
      </c>
      <c r="H220" s="164">
        <f t="shared" si="6"/>
        <v>13250</v>
      </c>
    </row>
    <row r="221" spans="4:8">
      <c r="D221" s="151"/>
      <c r="E221" s="151"/>
      <c r="F221" s="151">
        <v>213</v>
      </c>
      <c r="G221" s="152" t="str">
        <f t="shared" si="7"/>
        <v>D5</v>
      </c>
      <c r="H221" s="164">
        <f t="shared" si="6"/>
        <v>13312.5</v>
      </c>
    </row>
    <row r="222" spans="4:8">
      <c r="D222" s="151"/>
      <c r="E222" s="151"/>
      <c r="F222" s="151">
        <v>214</v>
      </c>
      <c r="G222" s="152" t="str">
        <f t="shared" si="7"/>
        <v>D6</v>
      </c>
      <c r="H222" s="164">
        <f t="shared" si="6"/>
        <v>13375</v>
      </c>
    </row>
    <row r="223" spans="4:8">
      <c r="D223" s="151"/>
      <c r="E223" s="151"/>
      <c r="F223" s="151">
        <v>215</v>
      </c>
      <c r="G223" s="152" t="str">
        <f t="shared" si="7"/>
        <v>D7</v>
      </c>
      <c r="H223" s="164">
        <f t="shared" si="6"/>
        <v>13437.5</v>
      </c>
    </row>
    <row r="224" spans="4:8">
      <c r="D224" s="151"/>
      <c r="E224" s="151"/>
      <c r="F224" s="151">
        <v>216</v>
      </c>
      <c r="G224" s="152" t="str">
        <f t="shared" si="7"/>
        <v>D8</v>
      </c>
      <c r="H224" s="164">
        <f t="shared" si="6"/>
        <v>13500</v>
      </c>
    </row>
    <row r="225" spans="4:8">
      <c r="D225" s="151"/>
      <c r="E225" s="151"/>
      <c r="F225" s="151">
        <v>217</v>
      </c>
      <c r="G225" s="152" t="str">
        <f t="shared" si="7"/>
        <v>D9</v>
      </c>
      <c r="H225" s="164">
        <f t="shared" si="6"/>
        <v>13562.5</v>
      </c>
    </row>
    <row r="226" spans="4:8">
      <c r="D226" s="151"/>
      <c r="E226" s="151"/>
      <c r="F226" s="151">
        <v>218</v>
      </c>
      <c r="G226" s="152" t="str">
        <f t="shared" si="7"/>
        <v>DA</v>
      </c>
      <c r="H226" s="164">
        <f t="shared" si="6"/>
        <v>13625</v>
      </c>
    </row>
    <row r="227" spans="4:8">
      <c r="D227" s="151"/>
      <c r="E227" s="151"/>
      <c r="F227" s="151">
        <v>219</v>
      </c>
      <c r="G227" s="152" t="str">
        <f t="shared" si="7"/>
        <v>DB</v>
      </c>
      <c r="H227" s="164">
        <f t="shared" si="6"/>
        <v>13687.5</v>
      </c>
    </row>
    <row r="228" spans="4:8">
      <c r="D228" s="151"/>
      <c r="E228" s="151"/>
      <c r="F228" s="151">
        <v>220</v>
      </c>
      <c r="G228" s="152" t="str">
        <f t="shared" si="7"/>
        <v>DC</v>
      </c>
      <c r="H228" s="164">
        <f t="shared" si="6"/>
        <v>13750</v>
      </c>
    </row>
    <row r="229" spans="4:8">
      <c r="D229" s="151"/>
      <c r="E229" s="151"/>
      <c r="F229" s="151">
        <v>221</v>
      </c>
      <c r="G229" s="152" t="str">
        <f t="shared" si="7"/>
        <v>DD</v>
      </c>
      <c r="H229" s="164">
        <f t="shared" si="6"/>
        <v>13812.5</v>
      </c>
    </row>
    <row r="230" spans="4:8">
      <c r="D230" s="151"/>
      <c r="E230" s="151"/>
      <c r="F230" s="151">
        <v>222</v>
      </c>
      <c r="G230" s="152" t="str">
        <f t="shared" si="7"/>
        <v>DE</v>
      </c>
      <c r="H230" s="164">
        <f t="shared" si="6"/>
        <v>13875</v>
      </c>
    </row>
    <row r="231" spans="4:8">
      <c r="D231" s="151"/>
      <c r="E231" s="151"/>
      <c r="F231" s="151">
        <v>223</v>
      </c>
      <c r="G231" s="152" t="str">
        <f t="shared" si="7"/>
        <v>DF</v>
      </c>
      <c r="H231" s="164">
        <f t="shared" si="6"/>
        <v>13937.5</v>
      </c>
    </row>
    <row r="232" spans="4:8">
      <c r="D232" s="151"/>
      <c r="E232" s="151"/>
      <c r="F232" s="151">
        <v>224</v>
      </c>
      <c r="G232" s="152" t="str">
        <f t="shared" si="7"/>
        <v>E0</v>
      </c>
      <c r="H232" s="164">
        <f t="shared" si="6"/>
        <v>14000</v>
      </c>
    </row>
    <row r="233" spans="4:8">
      <c r="D233" s="151"/>
      <c r="E233" s="151"/>
      <c r="F233" s="151">
        <v>225</v>
      </c>
      <c r="G233" s="152" t="str">
        <f t="shared" si="7"/>
        <v>E1</v>
      </c>
      <c r="H233" s="164">
        <f t="shared" si="6"/>
        <v>14062.5</v>
      </c>
    </row>
    <row r="234" spans="4:8">
      <c r="D234" s="151"/>
      <c r="E234" s="151"/>
      <c r="F234" s="151">
        <v>226</v>
      </c>
      <c r="G234" s="152" t="str">
        <f t="shared" si="7"/>
        <v>E2</v>
      </c>
      <c r="H234" s="164">
        <f t="shared" si="6"/>
        <v>14125</v>
      </c>
    </row>
    <row r="235" spans="4:8">
      <c r="D235" s="151"/>
      <c r="E235" s="151"/>
      <c r="F235" s="151">
        <v>227</v>
      </c>
      <c r="G235" s="152" t="str">
        <f t="shared" si="7"/>
        <v>E3</v>
      </c>
      <c r="H235" s="164">
        <f t="shared" si="6"/>
        <v>14187.5</v>
      </c>
    </row>
    <row r="236" spans="4:8">
      <c r="D236" s="151"/>
      <c r="E236" s="151"/>
      <c r="F236" s="151">
        <v>228</v>
      </c>
      <c r="G236" s="152" t="str">
        <f t="shared" si="7"/>
        <v>E4</v>
      </c>
      <c r="H236" s="164">
        <f t="shared" si="6"/>
        <v>14250</v>
      </c>
    </row>
    <row r="237" spans="4:8">
      <c r="D237" s="151"/>
      <c r="E237" s="151"/>
      <c r="F237" s="151">
        <v>229</v>
      </c>
      <c r="G237" s="152" t="str">
        <f t="shared" si="7"/>
        <v>E5</v>
      </c>
      <c r="H237" s="164">
        <f t="shared" si="6"/>
        <v>14312.5</v>
      </c>
    </row>
    <row r="238" spans="4:8">
      <c r="D238" s="151"/>
      <c r="E238" s="151"/>
      <c r="F238" s="151">
        <v>230</v>
      </c>
      <c r="G238" s="152" t="str">
        <f t="shared" si="7"/>
        <v>E6</v>
      </c>
      <c r="H238" s="164">
        <f t="shared" si="6"/>
        <v>14375</v>
      </c>
    </row>
    <row r="239" spans="4:8">
      <c r="D239" s="151"/>
      <c r="E239" s="151"/>
      <c r="F239" s="151">
        <v>231</v>
      </c>
      <c r="G239" s="152" t="str">
        <f t="shared" si="7"/>
        <v>E7</v>
      </c>
      <c r="H239" s="164">
        <f t="shared" si="6"/>
        <v>14437.5</v>
      </c>
    </row>
    <row r="240" spans="4:8">
      <c r="D240" s="151"/>
      <c r="E240" s="151"/>
      <c r="F240" s="151">
        <v>232</v>
      </c>
      <c r="G240" s="152" t="str">
        <f t="shared" si="7"/>
        <v>E8</v>
      </c>
      <c r="H240" s="164">
        <f t="shared" si="6"/>
        <v>14500</v>
      </c>
    </row>
    <row r="241" spans="4:8">
      <c r="D241" s="151"/>
      <c r="E241" s="151"/>
      <c r="F241" s="151">
        <v>233</v>
      </c>
      <c r="G241" s="152" t="str">
        <f t="shared" si="7"/>
        <v>E9</v>
      </c>
      <c r="H241" s="164">
        <f t="shared" si="6"/>
        <v>14562.5</v>
      </c>
    </row>
    <row r="242" spans="4:8">
      <c r="D242" s="151"/>
      <c r="E242" s="151"/>
      <c r="F242" s="151">
        <v>234</v>
      </c>
      <c r="G242" s="152" t="str">
        <f t="shared" si="7"/>
        <v>EA</v>
      </c>
      <c r="H242" s="164">
        <f t="shared" si="6"/>
        <v>14625</v>
      </c>
    </row>
    <row r="243" spans="4:8">
      <c r="D243" s="151"/>
      <c r="E243" s="151"/>
      <c r="F243" s="151">
        <v>235</v>
      </c>
      <c r="G243" s="152" t="str">
        <f t="shared" si="7"/>
        <v>EB</v>
      </c>
      <c r="H243" s="164">
        <f t="shared" si="6"/>
        <v>14687.5</v>
      </c>
    </row>
    <row r="244" spans="4:8">
      <c r="D244" s="151"/>
      <c r="E244" s="151"/>
      <c r="F244" s="151">
        <v>236</v>
      </c>
      <c r="G244" s="152" t="str">
        <f t="shared" si="7"/>
        <v>EC</v>
      </c>
      <c r="H244" s="164">
        <f t="shared" si="6"/>
        <v>14750</v>
      </c>
    </row>
    <row r="245" spans="4:8">
      <c r="D245" s="151"/>
      <c r="E245" s="151"/>
      <c r="F245" s="151">
        <v>237</v>
      </c>
      <c r="G245" s="152" t="str">
        <f t="shared" si="7"/>
        <v>ED</v>
      </c>
      <c r="H245" s="164">
        <f t="shared" si="6"/>
        <v>14812.5</v>
      </c>
    </row>
    <row r="246" spans="4:8">
      <c r="D246" s="151"/>
      <c r="E246" s="151"/>
      <c r="F246" s="151">
        <v>238</v>
      </c>
      <c r="G246" s="152" t="str">
        <f t="shared" si="7"/>
        <v>EE</v>
      </c>
      <c r="H246" s="164">
        <f t="shared" si="6"/>
        <v>14875</v>
      </c>
    </row>
    <row r="247" spans="4:8">
      <c r="D247" s="151"/>
      <c r="E247" s="151"/>
      <c r="F247" s="151">
        <v>239</v>
      </c>
      <c r="G247" s="152" t="str">
        <f t="shared" si="7"/>
        <v>EF</v>
      </c>
      <c r="H247" s="164">
        <f t="shared" si="6"/>
        <v>14937.5</v>
      </c>
    </row>
    <row r="248" spans="4:8">
      <c r="D248" s="151"/>
      <c r="E248" s="151"/>
      <c r="F248" s="151">
        <v>240</v>
      </c>
      <c r="G248" s="152" t="str">
        <f t="shared" si="7"/>
        <v>F0</v>
      </c>
      <c r="H248" s="164">
        <f t="shared" si="6"/>
        <v>15000</v>
      </c>
    </row>
    <row r="249" spans="4:8">
      <c r="D249" s="151"/>
      <c r="E249" s="151"/>
      <c r="F249" s="151">
        <v>241</v>
      </c>
      <c r="G249" s="152" t="str">
        <f t="shared" si="7"/>
        <v>F1</v>
      </c>
      <c r="H249" s="164">
        <f t="shared" si="6"/>
        <v>15062.5</v>
      </c>
    </row>
    <row r="250" spans="4:8">
      <c r="D250" s="151"/>
      <c r="E250" s="151"/>
      <c r="F250" s="151">
        <v>242</v>
      </c>
      <c r="G250" s="152" t="str">
        <f t="shared" si="7"/>
        <v>F2</v>
      </c>
      <c r="H250" s="164">
        <f t="shared" si="6"/>
        <v>15125</v>
      </c>
    </row>
    <row r="251" spans="4:8">
      <c r="D251" s="151"/>
      <c r="E251" s="151"/>
      <c r="F251" s="151">
        <v>243</v>
      </c>
      <c r="G251" s="152" t="str">
        <f t="shared" si="7"/>
        <v>F3</v>
      </c>
      <c r="H251" s="164">
        <f t="shared" si="6"/>
        <v>15187.5</v>
      </c>
    </row>
    <row r="252" spans="4:8">
      <c r="D252" s="151"/>
      <c r="E252" s="151"/>
      <c r="F252" s="151">
        <v>244</v>
      </c>
      <c r="G252" s="152" t="str">
        <f t="shared" si="7"/>
        <v>F4</v>
      </c>
      <c r="H252" s="164">
        <f t="shared" si="6"/>
        <v>15250</v>
      </c>
    </row>
    <row r="253" spans="4:8">
      <c r="D253" s="151"/>
      <c r="E253" s="151"/>
      <c r="F253" s="151">
        <v>245</v>
      </c>
      <c r="G253" s="152" t="str">
        <f t="shared" si="7"/>
        <v>F5</v>
      </c>
      <c r="H253" s="164">
        <f t="shared" si="6"/>
        <v>15312.5</v>
      </c>
    </row>
    <row r="254" spans="4:8">
      <c r="D254" s="151"/>
      <c r="E254" s="151"/>
      <c r="F254" s="151">
        <v>246</v>
      </c>
      <c r="G254" s="152" t="str">
        <f t="shared" si="7"/>
        <v>F6</v>
      </c>
      <c r="H254" s="164">
        <f t="shared" si="6"/>
        <v>15375</v>
      </c>
    </row>
    <row r="255" spans="4:8">
      <c r="D255" s="151"/>
      <c r="E255" s="151"/>
      <c r="F255" s="151">
        <v>247</v>
      </c>
      <c r="G255" s="152" t="str">
        <f t="shared" si="7"/>
        <v>F7</v>
      </c>
      <c r="H255" s="164">
        <f t="shared" si="6"/>
        <v>15437.5</v>
      </c>
    </row>
    <row r="256" spans="4:8">
      <c r="D256" s="151"/>
      <c r="E256" s="151"/>
      <c r="F256" s="151">
        <v>248</v>
      </c>
      <c r="G256" s="152" t="str">
        <f t="shared" si="7"/>
        <v>F8</v>
      </c>
      <c r="H256" s="164">
        <f t="shared" si="6"/>
        <v>15500</v>
      </c>
    </row>
    <row r="257" spans="4:8">
      <c r="D257" s="151"/>
      <c r="E257" s="151"/>
      <c r="F257" s="151">
        <v>249</v>
      </c>
      <c r="G257" s="152" t="str">
        <f t="shared" si="7"/>
        <v>F9</v>
      </c>
      <c r="H257" s="164">
        <f t="shared" si="6"/>
        <v>15562.5</v>
      </c>
    </row>
    <row r="258" spans="4:8">
      <c r="D258" s="151"/>
      <c r="E258" s="151"/>
      <c r="F258" s="151">
        <v>250</v>
      </c>
      <c r="G258" s="152" t="str">
        <f t="shared" si="7"/>
        <v>FA</v>
      </c>
      <c r="H258" s="164">
        <f t="shared" si="6"/>
        <v>15625</v>
      </c>
    </row>
    <row r="259" spans="4:8">
      <c r="D259" s="151"/>
      <c r="E259" s="151"/>
      <c r="F259" s="151">
        <v>251</v>
      </c>
      <c r="G259" s="152" t="str">
        <f t="shared" si="7"/>
        <v>FB</v>
      </c>
      <c r="H259" s="164">
        <f t="shared" si="6"/>
        <v>15687.5</v>
      </c>
    </row>
    <row r="260" spans="4:8">
      <c r="D260" s="151"/>
      <c r="E260" s="151"/>
      <c r="F260" s="151">
        <v>252</v>
      </c>
      <c r="G260" s="152" t="str">
        <f t="shared" si="7"/>
        <v>FC</v>
      </c>
      <c r="H260" s="164">
        <f t="shared" si="6"/>
        <v>15750</v>
      </c>
    </row>
    <row r="261" spans="4:8">
      <c r="D261" s="151"/>
      <c r="E261" s="151"/>
      <c r="F261" s="151">
        <v>253</v>
      </c>
      <c r="G261" s="152" t="str">
        <f t="shared" si="7"/>
        <v>FD</v>
      </c>
      <c r="H261" s="164">
        <f t="shared" si="6"/>
        <v>15812.5</v>
      </c>
    </row>
    <row r="262" spans="4:8">
      <c r="D262" s="151"/>
      <c r="E262" s="151"/>
      <c r="F262" s="151">
        <v>254</v>
      </c>
      <c r="G262" s="152" t="str">
        <f t="shared" si="7"/>
        <v>FE</v>
      </c>
      <c r="H262" s="164">
        <f t="shared" si="6"/>
        <v>15875</v>
      </c>
    </row>
    <row r="263" spans="4:8">
      <c r="D263" s="151"/>
      <c r="E263" s="151"/>
      <c r="F263" s="151">
        <v>255</v>
      </c>
      <c r="G263" s="152" t="str">
        <f t="shared" si="7"/>
        <v>FF</v>
      </c>
      <c r="H263" s="164">
        <f t="shared" si="6"/>
        <v>15937.5</v>
      </c>
    </row>
    <row r="264" spans="4:8">
      <c r="D264" s="151"/>
      <c r="E264" s="151"/>
    </row>
    <row r="265" spans="4:8">
      <c r="D265" s="151"/>
      <c r="E265" s="151"/>
    </row>
  </sheetData>
  <mergeCells count="1">
    <mergeCell ref="B2:D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9</vt:i4>
      </vt:variant>
    </vt:vector>
  </HeadingPairs>
  <TitlesOfParts>
    <vt:vector size="28" baseType="lpstr">
      <vt:lpstr>Nomenclature</vt:lpstr>
      <vt:lpstr>AVR-INST</vt:lpstr>
      <vt:lpstr>Macros</vt:lpstr>
      <vt:lpstr>MacroGAS</vt:lpstr>
      <vt:lpstr>BIT</vt:lpstr>
      <vt:lpstr>Sheet1</vt:lpstr>
      <vt:lpstr>macro1</vt:lpstr>
      <vt:lpstr>TCNT</vt:lpstr>
      <vt:lpstr>Delay</vt:lpstr>
      <vt:lpstr>TimerCNT</vt:lpstr>
      <vt:lpstr>SerialDatarateCalculator</vt:lpstr>
      <vt:lpstr>BaudRate1</vt:lpstr>
      <vt:lpstr>BaudRate2</vt:lpstr>
      <vt:lpstr>ICP</vt:lpstr>
      <vt:lpstr>ASK</vt:lpstr>
      <vt:lpstr>ASK_Frame</vt:lpstr>
      <vt:lpstr>SamplingRate&amp;PWM</vt:lpstr>
      <vt:lpstr>Sampling Rate Calculator</vt:lpstr>
      <vt:lpstr>Baud Rate Calculator</vt:lpstr>
      <vt:lpstr>DataPacketSize</vt:lpstr>
      <vt:lpstr>DesiredPacketRate</vt:lpstr>
      <vt:lpstr>FrameDatabits</vt:lpstr>
      <vt:lpstr>FramedPacketSize</vt:lpstr>
      <vt:lpstr>FrameSize</vt:lpstr>
      <vt:lpstr>PClock</vt:lpstr>
      <vt:lpstr>macro1!Print_Area</vt:lpstr>
      <vt:lpstr>'SamplingRate&amp;PWM'!Print_Area</vt:lpstr>
      <vt:lpstr>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Qiao Laris</cp:lastModifiedBy>
  <dcterms:created xsi:type="dcterms:W3CDTF">2019-02-09T07:20:14Z</dcterms:created>
  <dcterms:modified xsi:type="dcterms:W3CDTF">2020-09-30T13:35:55Z</dcterms:modified>
</cp:coreProperties>
</file>