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nstalacao\Instalacao2\"/>
    </mc:Choice>
  </mc:AlternateContent>
  <xr:revisionPtr revIDLastSave="0" documentId="13_ncr:1_{332AF61F-2464-4B61-8922-73D10B60EC74}" xr6:coauthVersionLast="45" xr6:coauthVersionMax="47" xr10:uidLastSave="{00000000-0000-0000-0000-000000000000}"/>
  <bookViews>
    <workbookView xWindow="20370" yWindow="-120" windowWidth="20730" windowHeight="11310" xr2:uid="{00000000-000D-0000-FFFF-FFFF00000000}"/>
  </bookViews>
  <sheets>
    <sheet name="Cargas da Instalação" sheetId="1" r:id="rId1"/>
    <sheet name="Demanda" sheetId="4" r:id="rId2"/>
    <sheet name="Condutores" sheetId="2" r:id="rId3"/>
    <sheet name="Proteção" sheetId="3" r:id="rId4"/>
  </sheets>
  <calcPr calcId="181029"/>
</workbook>
</file>

<file path=xl/calcChain.xml><?xml version="1.0" encoding="utf-8"?>
<calcChain xmlns="http://schemas.openxmlformats.org/spreadsheetml/2006/main">
  <c r="D12" i="1" l="1"/>
  <c r="M9" i="1"/>
  <c r="M10" i="1"/>
  <c r="M11" i="1"/>
  <c r="M14" i="1"/>
  <c r="M17" i="1"/>
  <c r="M8" i="1"/>
  <c r="C8" i="1"/>
  <c r="D8" i="1"/>
  <c r="G8" i="1" s="1"/>
  <c r="H8" i="1" s="1"/>
  <c r="F8" i="1"/>
  <c r="I8" i="1"/>
  <c r="K14" i="1"/>
  <c r="C16" i="1"/>
  <c r="F7" i="1"/>
  <c r="F12" i="1"/>
  <c r="F13" i="1"/>
  <c r="F14" i="1"/>
  <c r="F15" i="1"/>
  <c r="F16" i="1"/>
  <c r="F17" i="1"/>
  <c r="F18" i="1"/>
  <c r="F19" i="1"/>
  <c r="F20" i="1"/>
  <c r="F21" i="1"/>
  <c r="F6" i="1"/>
  <c r="I21" i="1"/>
  <c r="I20" i="1"/>
  <c r="I13" i="1"/>
  <c r="I16" i="1"/>
  <c r="I15" i="1"/>
  <c r="I18" i="1"/>
  <c r="H12" i="1" l="1"/>
  <c r="H14" i="1"/>
  <c r="H17" i="1"/>
  <c r="H19" i="1"/>
  <c r="H21" i="1"/>
  <c r="D21" i="1"/>
  <c r="D20" i="1"/>
  <c r="G20" i="1" s="1"/>
  <c r="H20" i="1" s="1"/>
  <c r="D19" i="1"/>
  <c r="D18" i="1"/>
  <c r="G18" i="1" s="1"/>
  <c r="H18" i="1" s="1"/>
  <c r="D17" i="1"/>
  <c r="D16" i="1"/>
  <c r="G16" i="1" s="1"/>
  <c r="H16" i="1" s="1"/>
  <c r="D15" i="1"/>
  <c r="G15" i="1" s="1"/>
  <c r="H15" i="1" s="1"/>
  <c r="D14" i="1"/>
  <c r="D13" i="1"/>
  <c r="G13" i="1" s="1"/>
  <c r="H13" i="1" s="1"/>
  <c r="D7" i="1"/>
  <c r="G7" i="1" s="1"/>
  <c r="H7" i="1" s="1"/>
  <c r="D6" i="1"/>
  <c r="G6" i="1" s="1"/>
  <c r="H6" i="1" s="1"/>
  <c r="C21" i="1"/>
  <c r="C20" i="1"/>
  <c r="C19" i="1"/>
  <c r="C18" i="1"/>
  <c r="C17" i="1"/>
  <c r="C15" i="1"/>
  <c r="C14" i="1"/>
  <c r="C13" i="1"/>
  <c r="C7" i="1"/>
  <c r="C6" i="1"/>
  <c r="D11" i="4" l="1"/>
  <c r="D10" i="4"/>
  <c r="D6" i="4"/>
  <c r="D9" i="4"/>
  <c r="D8" i="4"/>
  <c r="D7" i="4"/>
  <c r="E6" i="4" l="1"/>
</calcChain>
</file>

<file path=xl/sharedStrings.xml><?xml version="1.0" encoding="utf-8"?>
<sst xmlns="http://schemas.openxmlformats.org/spreadsheetml/2006/main" count="106" uniqueCount="91">
  <si>
    <t>Dependência</t>
  </si>
  <si>
    <t>TUGs</t>
  </si>
  <si>
    <t>TUEs</t>
  </si>
  <si>
    <t>Especificação</t>
  </si>
  <si>
    <t>Perímetro(m)</t>
  </si>
  <si>
    <t>Potência Iluminação(VA)</t>
  </si>
  <si>
    <t>Potência(VA)</t>
  </si>
  <si>
    <t>Potência(W)</t>
  </si>
  <si>
    <t>Tipo</t>
  </si>
  <si>
    <t>Tensão(V)</t>
  </si>
  <si>
    <t>Local</t>
  </si>
  <si>
    <t>Potência</t>
  </si>
  <si>
    <t>Potência Total (VA)</t>
  </si>
  <si>
    <t>Corrente(A)</t>
  </si>
  <si>
    <t>Distância(m)</t>
  </si>
  <si>
    <t>Corrente Corrigida(A)</t>
  </si>
  <si>
    <t>Fator Agrup.</t>
  </si>
  <si>
    <t>Fator Temp.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</si>
  <si>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Circuito</t>
    </r>
  </si>
  <si>
    <r>
      <t>Condutor 1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</si>
  <si>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Condutor 2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</si>
  <si>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Condutor Final(mm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</si>
  <si>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Disjuntor - Proteção</t>
  </si>
  <si>
    <t>Corrente Nominal</t>
  </si>
  <si>
    <r>
      <t>N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 xml:space="preserve"> Pólos</t>
    </r>
  </si>
  <si>
    <t>Potência (VA)</t>
  </si>
  <si>
    <t>FP</t>
  </si>
  <si>
    <t>Circuito</t>
  </si>
  <si>
    <t>Fator de Demanda</t>
  </si>
  <si>
    <t>Potência Demandada</t>
  </si>
  <si>
    <t>Total Potência demandada em VA</t>
  </si>
  <si>
    <t>Iluminação+Tug</t>
  </si>
  <si>
    <t>CÁLCULO DA POTÊNCIA DEMANDADA PARA QGD (Alimentador de Entrada)</t>
  </si>
  <si>
    <t xml:space="preserve">TUE - </t>
  </si>
  <si>
    <t>TUE-</t>
  </si>
  <si>
    <t>QDF (Quadro de distribuição e força)</t>
  </si>
  <si>
    <t>QDL (Quadro de distribuição de iluminação)</t>
  </si>
  <si>
    <t>QDNB (Quadro de distribuição nobreak)</t>
  </si>
  <si>
    <t>QDFL (Quadro de distribuição de força e iluminação)</t>
  </si>
  <si>
    <r>
      <t>N</t>
    </r>
    <r>
      <rPr>
        <b/>
        <vertAlign val="superscript"/>
        <sz val="11"/>
        <color theme="0"/>
        <rFont val="Calibri"/>
        <family val="2"/>
        <scheme val="minor"/>
      </rPr>
      <t>o</t>
    </r>
  </si>
  <si>
    <r>
      <t>Área(m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</si>
  <si>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t>Tensão</t>
  </si>
  <si>
    <t>Corrente</t>
  </si>
  <si>
    <t>FA</t>
  </si>
  <si>
    <t>FT</t>
  </si>
  <si>
    <t>Corrente Corrigida</t>
  </si>
  <si>
    <t>Distância</t>
  </si>
  <si>
    <t>Potência Total Demandada</t>
  </si>
  <si>
    <t>Seção Final</t>
  </si>
  <si>
    <t>Seção - Primeiro Critério</t>
  </si>
  <si>
    <t>Seção - Segundo Critério</t>
  </si>
  <si>
    <t>4ELE023 - INSTALAÇÕES ELÉTRICAS NOME:</t>
  </si>
  <si>
    <t>NOME:</t>
  </si>
  <si>
    <t>DATA:</t>
  </si>
  <si>
    <r>
      <t>Condutor Neutro(mm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</si>
  <si>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Condutor Terra(mm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</si>
  <si>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Balanceamento Fases</t>
  </si>
  <si>
    <t>R</t>
  </si>
  <si>
    <t>S</t>
  </si>
  <si>
    <t>T</t>
  </si>
  <si>
    <t>Pot Mínima</t>
  </si>
  <si>
    <t>Pot Utilizada</t>
  </si>
  <si>
    <t>Quant Mínima</t>
  </si>
  <si>
    <t>Quant Utilizada</t>
  </si>
  <si>
    <t xml:space="preserve">Fornecimento de acordo com a Norma da COPEL: </t>
  </si>
  <si>
    <t>Dimensionamento do Circuito de Distribuição</t>
  </si>
  <si>
    <t>Neutro</t>
  </si>
  <si>
    <t>Terra</t>
  </si>
  <si>
    <t>Corrente de Projeto(A)</t>
  </si>
  <si>
    <t>Corrente Máxima do Condutor(A)</t>
  </si>
  <si>
    <t>Corrente Iz(A)</t>
  </si>
  <si>
    <t>Potência em VA</t>
  </si>
  <si>
    <t>Sala de TV</t>
  </si>
  <si>
    <t xml:space="preserve">sala de Jantar </t>
  </si>
  <si>
    <t xml:space="preserve">Cozinha </t>
  </si>
  <si>
    <t>Suíte IV</t>
  </si>
  <si>
    <t>Banheiro suíte IV</t>
  </si>
  <si>
    <t>Dormitório VII</t>
  </si>
  <si>
    <t>Dormitório VI</t>
  </si>
  <si>
    <t xml:space="preserve">Lavandeiria </t>
  </si>
  <si>
    <t>Banheiro IV</t>
  </si>
  <si>
    <t xml:space="preserve">Sacada </t>
  </si>
  <si>
    <t xml:space="preserve">Churrascaria </t>
  </si>
  <si>
    <t xml:space="preserve">Jardim de inverno </t>
  </si>
  <si>
    <t xml:space="preserve">Circulação </t>
  </si>
  <si>
    <t xml:space="preserve">1 chuveiro </t>
  </si>
  <si>
    <t xml:space="preserve">1 Forno elétrico </t>
  </si>
  <si>
    <t xml:space="preserve"> 1 Lava Louça </t>
  </si>
  <si>
    <t xml:space="preserve">1 Microondas típico </t>
  </si>
  <si>
    <t xml:space="preserve">  1 cooktop  </t>
  </si>
  <si>
    <t>divide em 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</si>
</sst>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33333"/>
      <name val="Segoe UI"/>
      <family val="2"/>
    </font>
    <font>
      <b/>
      <vertAlign val="superscript"/>
      <sz val="11"/>
      <color theme="0"/>
      <name val="Calibri"/>
      <family val="2"/>
      <scheme val="minor"/>
    </font>
    <font>
      <sz val="8"/>
      <name val="Arial"/>
      <family val="2"/>
    </font>
    <font>
      <b/>
      <sz val="12"/>
      <color theme="0"/>
      <name val="Calibri"/>
      <family val="2"/>
      <scheme val="minor"/>
    </font>
    <font>
      <b/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4" xfId="0" applyBorder="1"/>
    <xf numFmtId="0" fontId="0" fillId="0" borderId="5" xfId="0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vertical="center"/>
    </xf>
    <xf numFmtId="2" fontId="9" fillId="0" borderId="18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29" xfId="0" applyFont="1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3" xfId="0" applyBorder="1"/>
    <xf numFmtId="0" fontId="9" fillId="0" borderId="5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/>
    <xf numFmtId="0" fontId="0" fillId="0" borderId="29" xfId="0" applyBorder="1"/>
    <xf numFmtId="0" fontId="0" fillId="0" borderId="19" xfId="0" applyBorder="1"/>
    <xf numFmtId="0" fontId="0" fillId="0" borderId="2" xfId="0" applyBorder="1"/>
    <xf numFmtId="0" fontId="3" fillId="2" borderId="4" xfId="0" applyFont="1" applyFill="1" applyBorder="1" applyAlignment="1">
      <alignment horizontal="center"/>
    </xf>
    <xf numFmtId="1" fontId="9" fillId="4" borderId="4" xfId="0" applyNumberFormat="1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17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247651</xdr:colOff>
      <xdr:row>2</xdr:row>
      <xdr:rowOff>191851</xdr:rowOff>
    </xdr:to>
    <xdr:pic>
      <xdr:nvPicPr>
        <xdr:cNvPr id="7" name="Imagem 6" descr="http://site.3euel.com.br/wp-content/uploads/2012/01/deel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723900" cy="57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333376</xdr:colOff>
      <xdr:row>0</xdr:row>
      <xdr:rowOff>1</xdr:rowOff>
    </xdr:from>
    <xdr:to>
      <xdr:col>12</xdr:col>
      <xdr:colOff>876300</xdr:colOff>
      <xdr:row>2</xdr:row>
      <xdr:rowOff>183071</xdr:rowOff>
    </xdr:to>
    <xdr:pic>
      <xdr:nvPicPr>
        <xdr:cNvPr id="8" name="Imagem 7" descr="http://www.portalrolandia.com.br/conteudoExtra/2-2013_01_17_16_06_51-170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9926" y="1"/>
          <a:ext cx="1343024" cy="564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2</xdr:row>
      <xdr:rowOff>172800</xdr:rowOff>
    </xdr:to>
    <xdr:pic>
      <xdr:nvPicPr>
        <xdr:cNvPr id="2" name="Imagem 1" descr="http://site.3euel.com.br/wp-content/uploads/2012/01/deel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57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733425</xdr:colOff>
      <xdr:row>0</xdr:row>
      <xdr:rowOff>0</xdr:rowOff>
    </xdr:from>
    <xdr:to>
      <xdr:col>6</xdr:col>
      <xdr:colOff>2076449</xdr:colOff>
      <xdr:row>2</xdr:row>
      <xdr:rowOff>164020</xdr:rowOff>
    </xdr:to>
    <xdr:pic>
      <xdr:nvPicPr>
        <xdr:cNvPr id="3" name="Imagem 2" descr="http://www.portalrolandia.com.br/conteudoExtra/2-2013_01_17_16_06_51-170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0"/>
          <a:ext cx="1343024" cy="564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200026</xdr:colOff>
      <xdr:row>2</xdr:row>
      <xdr:rowOff>191851</xdr:rowOff>
    </xdr:to>
    <xdr:pic>
      <xdr:nvPicPr>
        <xdr:cNvPr id="2" name="Imagem 1" descr="http://site.3euel.com.br/wp-content/uploads/2012/01/deel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723900" cy="57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428626</xdr:colOff>
      <xdr:row>0</xdr:row>
      <xdr:rowOff>1</xdr:rowOff>
    </xdr:from>
    <xdr:to>
      <xdr:col>18</xdr:col>
      <xdr:colOff>552450</xdr:colOff>
      <xdr:row>2</xdr:row>
      <xdr:rowOff>183071</xdr:rowOff>
    </xdr:to>
    <xdr:pic>
      <xdr:nvPicPr>
        <xdr:cNvPr id="3" name="Imagem 2" descr="http://www.portalrolandia.com.br/conteudoExtra/2-2013_01_17_16_06_51-170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1" y="1"/>
          <a:ext cx="1343024" cy="58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2</xdr:row>
      <xdr:rowOff>191850</xdr:rowOff>
    </xdr:to>
    <xdr:pic>
      <xdr:nvPicPr>
        <xdr:cNvPr id="2" name="Imagem 1" descr="http://site.3euel.com.br/wp-content/uploads/2012/01/deel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57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371475</xdr:colOff>
      <xdr:row>0</xdr:row>
      <xdr:rowOff>0</xdr:rowOff>
    </xdr:from>
    <xdr:to>
      <xdr:col>9</xdr:col>
      <xdr:colOff>1104899</xdr:colOff>
      <xdr:row>2</xdr:row>
      <xdr:rowOff>183070</xdr:rowOff>
    </xdr:to>
    <xdr:pic>
      <xdr:nvPicPr>
        <xdr:cNvPr id="3" name="Imagem 2" descr="http://www.portalrolandia.com.br/conteudoExtra/2-2013_01_17_16_06_51-170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0"/>
          <a:ext cx="1343024" cy="58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showGridLines="0" tabSelected="1" topLeftCell="A4" workbookViewId="0">
      <selection activeCell="B15" sqref="B15"/>
    </sheetView>
  </sheetViews>
  <sheetFormatPr defaultRowHeight="15" x14ac:dyDescent="0.25"/>
  <cols>
    <col min="1" max="1" width="7.140625" customWidth="1"/>
    <col min="2" max="2" width="23" customWidth="1"/>
    <col min="4" max="4" width="13.5703125" bestFit="1" customWidth="1"/>
    <col min="5" max="5" width="14.140625" customWidth="1"/>
    <col min="6" max="7" width="13.42578125" customWidth="1"/>
    <col min="8" max="8" width="14.85546875" bestFit="1" customWidth="1"/>
    <col min="9" max="9" width="12.7109375" bestFit="1" customWidth="1"/>
    <col min="10" max="10" width="18.7109375" bestFit="1" customWidth="1"/>
    <col min="11" max="11" width="12" bestFit="1" customWidth="1"/>
    <col min="12" max="12" width="12" customWidth="1"/>
    <col min="13" max="13" width="13.28515625" bestFit="1" customWidth="1"/>
  </cols>
  <sheetData>
    <row r="1" spans="1:14" ht="15" customHeight="1" x14ac:dyDescent="0.25">
      <c r="A1" s="36" t="s">
        <v>51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17"/>
    </row>
    <row r="2" spans="1:14" ht="15" customHeight="1" x14ac:dyDescent="0.25">
      <c r="A2" s="36"/>
      <c r="B2" s="63" t="s">
        <v>52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38"/>
    </row>
    <row r="3" spans="1:14" ht="15.75" customHeight="1" thickBot="1" x14ac:dyDescent="0.3">
      <c r="A3" s="18"/>
      <c r="B3" s="65" t="s">
        <v>53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19"/>
    </row>
    <row r="4" spans="1:14" ht="17.25" customHeight="1" x14ac:dyDescent="0.25">
      <c r="A4" s="67" t="s">
        <v>39</v>
      </c>
      <c r="B4" s="69" t="s">
        <v>0</v>
      </c>
      <c r="C4" s="71" t="s">
        <v>40</v>
      </c>
      <c r="D4" s="71" t="s">
        <v>4</v>
      </c>
      <c r="E4" s="71" t="s">
        <v>5</v>
      </c>
      <c r="F4" s="69"/>
      <c r="G4" s="74" t="s">
        <v>1</v>
      </c>
      <c r="H4" s="75"/>
      <c r="I4" s="75"/>
      <c r="J4" s="74" t="s">
        <v>2</v>
      </c>
      <c r="K4" s="75"/>
      <c r="L4" s="75"/>
      <c r="M4" s="76"/>
    </row>
    <row r="5" spans="1:14" ht="15.75" thickBot="1" x14ac:dyDescent="0.3">
      <c r="A5" s="68"/>
      <c r="B5" s="70"/>
      <c r="C5" s="72"/>
      <c r="D5" s="73"/>
      <c r="E5" s="8" t="s">
        <v>60</v>
      </c>
      <c r="F5" s="8" t="s">
        <v>61</v>
      </c>
      <c r="G5" s="10" t="s">
        <v>62</v>
      </c>
      <c r="H5" s="3" t="s">
        <v>63</v>
      </c>
      <c r="I5" s="4" t="s">
        <v>6</v>
      </c>
      <c r="J5" s="3" t="s">
        <v>3</v>
      </c>
      <c r="K5" s="9" t="s">
        <v>7</v>
      </c>
      <c r="L5" s="9" t="s">
        <v>26</v>
      </c>
      <c r="M5" s="4" t="s">
        <v>25</v>
      </c>
    </row>
    <row r="6" spans="1:14" x14ac:dyDescent="0.25">
      <c r="A6" s="2"/>
      <c r="B6" s="2" t="s">
        <v>72</v>
      </c>
      <c r="C6" s="2">
        <f>11.104</f>
        <v>11.103999999999999</v>
      </c>
      <c r="D6" s="2">
        <f>13.552</f>
        <v>13.552</v>
      </c>
      <c r="E6" s="59">
        <v>160</v>
      </c>
      <c r="F6" s="59">
        <f>E6</f>
        <v>160</v>
      </c>
      <c r="G6" s="59">
        <f>ROUNDUP(D6/5,0)</f>
        <v>3</v>
      </c>
      <c r="H6" s="59">
        <f>G6</f>
        <v>3</v>
      </c>
      <c r="I6" s="59">
        <v>300</v>
      </c>
      <c r="J6" s="59"/>
      <c r="K6" s="59"/>
      <c r="L6" s="59"/>
      <c r="M6" s="59"/>
    </row>
    <row r="7" spans="1:14" x14ac:dyDescent="0.25">
      <c r="A7" s="1"/>
      <c r="B7" s="1" t="s">
        <v>73</v>
      </c>
      <c r="C7" s="1">
        <f>16.26569</f>
        <v>16.265689999999999</v>
      </c>
      <c r="D7" s="1">
        <f>16.16</f>
        <v>16.16</v>
      </c>
      <c r="E7" s="60">
        <v>220</v>
      </c>
      <c r="F7" s="59">
        <f t="shared" ref="F7:F21" si="0">E7</f>
        <v>220</v>
      </c>
      <c r="G7" s="59">
        <f>ROUNDUP(D7/5,0)</f>
        <v>4</v>
      </c>
      <c r="H7" s="59">
        <f t="shared" ref="H7:H21" si="1">G7</f>
        <v>4</v>
      </c>
      <c r="I7" s="60">
        <v>400</v>
      </c>
      <c r="J7" s="60"/>
      <c r="K7" s="60"/>
      <c r="L7" s="60"/>
      <c r="M7" s="60"/>
    </row>
    <row r="8" spans="1:14" ht="19.5" customHeight="1" x14ac:dyDescent="0.25">
      <c r="A8" s="1"/>
      <c r="B8" s="98" t="s">
        <v>74</v>
      </c>
      <c r="C8" s="98">
        <f>12.1486</f>
        <v>12.1486</v>
      </c>
      <c r="D8" s="98">
        <f>13.9951</f>
        <v>13.995100000000001</v>
      </c>
      <c r="E8" s="98">
        <v>160</v>
      </c>
      <c r="F8" s="98">
        <f t="shared" si="0"/>
        <v>160</v>
      </c>
      <c r="G8" s="98">
        <f>ROUNDUP(D8/3.5,0)</f>
        <v>4</v>
      </c>
      <c r="H8" s="98">
        <f t="shared" si="1"/>
        <v>4</v>
      </c>
      <c r="I8" s="98">
        <f xml:space="preserve"> 600*3+100</f>
        <v>1900</v>
      </c>
      <c r="J8" s="11" t="s">
        <v>86</v>
      </c>
      <c r="K8" s="60">
        <v>3200</v>
      </c>
      <c r="L8" s="60">
        <v>1</v>
      </c>
      <c r="M8" s="60">
        <f>K8/L8</f>
        <v>3200</v>
      </c>
    </row>
    <row r="9" spans="1:14" ht="19.5" customHeight="1" x14ac:dyDescent="0.25">
      <c r="A9" s="1"/>
      <c r="B9" s="99"/>
      <c r="C9" s="99"/>
      <c r="D9" s="99"/>
      <c r="E9" s="99"/>
      <c r="F9" s="99"/>
      <c r="G9" s="99"/>
      <c r="H9" s="99"/>
      <c r="I9" s="99"/>
      <c r="J9" s="11" t="s">
        <v>87</v>
      </c>
      <c r="K9" s="60">
        <v>2800</v>
      </c>
      <c r="L9" s="60">
        <v>0.95</v>
      </c>
      <c r="M9" s="60">
        <f t="shared" ref="M9:M17" si="2">K9/L9</f>
        <v>2947.3684210526317</v>
      </c>
    </row>
    <row r="10" spans="1:14" ht="19.5" customHeight="1" x14ac:dyDescent="0.25">
      <c r="A10" s="1"/>
      <c r="B10" s="99"/>
      <c r="C10" s="99"/>
      <c r="D10" s="99"/>
      <c r="E10" s="99"/>
      <c r="F10" s="99"/>
      <c r="G10" s="99"/>
      <c r="H10" s="99"/>
      <c r="I10" s="99"/>
      <c r="J10" s="11" t="s">
        <v>88</v>
      </c>
      <c r="K10" s="60">
        <v>900</v>
      </c>
      <c r="L10" s="60">
        <v>0.92</v>
      </c>
      <c r="M10" s="60">
        <f t="shared" si="2"/>
        <v>978.26086956521738</v>
      </c>
    </row>
    <row r="11" spans="1:14" ht="19.5" customHeight="1" x14ac:dyDescent="0.25">
      <c r="A11" s="1"/>
      <c r="B11" s="99"/>
      <c r="C11" s="99"/>
      <c r="D11" s="99"/>
      <c r="E11" s="99"/>
      <c r="F11" s="99"/>
      <c r="G11" s="99"/>
      <c r="H11" s="99"/>
      <c r="I11" s="99"/>
      <c r="J11" s="13" t="s">
        <v>89</v>
      </c>
      <c r="K11" s="100">
        <v>2000</v>
      </c>
      <c r="L11" s="100">
        <v>0.8</v>
      </c>
      <c r="M11" s="60">
        <f t="shared" si="2"/>
        <v>2500</v>
      </c>
    </row>
    <row r="12" spans="1:14" x14ac:dyDescent="0.25">
      <c r="A12" s="1"/>
      <c r="B12" s="101" t="s">
        <v>84</v>
      </c>
      <c r="C12" s="101">
        <v>7.3387000000000002</v>
      </c>
      <c r="D12" s="101">
        <f>15.6955</f>
        <v>15.695499999999999</v>
      </c>
      <c r="E12" s="102">
        <v>100</v>
      </c>
      <c r="F12" s="102">
        <f t="shared" si="0"/>
        <v>100</v>
      </c>
      <c r="G12" s="102">
        <v>1</v>
      </c>
      <c r="H12" s="102">
        <f t="shared" si="1"/>
        <v>1</v>
      </c>
      <c r="I12" s="102">
        <v>100</v>
      </c>
      <c r="J12" s="102"/>
      <c r="K12" s="102"/>
      <c r="L12" s="102"/>
      <c r="M12" s="102"/>
      <c r="N12" t="s">
        <v>90</v>
      </c>
    </row>
    <row r="13" spans="1:14" x14ac:dyDescent="0.25">
      <c r="A13" s="1"/>
      <c r="B13" s="1" t="s">
        <v>75</v>
      </c>
      <c r="C13" s="1">
        <f>12.4725</f>
        <v>12.4725</v>
      </c>
      <c r="D13" s="1">
        <f>16.4</f>
        <v>16.399999999999999</v>
      </c>
      <c r="E13" s="60">
        <v>160</v>
      </c>
      <c r="F13" s="60">
        <f t="shared" si="0"/>
        <v>160</v>
      </c>
      <c r="G13" s="60">
        <f>ROUNDUP(D13/5,0)</f>
        <v>4</v>
      </c>
      <c r="H13" s="60">
        <f t="shared" si="1"/>
        <v>4</v>
      </c>
      <c r="I13" s="60">
        <f>400</f>
        <v>400</v>
      </c>
      <c r="J13" s="60"/>
      <c r="K13" s="60"/>
      <c r="L13" s="60"/>
      <c r="M13" s="60"/>
    </row>
    <row r="14" spans="1:14" x14ac:dyDescent="0.25">
      <c r="A14" s="1"/>
      <c r="B14" s="58" t="s">
        <v>76</v>
      </c>
      <c r="C14" s="1">
        <f>3.6516</f>
        <v>3.6516000000000002</v>
      </c>
      <c r="D14" s="1">
        <f>8.1049</f>
        <v>8.1049000000000007</v>
      </c>
      <c r="E14" s="60">
        <v>100</v>
      </c>
      <c r="F14" s="60">
        <f t="shared" si="0"/>
        <v>100</v>
      </c>
      <c r="G14" s="60">
        <v>1</v>
      </c>
      <c r="H14" s="60">
        <f t="shared" si="1"/>
        <v>1</v>
      </c>
      <c r="I14" s="60">
        <v>600</v>
      </c>
      <c r="J14" s="60" t="s">
        <v>85</v>
      </c>
      <c r="K14" s="60">
        <f>6800</f>
        <v>6800</v>
      </c>
      <c r="L14" s="60">
        <v>1</v>
      </c>
      <c r="M14" s="60">
        <f t="shared" si="2"/>
        <v>6800</v>
      </c>
    </row>
    <row r="15" spans="1:14" x14ac:dyDescent="0.25">
      <c r="A15" s="1"/>
      <c r="B15" s="1" t="s">
        <v>77</v>
      </c>
      <c r="C15" s="1">
        <f>8.5253</f>
        <v>8.5252999999999997</v>
      </c>
      <c r="D15" s="1">
        <f>11.683</f>
        <v>11.683</v>
      </c>
      <c r="E15" s="60">
        <v>100</v>
      </c>
      <c r="F15" s="60">
        <f t="shared" si="0"/>
        <v>100</v>
      </c>
      <c r="G15" s="60">
        <f>ROUNDUP(D15/5,0)</f>
        <v>3</v>
      </c>
      <c r="H15" s="60">
        <f t="shared" si="1"/>
        <v>3</v>
      </c>
      <c r="I15" s="60">
        <f>3*100</f>
        <v>300</v>
      </c>
      <c r="J15" s="60"/>
      <c r="K15" s="60"/>
      <c r="L15" s="60"/>
      <c r="M15" s="60"/>
    </row>
    <row r="16" spans="1:14" x14ac:dyDescent="0.25">
      <c r="A16" s="1"/>
      <c r="B16" s="1" t="s">
        <v>78</v>
      </c>
      <c r="C16" s="1">
        <f>8.9418</f>
        <v>8.9418000000000006</v>
      </c>
      <c r="D16" s="1">
        <f>13.288</f>
        <v>13.288</v>
      </c>
      <c r="E16" s="60">
        <v>100</v>
      </c>
      <c r="F16" s="60">
        <f t="shared" si="0"/>
        <v>100</v>
      </c>
      <c r="G16" s="60">
        <f>ROUNDUP(D16/5,0)</f>
        <v>3</v>
      </c>
      <c r="H16" s="60">
        <f t="shared" si="1"/>
        <v>3</v>
      </c>
      <c r="I16" s="60">
        <f>100*3</f>
        <v>300</v>
      </c>
      <c r="J16" s="60"/>
      <c r="K16" s="60"/>
      <c r="L16" s="60"/>
      <c r="M16" s="60"/>
    </row>
    <row r="17" spans="1:13" x14ac:dyDescent="0.25">
      <c r="A17" s="1"/>
      <c r="B17" s="1" t="s">
        <v>80</v>
      </c>
      <c r="C17" s="1">
        <f>3.6477</f>
        <v>3.6476999999999999</v>
      </c>
      <c r="D17" s="1">
        <f>8.103</f>
        <v>8.1029999999999998</v>
      </c>
      <c r="E17" s="60">
        <v>100</v>
      </c>
      <c r="F17" s="60">
        <f t="shared" si="0"/>
        <v>100</v>
      </c>
      <c r="G17" s="60">
        <v>1</v>
      </c>
      <c r="H17" s="60">
        <f t="shared" si="1"/>
        <v>1</v>
      </c>
      <c r="I17" s="60">
        <v>600</v>
      </c>
      <c r="J17" s="60" t="s">
        <v>85</v>
      </c>
      <c r="K17" s="60">
        <v>6800</v>
      </c>
      <c r="L17" s="60">
        <v>1</v>
      </c>
      <c r="M17" s="60">
        <f t="shared" si="2"/>
        <v>6800</v>
      </c>
    </row>
    <row r="18" spans="1:13" x14ac:dyDescent="0.25">
      <c r="A18" s="1"/>
      <c r="B18" s="1" t="s">
        <v>79</v>
      </c>
      <c r="C18" s="1">
        <f>3.2925</f>
        <v>3.2925</v>
      </c>
      <c r="D18" s="1">
        <f>7.6975</f>
        <v>7.6974999999999998</v>
      </c>
      <c r="E18" s="60">
        <v>100</v>
      </c>
      <c r="F18" s="60">
        <f t="shared" si="0"/>
        <v>100</v>
      </c>
      <c r="G18" s="60">
        <f>ROUNDUP(D18/3.5,0)</f>
        <v>3</v>
      </c>
      <c r="H18" s="60">
        <f t="shared" si="1"/>
        <v>3</v>
      </c>
      <c r="I18" s="60">
        <f>3*600</f>
        <v>1800</v>
      </c>
      <c r="J18" s="60"/>
      <c r="K18" s="60"/>
      <c r="L18" s="60"/>
      <c r="M18" s="60"/>
    </row>
    <row r="19" spans="1:13" x14ac:dyDescent="0.25">
      <c r="A19" s="1"/>
      <c r="B19" s="1" t="s">
        <v>81</v>
      </c>
      <c r="C19" s="1">
        <f>7.0572</f>
        <v>7.0571999999999999</v>
      </c>
      <c r="D19" s="1">
        <f>16.491</f>
        <v>16.491</v>
      </c>
      <c r="E19" s="60">
        <v>100</v>
      </c>
      <c r="F19" s="60">
        <f t="shared" si="0"/>
        <v>100</v>
      </c>
      <c r="G19" s="60">
        <v>1</v>
      </c>
      <c r="H19" s="60">
        <f t="shared" si="1"/>
        <v>1</v>
      </c>
      <c r="I19" s="60">
        <v>100</v>
      </c>
      <c r="J19" s="60"/>
      <c r="K19" s="60"/>
      <c r="L19" s="60"/>
      <c r="M19" s="60"/>
    </row>
    <row r="20" spans="1:13" x14ac:dyDescent="0.25">
      <c r="A20" s="103"/>
      <c r="B20" s="103" t="s">
        <v>82</v>
      </c>
      <c r="C20" s="103">
        <f>8.9123</f>
        <v>8.9123000000000001</v>
      </c>
      <c r="D20" s="103">
        <f>15.9012</f>
        <v>15.901199999999999</v>
      </c>
      <c r="E20" s="100">
        <v>100</v>
      </c>
      <c r="F20" s="100">
        <f t="shared" si="0"/>
        <v>100</v>
      </c>
      <c r="G20" s="100">
        <f>ROUNDUP(D20/5,0)</f>
        <v>4</v>
      </c>
      <c r="H20" s="100">
        <f t="shared" si="1"/>
        <v>4</v>
      </c>
      <c r="I20" s="100">
        <f>400</f>
        <v>400</v>
      </c>
      <c r="J20" s="100"/>
      <c r="K20" s="100"/>
      <c r="L20" s="100"/>
      <c r="M20" s="100"/>
    </row>
    <row r="21" spans="1:13" x14ac:dyDescent="0.25">
      <c r="A21" s="1"/>
      <c r="B21" s="1" t="s">
        <v>83</v>
      </c>
      <c r="C21" s="1">
        <f>4.05</f>
        <v>4.05</v>
      </c>
      <c r="D21" s="1">
        <f>8.7</f>
        <v>8.6999999999999993</v>
      </c>
      <c r="E21" s="60">
        <v>100</v>
      </c>
      <c r="F21" s="60">
        <f t="shared" si="0"/>
        <v>100</v>
      </c>
      <c r="G21" s="60">
        <v>1</v>
      </c>
      <c r="H21" s="60">
        <f t="shared" si="1"/>
        <v>1</v>
      </c>
      <c r="I21" s="60">
        <f>100</f>
        <v>100</v>
      </c>
      <c r="J21" s="60"/>
      <c r="K21" s="60"/>
      <c r="L21" s="60"/>
      <c r="M21" s="60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</sheetData>
  <mergeCells count="18">
    <mergeCell ref="B8:B11"/>
    <mergeCell ref="C8:C11"/>
    <mergeCell ref="D8:D11"/>
    <mergeCell ref="E8:E11"/>
    <mergeCell ref="F8:F11"/>
    <mergeCell ref="G8:G11"/>
    <mergeCell ref="H8:H11"/>
    <mergeCell ref="I8:I11"/>
    <mergeCell ref="B1:L1"/>
    <mergeCell ref="B2:L2"/>
    <mergeCell ref="B3:L3"/>
    <mergeCell ref="A4:A5"/>
    <mergeCell ref="B4:B5"/>
    <mergeCell ref="C4:C5"/>
    <mergeCell ref="D4:D5"/>
    <mergeCell ref="J4:M4"/>
    <mergeCell ref="E4:F4"/>
    <mergeCell ref="G4:I4"/>
  </mergeCells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showGridLines="0" workbookViewId="0">
      <selection activeCell="F11" sqref="F11"/>
    </sheetView>
  </sheetViews>
  <sheetFormatPr defaultRowHeight="15" x14ac:dyDescent="0.25"/>
  <cols>
    <col min="1" max="1" width="25" bestFit="1" customWidth="1"/>
    <col min="2" max="2" width="14.5703125" bestFit="1" customWidth="1"/>
    <col min="3" max="3" width="17.42578125" bestFit="1" customWidth="1"/>
    <col min="4" max="4" width="20" bestFit="1" customWidth="1"/>
    <col min="5" max="5" width="30.85546875" bestFit="1" customWidth="1"/>
    <col min="6" max="6" width="17.5703125" bestFit="1" customWidth="1"/>
    <col min="7" max="7" width="31.42578125" bestFit="1" customWidth="1"/>
    <col min="8" max="8" width="9" customWidth="1"/>
    <col min="9" max="9" width="23" bestFit="1" customWidth="1"/>
    <col min="10" max="10" width="10.85546875" bestFit="1" customWidth="1"/>
  </cols>
  <sheetData>
    <row r="1" spans="1:13" ht="15.75" customHeight="1" x14ac:dyDescent="0.25">
      <c r="A1" s="61"/>
      <c r="B1" s="62"/>
      <c r="C1" s="62"/>
      <c r="D1" s="62"/>
      <c r="E1" s="62"/>
      <c r="F1" s="62"/>
      <c r="G1" s="81"/>
      <c r="H1" s="37"/>
      <c r="I1" s="37"/>
      <c r="J1" s="37"/>
      <c r="K1" s="37"/>
      <c r="L1" s="15"/>
      <c r="M1" s="15"/>
    </row>
    <row r="2" spans="1:13" ht="15.75" x14ac:dyDescent="0.25">
      <c r="A2" s="63" t="s">
        <v>52</v>
      </c>
      <c r="B2" s="64"/>
      <c r="C2" s="64"/>
      <c r="D2" s="64"/>
      <c r="E2" s="64"/>
      <c r="F2" s="64"/>
      <c r="G2" s="82"/>
      <c r="H2" s="37"/>
      <c r="I2" s="37"/>
      <c r="J2" s="37"/>
      <c r="K2" s="37"/>
      <c r="L2" s="15"/>
      <c r="M2" s="15"/>
    </row>
    <row r="3" spans="1:13" ht="16.5" thickBot="1" x14ac:dyDescent="0.3">
      <c r="A3" s="65" t="s">
        <v>53</v>
      </c>
      <c r="B3" s="66"/>
      <c r="C3" s="66"/>
      <c r="D3" s="66"/>
      <c r="E3" s="66"/>
      <c r="F3" s="66"/>
      <c r="G3" s="83"/>
      <c r="H3" s="37"/>
      <c r="I3" s="37"/>
      <c r="J3" s="37"/>
      <c r="K3" s="37"/>
      <c r="L3" s="15"/>
      <c r="M3" s="15"/>
    </row>
    <row r="4" spans="1:13" ht="15.75" customHeight="1" thickBot="1" x14ac:dyDescent="0.3">
      <c r="A4" s="78" t="s">
        <v>32</v>
      </c>
      <c r="B4" s="79"/>
      <c r="C4" s="79"/>
      <c r="D4" s="79"/>
      <c r="E4" s="79"/>
      <c r="F4" s="80"/>
      <c r="G4" s="80"/>
    </row>
    <row r="5" spans="1:13" ht="15.75" thickBot="1" x14ac:dyDescent="0.3">
      <c r="A5" s="21" t="s">
        <v>27</v>
      </c>
      <c r="B5" s="22" t="s">
        <v>71</v>
      </c>
      <c r="C5" s="22" t="s">
        <v>28</v>
      </c>
      <c r="D5" s="22" t="s">
        <v>29</v>
      </c>
      <c r="E5" s="45" t="s">
        <v>30</v>
      </c>
      <c r="F5" s="49"/>
      <c r="G5" s="47"/>
    </row>
    <row r="6" spans="1:13" x14ac:dyDescent="0.25">
      <c r="A6" s="20" t="s">
        <v>31</v>
      </c>
      <c r="B6" s="20"/>
      <c r="C6" s="20"/>
      <c r="D6" s="20">
        <f>(C6*B6)</f>
        <v>0</v>
      </c>
      <c r="E6" s="46">
        <f>(SUM(D6:D10))</f>
        <v>0</v>
      </c>
      <c r="F6" s="50"/>
      <c r="G6" s="48"/>
    </row>
    <row r="7" spans="1:13" ht="15.75" thickBot="1" x14ac:dyDescent="0.3">
      <c r="A7" s="12" t="s">
        <v>33</v>
      </c>
      <c r="B7" s="11"/>
      <c r="C7" s="11"/>
      <c r="D7" s="11">
        <f t="shared" ref="D7:D11" si="0">(C7*B7)</f>
        <v>0</v>
      </c>
      <c r="E7" s="16"/>
      <c r="F7" s="16"/>
      <c r="G7" s="16"/>
    </row>
    <row r="8" spans="1:13" x14ac:dyDescent="0.25">
      <c r="A8" s="11" t="s">
        <v>33</v>
      </c>
      <c r="B8" s="11"/>
      <c r="C8" s="11"/>
      <c r="D8" s="39">
        <f t="shared" si="0"/>
        <v>0</v>
      </c>
      <c r="E8" s="84" t="s">
        <v>64</v>
      </c>
      <c r="F8" s="41"/>
      <c r="G8" s="41"/>
      <c r="H8" s="51"/>
    </row>
    <row r="9" spans="1:13" x14ac:dyDescent="0.25">
      <c r="A9" s="11" t="s">
        <v>33</v>
      </c>
      <c r="B9" s="11"/>
      <c r="C9" s="11"/>
      <c r="D9" s="39">
        <f t="shared" si="0"/>
        <v>0</v>
      </c>
      <c r="E9" s="85"/>
      <c r="F9" s="14"/>
      <c r="G9" s="14"/>
      <c r="H9" s="52"/>
    </row>
    <row r="10" spans="1:13" x14ac:dyDescent="0.25">
      <c r="A10" s="13" t="s">
        <v>33</v>
      </c>
      <c r="B10" s="13"/>
      <c r="C10" s="13"/>
      <c r="D10" s="40">
        <f t="shared" si="0"/>
        <v>0</v>
      </c>
      <c r="E10" s="85"/>
      <c r="F10" s="15"/>
      <c r="G10" s="15"/>
      <c r="H10" s="52"/>
    </row>
    <row r="11" spans="1:13" x14ac:dyDescent="0.25">
      <c r="A11" s="11" t="s">
        <v>34</v>
      </c>
      <c r="B11" s="11"/>
      <c r="C11" s="11"/>
      <c r="D11" s="39">
        <f t="shared" si="0"/>
        <v>0</v>
      </c>
      <c r="E11" s="53"/>
      <c r="F11" s="15"/>
      <c r="G11" s="15"/>
      <c r="H11" s="52"/>
    </row>
    <row r="12" spans="1:13" x14ac:dyDescent="0.25">
      <c r="E12" s="53"/>
      <c r="F12" s="15"/>
      <c r="G12" s="15"/>
      <c r="H12" s="52"/>
    </row>
    <row r="13" spans="1:13" x14ac:dyDescent="0.25">
      <c r="E13" s="53"/>
      <c r="F13" s="15"/>
      <c r="G13" s="15"/>
      <c r="H13" s="52"/>
    </row>
    <row r="14" spans="1:13" x14ac:dyDescent="0.25">
      <c r="E14" s="53"/>
      <c r="F14" s="15"/>
      <c r="G14" s="15"/>
      <c r="H14" s="52"/>
    </row>
    <row r="15" spans="1:13" x14ac:dyDescent="0.25">
      <c r="E15" s="53"/>
      <c r="F15" s="15"/>
      <c r="G15" s="15"/>
      <c r="H15" s="52"/>
    </row>
    <row r="16" spans="1:13" ht="15.75" thickBot="1" x14ac:dyDescent="0.3">
      <c r="A16" s="86" t="s">
        <v>65</v>
      </c>
      <c r="B16" s="86"/>
      <c r="C16" s="86"/>
      <c r="D16" s="86"/>
      <c r="E16" s="54"/>
      <c r="F16" s="42"/>
      <c r="G16" s="42"/>
      <c r="H16" s="43"/>
    </row>
    <row r="18" spans="1:12" x14ac:dyDescent="0.25">
      <c r="A18" s="35" t="s">
        <v>47</v>
      </c>
      <c r="B18" s="35" t="s">
        <v>41</v>
      </c>
      <c r="C18" s="35" t="s">
        <v>42</v>
      </c>
      <c r="D18" s="35" t="s">
        <v>43</v>
      </c>
      <c r="E18" s="35" t="s">
        <v>44</v>
      </c>
      <c r="F18" s="35" t="s">
        <v>45</v>
      </c>
      <c r="G18" s="35" t="s">
        <v>49</v>
      </c>
      <c r="H18" s="35" t="s">
        <v>46</v>
      </c>
      <c r="I18" s="35" t="s">
        <v>50</v>
      </c>
      <c r="J18" s="35" t="s">
        <v>48</v>
      </c>
      <c r="K18" s="35" t="s">
        <v>66</v>
      </c>
      <c r="L18" s="35" t="s">
        <v>67</v>
      </c>
    </row>
    <row r="19" spans="1:12" x14ac:dyDescent="0.25">
      <c r="A19" s="33"/>
      <c r="B19" s="33"/>
      <c r="C19" s="23"/>
      <c r="D19" s="24"/>
      <c r="E19" s="23"/>
      <c r="F19" s="25"/>
      <c r="G19" s="26"/>
      <c r="H19" s="23"/>
      <c r="I19" s="23"/>
      <c r="J19" s="34"/>
      <c r="K19" s="44"/>
      <c r="L19" s="44"/>
    </row>
    <row r="20" spans="1:12" ht="28.5" customHeight="1" x14ac:dyDescent="0.25">
      <c r="A20" s="27"/>
      <c r="B20" s="27"/>
      <c r="C20" s="28"/>
      <c r="D20" s="29"/>
      <c r="E20" s="28"/>
      <c r="F20" s="30"/>
      <c r="G20" s="31"/>
      <c r="H20" s="28"/>
      <c r="I20" s="28"/>
      <c r="J20" s="32"/>
      <c r="K20" s="28"/>
      <c r="L20" s="28"/>
    </row>
    <row r="21" spans="1:12" ht="28.5" customHeight="1" x14ac:dyDescent="0.25">
      <c r="A21" s="27"/>
      <c r="B21" s="27"/>
      <c r="C21" s="28"/>
      <c r="D21" s="29"/>
      <c r="E21" s="28"/>
      <c r="F21" s="30"/>
      <c r="G21" s="31"/>
      <c r="H21" s="28"/>
      <c r="I21" s="28"/>
      <c r="J21" s="32"/>
      <c r="K21" s="28"/>
      <c r="L21" s="28"/>
    </row>
    <row r="22" spans="1:12" x14ac:dyDescent="0.25">
      <c r="A22" s="77" t="s">
        <v>35</v>
      </c>
      <c r="B22" s="77"/>
    </row>
    <row r="23" spans="1:12" x14ac:dyDescent="0.25">
      <c r="A23" s="77" t="s">
        <v>36</v>
      </c>
      <c r="B23" s="77"/>
    </row>
    <row r="24" spans="1:12" x14ac:dyDescent="0.25">
      <c r="A24" s="77" t="s">
        <v>37</v>
      </c>
      <c r="B24" s="77"/>
    </row>
    <row r="25" spans="1:12" x14ac:dyDescent="0.25">
      <c r="A25" s="77" t="s">
        <v>38</v>
      </c>
      <c r="B25" s="77"/>
    </row>
  </sheetData>
  <mergeCells count="10">
    <mergeCell ref="A23:B23"/>
    <mergeCell ref="A24:B24"/>
    <mergeCell ref="A25:B25"/>
    <mergeCell ref="A4:G4"/>
    <mergeCell ref="A1:G1"/>
    <mergeCell ref="A2:G2"/>
    <mergeCell ref="A3:G3"/>
    <mergeCell ref="A22:B22"/>
    <mergeCell ref="E8:E10"/>
    <mergeCell ref="A16:D16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5"/>
  <sheetViews>
    <sheetView showGridLines="0" workbookViewId="0">
      <selection activeCell="L30" sqref="L30"/>
    </sheetView>
  </sheetViews>
  <sheetFormatPr defaultRowHeight="15" x14ac:dyDescent="0.25"/>
  <cols>
    <col min="1" max="1" width="7.85546875" customWidth="1"/>
    <col min="4" max="4" width="8.7109375" bestFit="1" customWidth="1"/>
    <col min="5" max="5" width="10.42578125" customWidth="1"/>
    <col min="6" max="6" width="10" bestFit="1" customWidth="1"/>
    <col min="7" max="8" width="11.5703125" bestFit="1" customWidth="1"/>
    <col min="9" max="9" width="11.85546875" bestFit="1" customWidth="1"/>
    <col min="10" max="10" width="11.7109375" customWidth="1"/>
    <col min="11" max="11" width="9.5703125" customWidth="1"/>
    <col min="12" max="12" width="12" customWidth="1"/>
    <col min="13" max="13" width="9.5703125" customWidth="1"/>
    <col min="14" max="14" width="10.5703125" customWidth="1"/>
    <col min="15" max="15" width="12.85546875" customWidth="1"/>
    <col min="16" max="16" width="10.42578125" customWidth="1"/>
  </cols>
  <sheetData>
    <row r="1" spans="1:20" ht="15.75" customHeight="1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81"/>
    </row>
    <row r="2" spans="1:20" ht="15.75" x14ac:dyDescent="0.25">
      <c r="A2" s="63" t="s">
        <v>52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82"/>
    </row>
    <row r="3" spans="1:20" ht="15.75" x14ac:dyDescent="0.25">
      <c r="A3" s="63" t="s">
        <v>53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82"/>
    </row>
    <row r="4" spans="1:20" x14ac:dyDescent="0.25">
      <c r="A4" s="89" t="s">
        <v>18</v>
      </c>
      <c r="B4" s="90" t="s">
        <v>8</v>
      </c>
      <c r="C4" s="90" t="s">
        <v>10</v>
      </c>
      <c r="D4" s="90" t="s">
        <v>11</v>
      </c>
      <c r="E4" s="89" t="s">
        <v>12</v>
      </c>
      <c r="F4" s="90" t="s">
        <v>9</v>
      </c>
      <c r="G4" s="90" t="s">
        <v>13</v>
      </c>
      <c r="H4" s="89" t="s">
        <v>17</v>
      </c>
      <c r="I4" s="89" t="s">
        <v>16</v>
      </c>
      <c r="J4" s="89" t="s">
        <v>15</v>
      </c>
      <c r="K4" s="89" t="s">
        <v>19</v>
      </c>
      <c r="L4" s="90" t="s">
        <v>14</v>
      </c>
      <c r="M4" s="89" t="s">
        <v>20</v>
      </c>
      <c r="N4" s="88" t="s">
        <v>21</v>
      </c>
      <c r="O4" s="88" t="s">
        <v>54</v>
      </c>
      <c r="P4" s="88" t="s">
        <v>55</v>
      </c>
      <c r="Q4" s="87" t="s">
        <v>56</v>
      </c>
      <c r="R4" s="87"/>
      <c r="S4" s="87"/>
    </row>
    <row r="5" spans="1:20" x14ac:dyDescent="0.25">
      <c r="A5" s="89"/>
      <c r="B5" s="90"/>
      <c r="C5" s="90"/>
      <c r="D5" s="90"/>
      <c r="E5" s="89"/>
      <c r="F5" s="90"/>
      <c r="G5" s="90"/>
      <c r="H5" s="89"/>
      <c r="I5" s="89"/>
      <c r="J5" s="89"/>
      <c r="K5" s="89"/>
      <c r="L5" s="90"/>
      <c r="M5" s="89"/>
      <c r="N5" s="88"/>
      <c r="O5" s="88"/>
      <c r="P5" s="88"/>
      <c r="Q5" s="55" t="s">
        <v>57</v>
      </c>
      <c r="R5" s="55" t="s">
        <v>58</v>
      </c>
      <c r="S5" s="55" t="s">
        <v>59</v>
      </c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56"/>
      <c r="R6" s="56"/>
      <c r="S6" s="56"/>
      <c r="T6" s="15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56"/>
      <c r="R7" s="56"/>
      <c r="S7" s="56"/>
      <c r="T7" s="15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56"/>
      <c r="R8" s="56"/>
      <c r="S8" s="56"/>
      <c r="T8" s="15"/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56"/>
      <c r="R9" s="56"/>
      <c r="S9" s="56"/>
      <c r="T9" s="15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56"/>
      <c r="R10" s="56"/>
      <c r="S10" s="56"/>
      <c r="T10" s="15"/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57"/>
      <c r="R11" s="57"/>
      <c r="S11" s="57"/>
      <c r="T11" s="15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57"/>
      <c r="R12" s="57"/>
      <c r="S12" s="57"/>
      <c r="T12" s="15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58"/>
      <c r="R13" s="58"/>
      <c r="S13" s="58"/>
      <c r="T13" s="15"/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5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mergeCells count="20">
    <mergeCell ref="B4:B5"/>
    <mergeCell ref="C4:C5"/>
    <mergeCell ref="D4:D5"/>
    <mergeCell ref="E4:E5"/>
    <mergeCell ref="Q4:S4"/>
    <mergeCell ref="A1:S1"/>
    <mergeCell ref="A2:S2"/>
    <mergeCell ref="A3:S3"/>
    <mergeCell ref="O4:O5"/>
    <mergeCell ref="P4:P5"/>
    <mergeCell ref="M4:M5"/>
    <mergeCell ref="N4:N5"/>
    <mergeCell ref="G4:G5"/>
    <mergeCell ref="H4:H5"/>
    <mergeCell ref="I4:I5"/>
    <mergeCell ref="J4:J5"/>
    <mergeCell ref="K4:K5"/>
    <mergeCell ref="L4:L5"/>
    <mergeCell ref="F4:F5"/>
    <mergeCell ref="A4:A5"/>
  </mergeCells>
  <pageMargins left="0.31496062992125984" right="0.31496062992125984" top="0.78740157480314965" bottom="0.78740157480314965" header="0.31496062992125984" footer="0.31496062992125984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showGridLines="0" topLeftCell="A7" workbookViewId="0">
      <selection activeCell="G20" sqref="G20"/>
    </sheetView>
  </sheetViews>
  <sheetFormatPr defaultRowHeight="15" x14ac:dyDescent="0.25"/>
  <cols>
    <col min="1" max="1" width="11.28515625" customWidth="1"/>
    <col min="2" max="2" width="15" customWidth="1"/>
    <col min="3" max="3" width="23.42578125" customWidth="1"/>
    <col min="4" max="4" width="10" bestFit="1" customWidth="1"/>
    <col min="5" max="5" width="10" customWidth="1"/>
    <col min="6" max="6" width="11.5703125" bestFit="1" customWidth="1"/>
    <col min="7" max="7" width="11.5703125" customWidth="1"/>
    <col min="10" max="10" width="17" bestFit="1" customWidth="1"/>
  </cols>
  <sheetData>
    <row r="1" spans="1:10" ht="15.75" customHeight="1" x14ac:dyDescent="0.25">
      <c r="A1" s="61"/>
      <c r="B1" s="62"/>
      <c r="C1" s="62"/>
      <c r="D1" s="62"/>
      <c r="E1" s="62"/>
      <c r="F1" s="62"/>
      <c r="G1" s="62"/>
      <c r="H1" s="62"/>
      <c r="I1" s="62"/>
      <c r="J1" s="81"/>
    </row>
    <row r="2" spans="1:10" ht="15.75" x14ac:dyDescent="0.25">
      <c r="A2" s="63" t="s">
        <v>52</v>
      </c>
      <c r="B2" s="64"/>
      <c r="C2" s="64"/>
      <c r="D2" s="64"/>
      <c r="E2" s="64"/>
      <c r="F2" s="64"/>
      <c r="G2" s="64"/>
      <c r="H2" s="64"/>
      <c r="I2" s="64"/>
      <c r="J2" s="82"/>
    </row>
    <row r="3" spans="1:10" ht="16.5" thickBot="1" x14ac:dyDescent="0.3">
      <c r="A3" s="65" t="s">
        <v>53</v>
      </c>
      <c r="B3" s="66"/>
      <c r="C3" s="66"/>
      <c r="D3" s="66"/>
      <c r="E3" s="66"/>
      <c r="F3" s="66"/>
      <c r="G3" s="66"/>
      <c r="H3" s="66"/>
      <c r="I3" s="66"/>
      <c r="J3" s="83"/>
    </row>
    <row r="4" spans="1:10" x14ac:dyDescent="0.25">
      <c r="A4" s="94" t="s">
        <v>18</v>
      </c>
      <c r="B4" s="96" t="s">
        <v>8</v>
      </c>
      <c r="C4" s="96" t="s">
        <v>10</v>
      </c>
      <c r="D4" s="96" t="s">
        <v>9</v>
      </c>
      <c r="E4" s="94" t="s">
        <v>68</v>
      </c>
      <c r="F4" s="94" t="s">
        <v>69</v>
      </c>
      <c r="G4" s="94" t="s">
        <v>70</v>
      </c>
      <c r="H4" s="91" t="s">
        <v>22</v>
      </c>
      <c r="I4" s="92"/>
      <c r="J4" s="93"/>
    </row>
    <row r="5" spans="1:10" ht="29.25" customHeight="1" thickBot="1" x14ac:dyDescent="0.3">
      <c r="A5" s="95"/>
      <c r="B5" s="97"/>
      <c r="C5" s="97"/>
      <c r="D5" s="97"/>
      <c r="E5" s="95"/>
      <c r="F5" s="95"/>
      <c r="G5" s="95"/>
      <c r="H5" s="5" t="s">
        <v>8</v>
      </c>
      <c r="I5" s="7" t="s">
        <v>24</v>
      </c>
      <c r="J5" s="6" t="s">
        <v>23</v>
      </c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</sheetData>
  <mergeCells count="11">
    <mergeCell ref="A1:J1"/>
    <mergeCell ref="A2:J2"/>
    <mergeCell ref="A3:J3"/>
    <mergeCell ref="H4:J4"/>
    <mergeCell ref="A4:A5"/>
    <mergeCell ref="B4:B5"/>
    <mergeCell ref="C4:C5"/>
    <mergeCell ref="D4:D5"/>
    <mergeCell ref="F4:F5"/>
    <mergeCell ref="E4:E5"/>
    <mergeCell ref="G4:G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Cargas da Instalação</vt:lpstr>
      <vt:lpstr>Demanda</vt:lpstr>
      <vt:lpstr>Condutores</vt:lpstr>
      <vt:lpstr>Proteção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Larissa</cp:lastModifiedBy>
  <cp:lastPrinted>2012-05-03T14:46:56Z</cp:lastPrinted>
  <dcterms:created xsi:type="dcterms:W3CDTF">2012-05-03T13:58:58Z</dcterms:created>
  <dcterms:modified xsi:type="dcterms:W3CDTF">2023-10-10T01:48:53Z</dcterms:modified>
</cp:coreProperties>
</file>