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E8920494-BC3C-45E4-8BDC-96710F0FE8E1}" xr6:coauthVersionLast="47" xr6:coauthVersionMax="47" xr10:uidLastSave="{00000000-0000-0000-0000-000000000000}"/>
  <bookViews>
    <workbookView xWindow="-108" yWindow="-108" windowWidth="23256" windowHeight="12456" tabRatio="920" firstSheet="4" activeTab="9" xr2:uid="{00000000-000D-0000-FFFF-FFFF00000000}"/>
  </bookViews>
  <sheets>
    <sheet name="Eggs" sheetId="20" r:id="rId1"/>
    <sheet name="Milk" sheetId="21" r:id="rId2"/>
    <sheet name="NEW_calc_manure" sheetId="34" r:id="rId3"/>
    <sheet name="Animal production output" sheetId="3" r:id="rId4"/>
    <sheet name="Grassland " sheetId="29" r:id="rId5"/>
    <sheet name="Import organic fertilizers" sheetId="1" r:id="rId6"/>
    <sheet name="feed import" sheetId="22" r:id="rId7"/>
    <sheet name="households input" sheetId="13" r:id="rId8"/>
    <sheet name="crop production output" sheetId="2" r:id="rId9"/>
    <sheet name="Biogas input" sheetId="16" r:id="rId10"/>
    <sheet name="vegetal production (LWK)" sheetId="26" r:id="rId11"/>
    <sheet name="Inorganic fertilizers" sheetId="12" r:id="rId12"/>
    <sheet name="Biogas out new" sheetId="32" r:id="rId13"/>
    <sheet name="municipal solid waste" sheetId="6" r:id="rId14"/>
    <sheet name="Schönmackers out" sheetId="7" r:id="rId15"/>
    <sheet name="sewage output" sheetId="10" r:id="rId16"/>
    <sheet name="wastewater" sheetId="30" r:id="rId17"/>
    <sheet name="Wastewater not processed" sheetId="28" r:id="rId18"/>
    <sheet name="food-feed processing out" sheetId="11" r:id="rId19"/>
    <sheet name="flow from processing to cons" sheetId="27" r:id="rId20"/>
    <sheet name="self sufficiency consumption" sheetId="25" r:id="rId21"/>
    <sheet name="Vegetable production X" sheetId="23" r:id="rId22"/>
    <sheet name="Effluent" sheetId="31" r:id="rId23"/>
    <sheet name="Niersverband" sheetId="5" r:id="rId24"/>
    <sheet name="sewage inputXX" sheetId="9" r:id="rId25"/>
    <sheet name="Biogas output" sheetId="17" r:id="rId26"/>
    <sheet name="Manure to crops" sheetId="24" r:id="rId27"/>
    <sheet name="self sufficiency" sheetId="18"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6" l="1"/>
  <c r="H22" i="16"/>
  <c r="H21" i="16"/>
  <c r="H25" i="16"/>
  <c r="H18" i="16"/>
  <c r="H19" i="16"/>
  <c r="H32" i="16"/>
  <c r="C15" i="16"/>
  <c r="C14" i="16"/>
  <c r="B69" i="16"/>
  <c r="I70" i="2"/>
  <c r="I3" i="28"/>
  <c r="H3" i="12"/>
  <c r="A22" i="32"/>
  <c r="A2" i="32" s="1"/>
  <c r="C2" i="32" s="1"/>
  <c r="J3" i="30"/>
  <c r="E3" i="30"/>
  <c r="D3" i="30"/>
  <c r="G2" i="10"/>
  <c r="L2" i="10"/>
  <c r="L11" i="10"/>
  <c r="L3" i="10"/>
  <c r="L2" i="6"/>
  <c r="P2" i="6" s="1"/>
  <c r="B15" i="17"/>
  <c r="B30" i="17"/>
  <c r="F2" i="17"/>
  <c r="F10" i="17"/>
  <c r="N21" i="34"/>
  <c r="O21" i="34"/>
  <c r="J28" i="34"/>
  <c r="J20" i="34"/>
  <c r="M8" i="21"/>
  <c r="P8" i="21"/>
  <c r="N8" i="21"/>
  <c r="P7" i="21"/>
  <c r="N7" i="21"/>
  <c r="N4" i="21"/>
  <c r="P2" i="21"/>
  <c r="M5" i="21"/>
  <c r="N2" i="21"/>
  <c r="H10" i="20"/>
  <c r="E11" i="20"/>
  <c r="M10" i="20"/>
  <c r="K10" i="20"/>
  <c r="I3" i="26"/>
  <c r="D3" i="26"/>
  <c r="D2" i="17" l="1"/>
  <c r="B24" i="26"/>
  <c r="B5" i="23"/>
  <c r="C3" i="25"/>
  <c r="O63" i="13"/>
  <c r="O61" i="13"/>
  <c r="O59" i="13"/>
  <c r="O60" i="13"/>
  <c r="G52" i="13"/>
  <c r="O48" i="13"/>
  <c r="H48" i="13"/>
  <c r="K3" i="20"/>
  <c r="E2" i="21"/>
  <c r="B52" i="16"/>
  <c r="B13" i="24"/>
  <c r="B6" i="24"/>
  <c r="B10" i="24" s="1"/>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I31" i="34"/>
  <c r="H16" i="34"/>
  <c r="H18" i="34"/>
  <c r="J18" i="34" s="1"/>
  <c r="H17" i="34"/>
  <c r="J17" i="34" s="1"/>
  <c r="L15" i="20"/>
  <c r="K15" i="20"/>
  <c r="E13" i="20"/>
  <c r="E14" i="20" s="1"/>
  <c r="E12"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K3" i="21"/>
  <c r="K4" i="21"/>
  <c r="K5" i="21"/>
  <c r="K6" i="21"/>
  <c r="E8" i="21"/>
  <c r="B7" i="21"/>
  <c r="C3" i="21"/>
  <c r="E3" i="21" s="1"/>
  <c r="D3" i="20"/>
  <c r="B25" i="20"/>
  <c r="F3" i="20" s="1"/>
  <c r="B24" i="25"/>
  <c r="J29" i="34" l="1"/>
  <c r="J31" i="34"/>
  <c r="J10" i="20"/>
  <c r="D15" i="34"/>
  <c r="J15" i="34" s="1"/>
  <c r="J16" i="34"/>
  <c r="I28" i="34"/>
  <c r="O7" i="34"/>
  <c r="F9" i="25"/>
  <c r="N25" i="34" l="1"/>
  <c r="O25" i="34" s="1"/>
  <c r="J23" i="34" s="1"/>
  <c r="J22" i="34"/>
  <c r="I30" i="34"/>
  <c r="H21" i="24"/>
  <c r="C14" i="2"/>
  <c r="I32" i="34" l="1"/>
  <c r="J32" i="34" s="1"/>
  <c r="J30" i="34"/>
  <c r="C13" i="2"/>
  <c r="E5" i="2"/>
  <c r="G9" i="10"/>
  <c r="F3" i="10"/>
  <c r="F4" i="10"/>
  <c r="F5" i="10"/>
  <c r="F6" i="10"/>
  <c r="F7" i="10"/>
  <c r="B24" i="30" l="1"/>
  <c r="I18" i="24"/>
  <c r="H2" i="32" l="1"/>
  <c r="E2" i="32"/>
  <c r="H2" i="17"/>
  <c r="I2" i="17" s="1"/>
  <c r="J2" i="17"/>
  <c r="K2" i="17" s="1"/>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H3" i="31"/>
  <c r="G3" i="31"/>
  <c r="Q3" i="10"/>
  <c r="Q4" i="10"/>
  <c r="Q5" i="10"/>
  <c r="Q6" i="10"/>
  <c r="Q7" i="10"/>
  <c r="Q2" i="10"/>
  <c r="N3" i="10"/>
  <c r="N4" i="10"/>
  <c r="N5" i="10"/>
  <c r="N6" i="10"/>
  <c r="N7" i="10"/>
  <c r="N2" i="10"/>
  <c r="O2" i="10"/>
  <c r="N28" i="1"/>
  <c r="Q11" i="10" l="1"/>
  <c r="B70" i="16"/>
  <c r="B71" i="16" s="1"/>
  <c r="H7" i="10"/>
  <c r="H6" i="10"/>
  <c r="H5" i="10"/>
  <c r="H4" i="10"/>
  <c r="H3" i="10"/>
  <c r="M26" i="1"/>
  <c r="K7" i="12"/>
  <c r="E9" i="22" l="1"/>
  <c r="E8" i="22"/>
  <c r="X14" i="16"/>
  <c r="V14" i="16"/>
  <c r="B59" i="16"/>
  <c r="G36" i="13"/>
  <c r="H36" i="13" s="1"/>
  <c r="H52" i="13"/>
  <c r="O52" i="13" s="1"/>
  <c r="H33"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12" i="30" l="1"/>
  <c r="J5" i="30"/>
  <c r="K13" i="30"/>
  <c r="L3" i="30"/>
  <c r="L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I5" i="28"/>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K16" i="26" l="1"/>
  <c r="I16" i="26"/>
  <c r="J16" i="26"/>
  <c r="I19" i="26"/>
  <c r="J19" i="26"/>
  <c r="K19" i="26"/>
  <c r="K20" i="26"/>
  <c r="J20" i="26"/>
  <c r="I20" i="26"/>
  <c r="K8" i="26"/>
  <c r="J8" i="26"/>
  <c r="I8" i="26"/>
  <c r="K4" i="26"/>
  <c r="I4" i="26"/>
  <c r="J4"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B22" i="25"/>
  <c r="B25" i="25" s="1"/>
  <c r="I3" i="25"/>
  <c r="C22" i="25"/>
  <c r="N5" i="25"/>
  <c r="E3" i="22"/>
  <c r="C5" i="27"/>
  <c r="L3" i="20"/>
  <c r="N13" i="3"/>
  <c r="K13" i="3"/>
  <c r="I5" i="3"/>
  <c r="J5" i="3" s="1"/>
  <c r="B57" i="3"/>
  <c r="L16" i="3" s="1"/>
  <c r="AE13" i="3"/>
  <c r="AC13" i="3"/>
  <c r="AD13" i="3" s="1"/>
  <c r="AB13" i="3"/>
  <c r="M16" i="3"/>
  <c r="B53" i="3"/>
  <c r="M15" i="3" s="1"/>
  <c r="O4" i="3"/>
  <c r="D8" i="25" l="1"/>
  <c r="F3" i="25"/>
  <c r="O5" i="3"/>
  <c r="P13" i="3"/>
  <c r="Y13" i="3"/>
  <c r="Y12" i="3"/>
  <c r="K5" i="3"/>
  <c r="N5" i="3"/>
  <c r="L14" i="3"/>
  <c r="L17" i="3"/>
  <c r="M17" i="3"/>
  <c r="M14" i="3"/>
  <c r="L15" i="3"/>
  <c r="D3" i="22"/>
  <c r="I5" i="25"/>
  <c r="C3" i="22"/>
  <c r="C11" i="22" s="1"/>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U15" i="16"/>
  <c r="C16" i="16"/>
  <c r="O15" i="16"/>
  <c r="R15" i="16" s="1"/>
  <c r="E26" i="23"/>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M15" i="16" l="1"/>
  <c r="AC15" i="16"/>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O36" i="23"/>
  <c r="O28" i="23"/>
  <c r="N8" i="3"/>
  <c r="K8" i="3"/>
  <c r="V4" i="3"/>
  <c r="G11" i="23"/>
  <c r="I11" i="23" s="1"/>
  <c r="O26" i="23"/>
  <c r="O50"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49" i="23"/>
  <c r="K44" i="23"/>
  <c r="M44" i="23"/>
  <c r="I44" i="23"/>
  <c r="K40" i="23"/>
  <c r="K35" i="23"/>
  <c r="M35" i="23"/>
  <c r="I35" i="23"/>
  <c r="K31" i="23"/>
  <c r="M31" i="23"/>
  <c r="K27" i="23"/>
  <c r="I23" i="23"/>
  <c r="M57" i="23"/>
  <c r="I57" i="23"/>
  <c r="K57" i="23"/>
  <c r="M39" i="23"/>
  <c r="I39" i="23"/>
  <c r="K39" i="23"/>
  <c r="M22" i="23"/>
  <c r="I22" i="23"/>
  <c r="K22" i="23"/>
  <c r="I56" i="23"/>
  <c r="K56" i="23"/>
  <c r="M56" i="23"/>
  <c r="I51" i="23"/>
  <c r="I47" i="23"/>
  <c r="K47" i="23"/>
  <c r="M47"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28" i="23"/>
  <c r="M24" i="23"/>
  <c r="I17" i="23"/>
  <c r="K50" i="23"/>
  <c r="K41" i="23"/>
  <c r="K36" i="23"/>
  <c r="K32" i="23"/>
  <c r="K28" i="23"/>
  <c r="K24" i="23"/>
  <c r="M32" i="23" l="1"/>
  <c r="M18" i="23"/>
  <c r="M40" i="23"/>
  <c r="O32" i="23"/>
  <c r="M42" i="23"/>
  <c r="K42" i="23"/>
  <c r="E60" i="23"/>
  <c r="I42" i="23"/>
  <c r="K18" i="23"/>
  <c r="I18" i="23"/>
  <c r="M51" i="23"/>
  <c r="K51" i="23"/>
  <c r="I49" i="23"/>
  <c r="K55" i="23"/>
  <c r="I27" i="23"/>
  <c r="I40" i="23"/>
  <c r="K54" i="23"/>
  <c r="K11" i="23"/>
  <c r="M27" i="23"/>
  <c r="O41" i="23"/>
  <c r="AC28" i="16"/>
  <c r="AD28" i="16" s="1"/>
  <c r="M28" i="16"/>
  <c r="M45" i="23"/>
  <c r="K34" i="23"/>
  <c r="K14" i="23"/>
  <c r="K23" i="23"/>
  <c r="Y8" i="3"/>
  <c r="M19" i="23"/>
  <c r="M55" i="23"/>
  <c r="M16" i="23"/>
  <c r="I25" i="23"/>
  <c r="I14" i="23"/>
  <c r="M49" i="23"/>
  <c r="O34" i="23"/>
  <c r="K25" i="23"/>
  <c r="K53" i="23"/>
  <c r="I16" i="23"/>
  <c r="M34" i="23"/>
  <c r="M23" i="23"/>
  <c r="O19" i="23"/>
  <c r="M15" i="23"/>
  <c r="K16" i="23"/>
  <c r="M14" i="23"/>
  <c r="I15" i="23"/>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AE28" i="16" l="1"/>
  <c r="I61" i="23"/>
  <c r="M61" i="23"/>
  <c r="X32" i="16"/>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M34" i="16" s="1"/>
  <c r="L32" i="16"/>
  <c r="L34" i="16" s="1"/>
  <c r="O3" i="25" l="1"/>
  <c r="Q33" i="16"/>
  <c r="B23" i="17" s="1"/>
  <c r="I14" i="17" s="1"/>
  <c r="I13" i="17" s="1"/>
  <c r="L33" i="16"/>
  <c r="B22" i="17" s="1"/>
  <c r="F14" i="17" s="1"/>
  <c r="F13" i="17" s="1"/>
  <c r="C3" i="27"/>
  <c r="C4" i="21"/>
  <c r="I4" i="21" s="1"/>
  <c r="C5" i="21"/>
  <c r="E5" i="21" s="1"/>
  <c r="C6" i="21"/>
  <c r="E6" i="21" s="1"/>
  <c r="C2" i="22" s="1"/>
  <c r="F3" i="22" s="1"/>
  <c r="C2" i="21"/>
  <c r="G5" i="21" l="1"/>
  <c r="I6" i="21"/>
  <c r="I9" i="21" s="1"/>
  <c r="E3" i="25"/>
  <c r="J3" i="25"/>
  <c r="L14" i="17"/>
  <c r="L13" i="17"/>
  <c r="G4" i="21"/>
  <c r="I5" i="21"/>
  <c r="C9" i="27"/>
  <c r="E4" i="21"/>
  <c r="G3" i="21"/>
  <c r="I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4" i="10"/>
  <c r="L5" i="10"/>
  <c r="L6" i="10"/>
  <c r="L7" i="10"/>
  <c r="I2" i="7"/>
  <c r="O2" i="7" l="1"/>
  <c r="P2" i="7" s="1"/>
  <c r="R2" i="10"/>
  <c r="R11" i="10" s="1"/>
  <c r="O3" i="10"/>
  <c r="O11" i="10" s="1"/>
  <c r="N11" i="10"/>
  <c r="L9" i="10"/>
  <c r="J14" i="30" s="1"/>
  <c r="J16" i="30" s="1"/>
  <c r="Q9" i="10"/>
  <c r="R9" i="10" s="1"/>
  <c r="L14" i="30" s="1"/>
  <c r="K2" i="7"/>
  <c r="M2" i="7"/>
  <c r="N9" i="10"/>
  <c r="X2" i="6"/>
  <c r="R2" i="7" l="1"/>
  <c r="J19" i="30"/>
  <c r="J15" i="30"/>
  <c r="L19" i="30"/>
  <c r="L16" i="30"/>
  <c r="L15" i="30"/>
  <c r="O9" i="10"/>
  <c r="K14" i="30" s="1"/>
  <c r="K19" i="30" l="1"/>
  <c r="K16" i="30"/>
  <c r="K15" i="30"/>
  <c r="E13" i="2"/>
  <c r="AP13" i="2" l="1"/>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55"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V57" i="13" s="1"/>
  <c r="Y10" i="3"/>
  <c r="P10" i="3"/>
  <c r="P14" i="3"/>
  <c r="Y14" i="3"/>
  <c r="AB64" i="13"/>
  <c r="L6" i="25" s="1"/>
  <c r="M6" i="25" s="1"/>
  <c r="P6" i="25" s="1"/>
  <c r="Y6" i="3"/>
  <c r="B2" i="25"/>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B7" i="25"/>
  <c r="C7" i="25" s="1"/>
  <c r="F7" i="25" s="1"/>
  <c r="F10" i="25" s="1"/>
  <c r="Q10" i="3"/>
  <c r="W10" i="3"/>
  <c r="X10" i="3" s="1"/>
  <c r="V10" i="3"/>
  <c r="O64" i="13"/>
  <c r="B6" i="25" s="1"/>
  <c r="C6" i="25" s="1"/>
  <c r="F6" i="25" s="1"/>
  <c r="Q15" i="3"/>
  <c r="AE15" i="3" s="1"/>
  <c r="W15" i="3"/>
  <c r="X15" i="3" s="1"/>
  <c r="V15" i="3"/>
  <c r="Q7" i="3"/>
  <c r="P7" i="3" s="1"/>
  <c r="V7" i="3"/>
  <c r="W7" i="3"/>
  <c r="X7" i="3" s="1"/>
  <c r="B3" i="25"/>
  <c r="B4" i="25"/>
  <c r="C4" i="25" s="1"/>
  <c r="F4" i="25" s="1"/>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<sst xmlns="http://schemas.openxmlformats.org/spreadsheetml/2006/main" count="1712" uniqueCount="1280">
  <si>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</si>
  <si>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</si>
  <si>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</si>
  <si>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</si>
  <si>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</si>
  <si>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</si>
  <si>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</si>
  <si>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</si>
  <si>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</si>
  <si>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</si>
  <si>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</si>
  <si>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</si>
  <si>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</si>
  <si>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</si>
  <si>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</si>
  <si>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</si>
  <si>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</si>
  <si>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</si>
  <si>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</si>
  <si>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</si>
  <si>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</si>
  <si>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</si>
  <si>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</si>
  <si>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</si>
  <si>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</si>
  <si>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</si>
  <si>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</si>
  <si>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</si>
  <si>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</si>
  <si>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</si>
  <si>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</si>
  <si>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</si>
  <si>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</si>
  <si>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</si>
  <si>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</si>
  <si>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</si>
  <si>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</si>
  <si>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</si>
  <si>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</si>
  <si>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</si>
  <si>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</si>
  <si>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</si>
  <si>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</si>
  <si>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</si>
  <si>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</si>
  <si>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</si>
  <si>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</si>
  <si>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</si>
  <si>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</si>
  <si>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</si>
  <si>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</si>
  <si>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</si>
  <si>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</si>
  <si>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</si>
  <si>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</si>
  <si>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</si>
  <si>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</si>
  <si>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</si>
  <si>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</si>
  <si>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</si>
  <si>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</si>
  <si>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</si>
  <si>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</si>
  <si>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</si>
  <si>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</si>
  <si>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</si>
  <si>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</si>
  <si>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</si>
  <si>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</si>
  <si>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</si>
  <si>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</si>
  <si>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</si>
  <si>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</si>
  <si>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</si>
  <si>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</si>
  <si>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</si>
  <si>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</si>
  <si>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</si>
  <si>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</si>
  <si>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</si>
  <si>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</si>
  <si>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</si>
  <si>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</si>
  <si>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</si>
  <si>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</si>
  <si>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</si>
  <si>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</si>
  <si>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</si>
  <si>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</si>
  <si>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</si>
  <si>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</si>
  <si>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</si>
  <si>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</si>
  <si>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</si>
  <si>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</si>
  <si>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</si>
  <si>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</si>
  <si>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</si>
  <si>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</si>
  <si>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</si>
  <si>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</si>
  <si>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</si>
  <si>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</si>
  <si>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</si>
  <si>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</si>
  <si>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</si>
  <si>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</si>
  <si>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</si>
  <si>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</si>
  <si>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</si>
  <si>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</si>
  <si>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</si>
  <si>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</si>
  <si>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</si>
  <si>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</si>
  <si>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</si>
  <si>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</si>
  <si>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</si>
  <si>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</si>
  <si>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</si>
  <si>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</si>
  <si>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</si>
  <si>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</si>
  <si>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</si>
  <si>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</si>
  <si>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</si>
  <si>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</si>
  <si>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</si>
  <si>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</si>
  <si>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</si>
  <si>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</si>
  <si>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</si>
  <si>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</si>
  <si>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</si>
  <si>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</si>
  <si>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</si>
  <si>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</si>
  <si>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</si>
  <si>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</si>
  <si>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</si>
  <si>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</si>
  <si>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</si>
  <si>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</si>
  <si>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</si>
  <si>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</si>
  <si>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</si>
  <si>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</si>
  <si>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</si>
  <si>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</si>
  <si>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</si>
  <si>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</si>
  <si>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</si>
  <si>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</si>
  <si>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</si>
  <si>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</si>
  <si>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</si>
  <si>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</si>
  <si>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</si>
  <si>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</si>
  <si>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</si>
  <si>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</si>
  <si>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</si>
  <si>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</si>
  <si>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</si>
  <si>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</si>
  <si>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</si>
  <si>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</si>
  <si>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</si>
  <si>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</si>
  <si>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</si>
  <si>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</si>
  <si>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</si>
  <si>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</si>
  <si>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</si>
  <si>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</si>
  <si>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</si>
  <si>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</si>
  <si>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</si>
  <si>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</si>
  <si>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</si>
  <si>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</si>
  <si>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</si>
  <si>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</si>
  <si>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</si>
  <si>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</si>
  <si>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</si>
  <si>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</si>
  <si>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</si>
  <si>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</si>
  <si>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</si>
  <si>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</si>
  <si>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</si>
  <si>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</si>
  <si>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</si>
  <si>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</si>
  <si>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</si>
  <si>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</si>
  <si>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</si>
  <si>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</si>
  <si>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</si>
  <si>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</si>
  <si>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</si>
  <si>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</si>
  <si>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</si>
  <si>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</si>
  <si>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</si>
  <si>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</si>
  <si>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</si>
  <si>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</si>
  <si>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</si>
  <si>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</si>
  <si>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</si>
  <si>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</si>
  <si>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</si>
  <si>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</si>
  <si>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</si>
  <si>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</si>
  <si>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</si>
  <si>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</si>
  <si>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</si>
  <si>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</si>
  <si>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</si>
  <si>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</si>
  <si>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</si>
  <si>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</si>
  <si>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</si>
  <si>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</si>
  <si>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</si>
  <si>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</si>
  <si>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</si>
  <si>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</si>
  <si>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</si>
  <si>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</si>
  <si>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</si>
  <si>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</si>
  <si>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</si>
  <si>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</si>
  <si>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</si>
  <si>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</si>
  <si>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</si>
  <si>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</si>
  <si>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</si>
  <si>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</si>
  <si>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</si>
  <si>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</si>
  <si>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</si>
  <si>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</si>
  <si>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</si>
  <si>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</si>
  <si>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</si>
  <si>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</si>
  <si>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</si>
  <si>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</si>
  <si>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</si>
  <si>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</si>
  <si>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</si>
  <si>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</si>
  <si>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</si>
  <si>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</si>
  <si>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</si>
  <si>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</si>
  <si>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</si>
  <si>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</si>
  <si>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</si>
  <si>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</si>
  <si>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</si>
  <si>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</si>
  <si>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</si>
  <si>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</si>
  <si>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</si>
  <si>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</si>
  <si>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</si>
  <si>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</si>
  <si>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</si>
  <si>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</si>
  <si>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</si>
  <si>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</si>
  <si>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</si>
  <si>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</si>
  <si>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</si>
  <si>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</si>
  <si>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</si>
  <si>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</si>
  <si>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</si>
  <si>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</si>
  <si>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</si>
  <si>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</si>
  <si>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</si>
  <si>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</si>
  <si>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</si>
  <si>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</si>
  <si>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</si>
  <si>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</si>
  <si>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</si>
  <si>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</si>
  <si>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</si>
  <si>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</si>
  <si>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</si>
  <si>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</si>
  <si>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</si>
  <si>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</si>
  <si>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</si>
  <si>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</si>
  <si>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</si>
  <si>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</si>
  <si>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</si>
  <si>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</si>
  <si>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</si>
  <si>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</si>
  <si>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</si>
  <si>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</si>
  <si>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</si>
  <si>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</si>
  <si>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</si>
  <si>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</si>
  <si>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</si>
  <si>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</si>
  <si>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</si>
  <si>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</si>
  <si>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</si>
  <si>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</si>
  <si>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</si>
  <si>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</si>
  <si>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</si>
  <si>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</si>
  <si>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</si>
  <si>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</si>
  <si>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</si>
  <si>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</si>
  <si>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</si>
  <si>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</si>
  <si>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</si>
  <si>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</si>
  <si>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</si>
  <si>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</si>
  <si>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</si>
  <si>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</si>
  <si>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</si>
  <si>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</si>
  <si>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</si>
  <si>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</si>
  <si>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</si>
  <si>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</si>
  <si>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</si>
  <si>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</si>
  <si>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</si>
  <si>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</si>
  <si>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</si>
  <si>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</si>
  <si>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</si>
  <si>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</si>
  <si>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</si>
  <si>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</si>
  <si>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</si>
  <si>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</si>
  <si>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</si>
  <si>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</si>
  <si>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</si>
  <si>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</si>
  <si>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</si>
  <si>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</si>
  <si>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</si>
  <si>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</si>
  <si>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</si>
  <si>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</si>
  <si>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</si>
  <si>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</si>
  <si>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</si>
  <si>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</si>
  <si>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</si>
  <si>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</si>
  <si>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</si>
  <si>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</si>
  <si>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</si>
  <si>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</si>
  <si>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</si>
  <si>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</si>
  <si>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</si>
  <si>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</si>
  <si>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</si>
  <si>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</si>
  <si>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</si>
  <si>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</si>
  <si>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</si>
  <si>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</si>
  <si>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</si>
  <si>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</si>
  <si>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</si>
  <si>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</si>
  <si>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</si>
  <si>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</si>
  <si>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</si>
  <si>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</si>
  <si>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</si>
  <si>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</si>
  <si>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</si>
  <si>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</si>
  <si>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</si>
  <si>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</si>
  <si>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</si>
  <si>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</si>
  <si>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</si>
  <si>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</si>
  <si>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</si>
  <si>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</si>
  <si>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</si>
  <si>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</si>
  <si>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</si>
  <si>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</si>
  <si>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</si>
  <si>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</si>
  <si>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</si>
  <si>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</si>
  <si>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</si>
  <si>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</si>
  <si>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</si>
  <si>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</si>
  <si>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</si>
  <si>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</si>
  <si>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</si>
  <si>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</si>
  <si>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</si>
  <si>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</si>
  <si>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</si>
  <si>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</si>
  <si>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</si>
  <si>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</si>
  <si>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</si>
  <si>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</si>
  <si>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</si>
  <si>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</si>
  <si>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</si>
  <si>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</si>
  <si>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</si>
  <si>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</si>
  <si>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</si>
  <si>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</si>
  <si>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</si>
  <si>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</si>
  <si>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</si>
  <si>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</si>
  <si>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</si>
  <si>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</si>
  <si>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</si>
  <si>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</si>
  <si>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</si>
  <si>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</si>
  <si>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</si>
  <si>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</si>
  <si>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</si>
  <si>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</si>
  <si>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</si>
  <si>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</si>
  <si>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</si>
  <si>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</si>
  <si>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</si>
  <si>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</si>
  <si>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</si>
  <si>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</si>
  <si>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</si>
  <si>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</si>
  <si>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</si>
  <si>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</si>
  <si>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</si>
  <si>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</si>
  <si>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</si>
  <si>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</si>
  <si>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</si>
  <si>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</si>
  <si>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</si>
  <si>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</si>
  <si>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</si>
  <si>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</si>
  <si>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</si>
  <si>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</si>
  <si>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</si>
  <si>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</si>
  <si>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</si>
  <si>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</si>
  <si>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</si>
  <si>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</si>
  <si>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</si>
  <si>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</si>
  <si>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</si>
  <si>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</si>
  <si>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</si>
  <si>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</si>
  <si>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</si>
  <si>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</si>
  <si>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</si>
  <si>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</si>
  <si>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</si>
  <si>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</si>
  <si>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</si>
  <si>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</si>
  <si>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</si>
  <si>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</si>
  <si>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</si>
  <si>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</si>
  <si>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</si>
  <si>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</si>
  <si>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</si>
  <si>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</si>
  <si>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</si>
  <si>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</si>
  <si>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</si>
  <si>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</si>
  <si>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</si>
  <si>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</si>
  <si>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</si>
  <si>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</si>
  <si>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</si>
  <si>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</si>
  <si>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</si>
  <si>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</si>
  <si>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</si>
  <si>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</si>
  <si>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</si>
  <si>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</si>
  <si>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</si>
  <si>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</si>
  <si>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</si>
  <si>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</si>
  <si>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</si>
  <si>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</si>
  <si>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</si>
  <si>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</si>
  <si>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</si>
  <si>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</si>
  <si>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</si>
  <si>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</si>
  <si>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</si>
  <si>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</si>
  <si>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</si>
  <si>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</si>
  <si>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</si>
  <si>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</si>
  <si>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</si>
  <si>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</si>
  <si>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</si>
  <si>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</si>
  <si>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</si>
  <si>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</si>
  <si>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</si>
  <si>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</si>
  <si>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</si>
  <si>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</si>
  <si>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</si>
  <si>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</si>
  <si>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</si>
  <si>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</si>
  <si>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</si>
  <si>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</si>
  <si>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</si>
  <si>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</si>
  <si>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</si>
  <si>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</si>
  <si>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</si>
  <si>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</si>
  <si>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</si>
  <si>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</si>
  <si>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</si>
  <si>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</si>
  <si>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</si>
  <si>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</si>
  <si>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</si>
  <si>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</si>
  <si>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</si>
  <si>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</si>
  <si>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</si>
  <si>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</si>
  <si>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</si>
  <si>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</si>
  <si>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</si>
  <si>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</si>
  <si>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</si>
  <si>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</si>
  <si>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</si>
  <si>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</si>
  <si>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</si>
  <si>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</si>
  <si>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</si>
  <si>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</si>
  <si>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</si>
  <si>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</si>
  <si>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</si>
  <si>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</si>
  <si>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</si>
  <si>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</si>
  <si>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</si>
  <si>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</si>
  <si>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</si>
  <si>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</si>
  <si>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</si>
  <si>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</si>
  <si>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</si>
  <si>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</si>
  <si>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</si>
  <si>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</si>
  <si>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</si>
  <si>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</si>
  <si>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</si>
  <si>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</si>
  <si>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</si>
  <si>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</si>
  <si>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</si>
  <si>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</si>
  <si>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</si>
  <si>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</si>
  <si>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</si>
  <si>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</si>
  <si>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</si>
  <si>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</si>
  <si>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</si>
  <si>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</si>
  <si>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</si>
  <si>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</si>
  <si>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</si>
  <si>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</si>
  <si>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</si>
  <si>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</si>
  <si>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</si>
  <si>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</si>
  <si>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</si>
  <si>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</si>
  <si>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</si>
  <si>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</si>
  <si>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</si>
  <si>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</si>
  <si>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</si>
  <si>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</si>
  <si>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</si>
  <si>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</si>
  <si>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</si>
  <si>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</si>
  <si>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</si>
  <si>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</si>
  <si>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</si>
  <si>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</si>
  <si>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</si>
  <si>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</si>
  <si>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</si>
  <si>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</si>
  <si>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</si>
  <si>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</si>
  <si>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</si>
  <si>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</si>
  <si>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</si>
  <si>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</si>
  <si>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</si>
  <si>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</si>
  <si>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</si>
  <si>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</si>
  <si>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</si>
  <si>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</si>
  <si>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</si>
  <si>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</si>
  <si>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</si>
  <si>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</si>
  <si>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</si>
  <si>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</si>
  <si>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</si>
  <si>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</si>
  <si>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</si>
  <si>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</si>
  <si>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</si>
  <si>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</si>
  <si>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</si>
  <si>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</si>
  <si>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</si>
  <si>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</si>
  <si>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</si>
  <si>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</si>
  <si>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</si>
  <si>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</si>
  <si>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</si>
  <si>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</si>
  <si>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</si>
  <si>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</si>
  <si>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</si>
  <si>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</si>
  <si>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</si>
  <si>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</si>
  <si>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</si>
  <si>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</si>
  <si>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</si>
  <si>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</si>
  <si>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</si>
  <si>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</si>
  <si>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</si>
  <si>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</si>
  <si>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</si>
  <si>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</si>
  <si>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</si>
  <si>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</si>
  <si>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</si>
  <si>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</si>
  <si>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</si>
  <si>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</si>
  <si>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</si>
  <si>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</si>
  <si>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</si>
  <si>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</si>
  <si>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</si>
  <si>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</si>
  <si>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</si>
  <si>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</si>
  <si>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</si>
  <si>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</si>
  <si>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</si>
  <si>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</si>
  <si>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</si>
  <si>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</si>
  <si>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</si>
  <si>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</si>
  <si>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</si>
  <si>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</si>
  <si>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</si>
  <si>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</si>
  <si>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</si>
  <si>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</si>
  <si>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</si>
  <si>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</si>
  <si>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</si>
  <si>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</si>
  <si>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</si>
  <si>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</si>
  <si>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</si>
  <si>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</si>
  <si>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</si>
  <si>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</si>
  <si>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</si>
  <si>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</si>
  <si>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</si>
  <si>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</si>
  <si>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</si>
  <si>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</si>
  <si>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</si>
  <si>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</si>
  <si>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</si>
  <si>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</si>
  <si>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</si>
  <si>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</si>
  <si>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</si>
  <si>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</si>
  <si>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</si>
  <si>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</si>
  <si>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</si>
  <si>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</si>
  <si>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</si>
  <si>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</si>
  <si>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</si>
  <si>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</si>
  <si>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</si>
  <si>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</si>
  <si>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</si>
  <si>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</si>
  <si>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</si>
  <si>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</si>
  <si>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</si>
  <si>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</si>
  <si>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</si>
  <si>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</si>
  <si>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</si>
  <si>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</si>
  <si>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</si>
  <si>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</si>
  <si>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</si>
  <si>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</si>
  <si>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</si>
  <si>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</si>
  <si>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</si>
  <si>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</si>
  <si>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</si>
  <si>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</si>
  <si>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</si>
  <si>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</si>
  <si>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</si>
  <si>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</si>
  <si>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</si>
  <si>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</si>
  <si>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</si>
  <si>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</si>
  <si>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</si>
  <si>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</si>
  <si>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</si>
  <si>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</si>
  <si>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</si>
  <si>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</si>
  <si>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</si>
  <si>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</si>
  <si>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</si>
  <si>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</si>
  <si>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</si>
  <si>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</si>
  <si>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</si>
  <si>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</si>
  <si>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</si>
  <si>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</si>
  <si>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</si>
  <si>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</si>
  <si>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</si>
  <si>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</si>
  <si>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</si>
  <si>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</si>
  <si>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</si>
  <si>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</si>
  <si>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</si>
  <si>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</si>
  <si>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</si>
  <si>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</si>
  <si>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</si>
  <si>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</si>
  <si>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</si>
  <si>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</si>
  <si>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</si>
  <si>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</si>
  <si>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</si>
  <si>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</si>
  <si>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</si>
  <si>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</si>
  <si>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</si>
  <si>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</si>
  <si>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</si>
  <si>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</si>
  <si>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</si>
  <si>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</si>
  <si>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</si>
  <si>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</si>
  <si>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</si>
  <si>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</si>
  <si>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</si>
  <si>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</si>
  <si>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</si>
  <si>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</si>
  <si>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</si>
  <si>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</si>
  <si>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</si>
  <si>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</si>
  <si>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</si>
  <si>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</si>
  <si>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</si>
  <si>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</si>
  <si>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</si>
  <si>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</si>
  <si>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</si>
  <si>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</si>
  <si>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</si>
  <si>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</si>
  <si>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</si>
  <si>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</si>
  <si>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</si>
  <si>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</si>
  <si>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</si>
  <si>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</si>
  <si>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</si>
  <si>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</si>
  <si>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</si>
  <si>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</si>
  <si>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</si>
  <si>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</si>
  <si>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</si>
  <si>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</si>
  <si>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</si>
  <si>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</si>
  <si>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</si>
  <si>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</si>
  <si>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</si>
  <si>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</si>
  <si>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</si>
  <si>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</si>
  <si>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</si>
  <si>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</si>
  <si>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</si>
  <si>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</si>
  <si>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</si>
  <si>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</si>
  <si>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</si>
  <si>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</si>
  <si>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</si>
  <si>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</si>
  <si>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</si>
  <si>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</si>
  <si>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</si>
  <si>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</si>
  <si>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</si>
  <si>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</si>
  <si>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</si>
  <si>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</si>
  <si>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</si>
  <si>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</si>
  <si>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</si>
  <si>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</si>
  <si>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</si>
  <si>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</si>
  <si>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</si>
  <si>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</si>
  <si>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</si>
  <si>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</si>
  <si>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</si>
  <si>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</si>
  <si>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</si>
  <si>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</si>
  <si>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</si>
  <si>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</si>
  <si>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</si>
  <si>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</si>
  <si>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</si>
  <si>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</si>
  <si>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</si>
  <si>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</si>
  <si>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</si>
  <si>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</si>
  <si>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</si>
  <si>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</si>
  <si>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</si>
  <si>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</si>
  <si>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</si>
  <si>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</si>
  <si>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</si>
  <si>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</si>
  <si>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</si>
  <si>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</si>
  <si>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</si>
  <si>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</si>
  <si>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</si>
  <si>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</si>
  <si>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</si>
  <si>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</si>
  <si>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</si>
  <si>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</si>
  <si>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</si>
  <si>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</si>
  <si>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</si>
  <si>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</si>
  <si>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</si>
  <si>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</si>
  <si>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</si>
  <si>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</si>
  <si>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</si>
  <si>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</si>
  <si>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</si>
  <si>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</si>
  <si>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</si>
  <si>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</si>
  <si>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</si>
  <si>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</si>
  <si>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</si>
  <si>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</si>
  <si>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</si>
  <si>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</si>
  <si>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</si>
  <si>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</si>
  <si>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</si>
  <si>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</si>
  <si>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</si>
  <si>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</si>
  <si>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</si>
  <si>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</si>
  <si>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</si>
  <si>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</si>
  <si>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</si>
  <si>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</si>
  <si>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</si>
  <si>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</si>
  <si>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</si>
  <si>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</si>
  <si>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</si>
  <si>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</si>
  <si>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</si>
  <si>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</si>
  <si>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</si>
  <si>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</si>
  <si>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</si>
  <si>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</si>
  <si>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</si>
  <si>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</si>
  <si>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</si>
  <si>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</si>
  <si>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</si>
  <si>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</si>
  <si>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</si>
  <si>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</si>
  <si>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</si>
  <si>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</si>
  <si>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</si>
  <si>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</si>
  <si>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</si>
  <si>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</si>
  <si>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</si>
  <si>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</si>
  <si>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</si>
  <si>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</si>
  <si>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</si>
  <si>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</si>
  <si>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</si>
  <si>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</si>
  <si>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</si>
  <si>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</si>
  <si>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</si>
  <si>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</si>
  <si>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</si>
  <si>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</si>
  <si>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</si>
  <si>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</si>
  <si>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</si>
  <si>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</si>
  <si>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</si>
  <si>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</si>
  <si>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</si>
  <si>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</si>
  <si>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</si>
  <si>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</si>
  <si>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</si>
  <si>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</si>
  <si>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</si>
  <si>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</si>
  <si>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</si>
  <si>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</si>
  <si>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</si>
  <si>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</si>
  <si>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</si>
  <si>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</si>
  <si>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</si>
  <si>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</si>
  <si>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</si>
  <si>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</si>
  <si>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</si>
  <si>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</si>
  <si>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</si>
  <si>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</si>
  <si>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</si>
  <si>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</si>
  <si>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</si>
  <si>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</si>
  <si>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</si>
  <si>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</si>
  <si>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</si>
  <si>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</si>
  <si>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</si>
  <si>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</si>
  <si>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</si>
  <si>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</si>
  <si>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</si>
  <si>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</si>
  <si>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</si>
  <si>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</si>
  <si>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</si>
  <si>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</si>
  <si>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</si>
  <si>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</si>
  <si>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</si>
  <si>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</si>
  <si>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</si>
  <si>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</si>
  <si>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</si>
  <si>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</si>
  <si>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</si>
  <si>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</si>
  <si>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</si>
  <si>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</si>
  <si>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</si>
  <si>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</si>
  <si>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</si>
  <si>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</si>
  <si>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</si>
  <si>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</si>
  <si>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</si>
  <si>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</si>
  <si>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</si>
  <si>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</si>
  <si>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</si>
  <si>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</si>
  <si>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</si>
  <si>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</si>
  <si>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</si>
  <si>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</si>
  <si>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</si>
  <si>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</si>
  <si>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</si>
  <si>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</si>
  <si>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</si>
  <si>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</si>
  <si>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</si>
  <si>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</si>
  <si>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</si>
  <si>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</si>
  <si>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</si>
  <si>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</si>
  <si>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</si>
  <si>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</si>
  <si>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</si>
  <si>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</si>
  <si>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</si>
  <si>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</si>
  <si>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</si>
  <si>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</si>
  <si>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</si>
  <si>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</si>
  <si>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</si>
  <si>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</si>
  <si>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</si>
  <si>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</si>
  <si>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</si>
  <si>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</si>
  <si>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</si>
  <si>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</si>
  <si>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</si>
  <si>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</si>
  <si>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</si>
  <si>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</si>
  <si>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</si>
  <si>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</si>
  <si>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</si>
  <si>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</si>
  <si>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</si>
  <si>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</si>
  <si>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</si>
  <si>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</si>
  <si>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</si>
  <si>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</si>
  <si>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</si>
  <si>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</si>
  <si>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</si>
  <si>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</si>
  <si>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</si>
  <si>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</si>
  <si>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</si>
  <si>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</si>
  <si>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</si>
  <si>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</si>
  <si>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</si>
  <si>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</si>
  <si>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</si>
  <si>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</si>
  <si>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</si>
  <si>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</si>
  <si>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</si>
  <si>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</si>
  <si>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</si>
  <si>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</si>
  <si>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</si>
  <si>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</si>
  <si>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</si>
  <si>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</si>
  <si>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</si>
  <si>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</si>
  <si>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</si>
  <si>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</si>
  <si>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</si>
  <si>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</si>
  <si>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</si>
  <si>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</si>
  <si>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</si>
  <si>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</si>
  <si>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</si>
  <si>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</si>
  <si>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</si>
  <si>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</si>
  <si>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</si>
  <si>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</si>
  <si>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</si>
  <si>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</si>
  <si>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</si>
  <si>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</si>
  <si>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</si>
  <si>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</si>
  <si>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</si>
  <si>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</si>
  <si>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</si>
  <si>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</si>
  <si>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</si>
  <si>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</si>
  <si>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</si>
  <si>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</si>
  <si>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</si>
  <si>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</si>
  <si>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</si>
  <si>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</si>
  <si>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</si>
  <si>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</si>
  <si>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</si>
  <si>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</si>
  <si>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</si>
  <si>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</si>
  <si>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</si>
  <si>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</si>
  <si>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</si>
  <si>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</si>
  <si>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</si>
  <si>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</si>
  <si>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</si>
  <si>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</si>
  <si>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</si>
  <si>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</si>
  <si>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</si>
  <si>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</si>
  <si>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</si>
  <si>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</si>
  <si>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</si>
  <si>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</si>
  <si>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</si>
  <si>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</si>
  <si>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</si>
  <si>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</si>
  <si>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</si>
  <si>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</si>
  <si>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</si>
  <si>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</si>
  <si>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</si>
  <si>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</si>
  <si>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</si>
  <si>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</si>
  <si>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</si>
  <si>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</si>
  <si>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</si>
  <si>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</si>
  <si>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</si>
  <si>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</si>
  <si>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</si>
  <si>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</si>
  <si>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</si>
  <si>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</si>
  <si>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</si>
  <si>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</si>
  <si>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</si>
  <si>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</si>
  <si>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</si>
  <si>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</si>
  <si>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</si>
  <si>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</si>
  <si>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</si>
  <si>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</si>
  <si>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</si>
  <si>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</si>
  <si>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</si>
  <si>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</si>
  <si>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</si>
  <si>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</si>
  <si>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</si>
  <si>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</si>
  <si>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</si>
  <si>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</si>
  <si>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</si>
  <si>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</si>
  <si>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</si>
  <si>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</si>
  <si>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</si>
  <si>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</si>
  <si>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</si>
  <si>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</si>
  <si>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</si>
  <si>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</si>
  <si>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</si>
  <si>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</si>
  <si>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</si>
  <si>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</si>
  <si>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</si>
  <si>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</si>
  <si>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</si>
  <si>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</si>
  <si>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</si>
  <si>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</si>
  <si>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</si>
  <si>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</si>
  <si>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</si>
  <si>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</si>
  <si>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</si>
  <si>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</si>
  <si>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</si>
  <si>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</si>
  <si>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</si>
  <si>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</si>
  <si>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</si>
  <si>
    <t>Milk produced</t>
  </si>
  <si>
    <t>% arable land</t>
  </si>
  <si>
    <t>grass</t>
  </si>
  <si>
    <t>cover crops (green rye and cover crops)</t>
  </si>
  <si>
    <t>human food processed</t>
  </si>
  <si>
    <t>animal feed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</si>
</sst>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 numFmtId="173" formatCode="_-* #,##0_-;\-* #,##0_-;_-* &quot;-&quot;??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7">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xf numFmtId="173" fontId="0" fillId="0" borderId="0" xfId="43393" applyNumberFormat="1" applyFont="1"/>
    <xf numFmtId="171" fontId="0" fillId="0" borderId="0" xfId="0" applyNumberFormat="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threadedComments/threadedComment3.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ec.europa.eu/eurostat/statistics-explained/index.php?title=Glossary:Livestock_unit_(LSU)"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landwirtschaftskammer.de/Landwirtschaft/ackerbau/pdf/nachwachsende-rohstoffe.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hyperlink" Target="https://de.wikipedia.org/wiki/Milchleistung"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energieatlas.nrw.de/site/bestandskarte"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28"/>
  <sheetViews>
    <sheetView workbookViewId="0">
      <selection activeCell="C29" sqref="C29"/>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30" t="s">
        <v>1243</v>
      </c>
    </row>
  </sheetData>
  <hyperlinks>
    <hyperlink ref="C28" r:id="rId1" xr:uid="{B2180D0D-F131-4CE7-91A3-EBD3C3B56CB8}"/>
  </hyperlinks>
  <pageMargins left="0.7" right="0.7" top="0.78740157499999996" bottom="0.78740157499999996" header="0.3" footer="0.3"/>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abSelected="1" topLeftCell="A10" workbookViewId="0">
      <selection activeCell="H21" sqref="H21"/>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G18" s="1" t="s">
        <v>1277</v>
      </c>
      <c r="H18" s="176">
        <f>SUM(L18,L22) / H32</f>
        <v>0.34513274336283156</v>
      </c>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G19" t="s">
        <v>1276</v>
      </c>
      <c r="H19" s="46">
        <f>L19/H32</f>
        <v>0.14159292035398222</v>
      </c>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G20" t="s">
        <v>1279</v>
      </c>
      <c r="H20" s="46">
        <f>K21/H32</f>
        <v>0.10619469026548664</v>
      </c>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G21" t="s">
        <v>1278</v>
      </c>
      <c r="H21" s="46">
        <f>SUM(L23,L27)/H32</f>
        <v>0.20353982300884937</v>
      </c>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H22" s="176">
        <f>SUM(H18:H21)</f>
        <v>0.7964601769911499</v>
      </c>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G25" t="s">
        <v>51</v>
      </c>
      <c r="H25" s="176">
        <f>SUM(L29:L31) /H32</f>
        <v>0.2035398230088494</v>
      </c>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SUM(K28*E28)</f>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H32" s="1">
        <f>L32-L14</f>
        <v>210719.42065397371</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c r="L34" s="1">
        <f>L32-L14</f>
        <v>210719.42065397371</v>
      </c>
      <c r="M34" s="22">
        <f>M32/K32</f>
        <v>0.38388904413819469</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L47"/>
  <sheetViews>
    <sheetView topLeftCell="A4" workbookViewId="0">
      <selection activeCell="B24" sqref="B2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B24">
        <f>SUM(B3:B22)</f>
        <v>2790</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14"/>
  <sheetViews>
    <sheetView workbookViewId="0">
      <selection activeCell="H23" sqref="H23"/>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K29"/>
  <sheetViews>
    <sheetView workbookViewId="0">
      <selection activeCell="C2" sqref="C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AB36"/>
  <sheetViews>
    <sheetView workbookViewId="0">
      <pane xSplit="1" topLeftCell="B1" activePane="topRight" state="frozen"/>
      <selection pane="topRight" activeCell="H2" sqref="H2"/>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R23"/>
  <sheetViews>
    <sheetView zoomScale="85" zoomScaleNormal="85" workbookViewId="0">
      <selection activeCell="K2" sqref="K2"/>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V25"/>
  <sheetViews>
    <sheetView workbookViewId="0">
      <selection activeCell="F15" sqref="F15"/>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SUM(J2*K2/100)</f>
        <v>453.036</v>
      </c>
      <c r="M2" s="39">
        <v>6.96</v>
      </c>
      <c r="N2" s="11">
        <f t="shared" ref="N2:N7" si="0">SUM(J2*M2/100)</f>
        <v>553.18079999999998</v>
      </c>
      <c r="O2" s="11">
        <f>SUM(N2*0.4364)</f>
        <v>241.40810112</v>
      </c>
      <c r="P2" s="39">
        <v>0.26</v>
      </c>
      <c r="Q2" s="11">
        <f t="shared" ref="Q2:Q7" si="1">SUM(J2*P2/100)</f>
        <v>20.6648</v>
      </c>
      <c r="R2" s="11">
        <f>SUM(Q2*0.8301)</f>
        <v>17.153850479999999</v>
      </c>
      <c r="S2">
        <v>55.2</v>
      </c>
      <c r="T2" s="11">
        <f t="shared" ref="T2:T7" si="2">SUM(G2*(S2/100)*(58/100))</f>
        <v>2544.63168</v>
      </c>
    </row>
    <row r="3" spans="1:22" ht="28.8" x14ac:dyDescent="0.3">
      <c r="A3" s="2"/>
      <c r="B3" s="3"/>
      <c r="C3" s="25" t="s">
        <v>173</v>
      </c>
      <c r="D3" s="3" t="s">
        <v>1070</v>
      </c>
      <c r="F3" s="141">
        <f t="shared" ref="F3:F7" si="3">SUM(100*G3/B$24)</f>
        <v>2521.7391304347825</v>
      </c>
      <c r="G3">
        <v>580</v>
      </c>
      <c r="H3" s="50">
        <f>SUM(G3*100/G9)</f>
        <v>7.2974333165576244</v>
      </c>
      <c r="I3">
        <v>100</v>
      </c>
      <c r="J3" s="22">
        <v>580</v>
      </c>
      <c r="K3" s="22">
        <v>5.7</v>
      </c>
      <c r="L3" s="135">
        <f>SUM(J3*K3/100)</f>
        <v>33.06</v>
      </c>
      <c r="M3" s="39">
        <v>6.96</v>
      </c>
      <c r="N3" s="11">
        <f t="shared" si="0"/>
        <v>40.368000000000002</v>
      </c>
      <c r="O3" s="11">
        <f t="shared" ref="O3:O7" si="4">SUM(N3*0.4364)</f>
        <v>17.616595200000003</v>
      </c>
      <c r="P3" s="39">
        <v>0.26</v>
      </c>
      <c r="Q3" s="11">
        <f t="shared" si="1"/>
        <v>1.508</v>
      </c>
      <c r="R3" s="11">
        <f t="shared" ref="R3:R7" si="5">SUM(Q3*0.8301)</f>
        <v>1.2517908</v>
      </c>
      <c r="S3" s="22">
        <v>55.2</v>
      </c>
      <c r="T3" s="11">
        <f t="shared" si="2"/>
        <v>185.69280000000001</v>
      </c>
    </row>
    <row r="4" spans="1:22" x14ac:dyDescent="0.3">
      <c r="A4" s="4"/>
      <c r="D4" s="4" t="s">
        <v>328</v>
      </c>
      <c r="F4" s="141">
        <f t="shared" si="3"/>
        <v>639.13043478260875</v>
      </c>
      <c r="G4">
        <v>147</v>
      </c>
      <c r="H4" s="50">
        <f>SUM(G4*100/G9)</f>
        <v>1.8495218922999497</v>
      </c>
      <c r="I4">
        <v>100</v>
      </c>
      <c r="J4" s="22">
        <v>147</v>
      </c>
      <c r="K4" s="22">
        <v>5.7</v>
      </c>
      <c r="L4" s="11">
        <f t="shared" ref="L4:L7" si="6">SUM(J4*K4/100)</f>
        <v>8.3789999999999996</v>
      </c>
      <c r="M4" s="39">
        <v>6.96</v>
      </c>
      <c r="N4" s="11">
        <f t="shared" si="0"/>
        <v>10.231199999999999</v>
      </c>
      <c r="O4" s="11">
        <f t="shared" si="4"/>
        <v>4.4648956799999997</v>
      </c>
      <c r="P4" s="39">
        <v>0.26</v>
      </c>
      <c r="Q4" s="11">
        <f t="shared" si="1"/>
        <v>0.38219999999999998</v>
      </c>
      <c r="R4" s="11">
        <f t="shared" si="5"/>
        <v>0.31726421999999999</v>
      </c>
      <c r="S4" s="22">
        <v>55.2</v>
      </c>
      <c r="T4" s="11">
        <f t="shared" si="2"/>
        <v>47.063519999999997</v>
      </c>
    </row>
    <row r="5" spans="1:22" x14ac:dyDescent="0.3">
      <c r="A5" s="4"/>
      <c r="D5" s="4" t="s">
        <v>1069</v>
      </c>
      <c r="F5" s="141">
        <f t="shared" si="3"/>
        <v>2452.1739130434785</v>
      </c>
      <c r="G5">
        <v>564</v>
      </c>
      <c r="H5" s="50">
        <f>SUM(G5*100/G9)</f>
        <v>7.0961248112732767</v>
      </c>
      <c r="I5">
        <v>100</v>
      </c>
      <c r="J5" s="22">
        <v>564</v>
      </c>
      <c r="K5" s="22">
        <v>5.7</v>
      </c>
      <c r="L5" s="11">
        <f t="shared" si="6"/>
        <v>32.148000000000003</v>
      </c>
      <c r="M5" s="39">
        <v>6.96</v>
      </c>
      <c r="N5" s="11">
        <f t="shared" si="0"/>
        <v>39.254400000000004</v>
      </c>
      <c r="O5" s="11">
        <f t="shared" si="4"/>
        <v>17.130620160000003</v>
      </c>
      <c r="P5" s="39">
        <v>0.26</v>
      </c>
      <c r="Q5" s="11">
        <f t="shared" si="1"/>
        <v>1.4664000000000001</v>
      </c>
      <c r="R5" s="11">
        <f t="shared" si="5"/>
        <v>1.2172586400000001</v>
      </c>
      <c r="S5" s="22">
        <v>55.2</v>
      </c>
      <c r="T5" s="11">
        <f t="shared" si="2"/>
        <v>180.57024000000001</v>
      </c>
    </row>
    <row r="6" spans="1:22" ht="28.8" x14ac:dyDescent="0.3">
      <c r="C6" s="2" t="s">
        <v>157</v>
      </c>
      <c r="D6" s="2" t="s">
        <v>176</v>
      </c>
      <c r="F6" s="141">
        <f t="shared" si="3"/>
        <v>421.73913043478262</v>
      </c>
      <c r="G6">
        <v>97</v>
      </c>
      <c r="H6" s="50">
        <f>SUM(G6*100/G9)</f>
        <v>1.2204328132863613</v>
      </c>
      <c r="I6">
        <v>100</v>
      </c>
      <c r="J6" s="22">
        <v>97</v>
      </c>
      <c r="K6" s="22">
        <v>5.7</v>
      </c>
      <c r="L6" s="11">
        <f t="shared" si="6"/>
        <v>5.5289999999999999</v>
      </c>
      <c r="M6" s="39">
        <v>6.96</v>
      </c>
      <c r="N6" s="11">
        <f t="shared" si="0"/>
        <v>6.7511999999999999</v>
      </c>
      <c r="O6" s="11">
        <f t="shared" si="4"/>
        <v>2.9462236800000001</v>
      </c>
      <c r="P6" s="39">
        <v>0.26</v>
      </c>
      <c r="Q6" s="11">
        <f t="shared" si="1"/>
        <v>0.25220000000000004</v>
      </c>
      <c r="R6" s="11">
        <f t="shared" si="5"/>
        <v>0.20935122</v>
      </c>
      <c r="S6" s="22">
        <v>55.2</v>
      </c>
      <c r="T6" s="11">
        <f t="shared" si="2"/>
        <v>31.055520000000001</v>
      </c>
    </row>
    <row r="7" spans="1:22" ht="28.8" x14ac:dyDescent="0.3">
      <c r="D7" s="2" t="s">
        <v>175</v>
      </c>
      <c r="E7" s="79">
        <v>7369.56</v>
      </c>
      <c r="F7" s="141">
        <f t="shared" si="3"/>
        <v>28521.739130434784</v>
      </c>
      <c r="G7" s="1">
        <v>6560</v>
      </c>
      <c r="H7" s="50">
        <f>SUM(G7*100/G9)</f>
        <v>82.536487166582788</v>
      </c>
      <c r="I7">
        <v>100</v>
      </c>
      <c r="J7" s="1">
        <v>6560</v>
      </c>
      <c r="K7" s="22">
        <v>5.7</v>
      </c>
      <c r="L7" s="11">
        <f t="shared" si="6"/>
        <v>373.92</v>
      </c>
      <c r="M7" s="39">
        <v>6.96</v>
      </c>
      <c r="N7" s="11">
        <f t="shared" si="0"/>
        <v>456.57599999999996</v>
      </c>
      <c r="O7" s="11">
        <f t="shared" si="4"/>
        <v>199.2497664</v>
      </c>
      <c r="P7" s="39">
        <v>0.26</v>
      </c>
      <c r="Q7" s="11">
        <f t="shared" si="1"/>
        <v>17.056000000000001</v>
      </c>
      <c r="R7" s="11">
        <f t="shared" si="5"/>
        <v>14.158185599999999</v>
      </c>
      <c r="S7" s="22">
        <v>55.2</v>
      </c>
      <c r="T7" s="11">
        <f t="shared" si="2"/>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N39"/>
  <sheetViews>
    <sheetView workbookViewId="0">
      <selection activeCell="E15" sqref="E15"/>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L11"/>
  <sheetViews>
    <sheetView topLeftCell="B5" workbookViewId="0">
      <selection activeCell="G24" sqref="G24:G29"/>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P16"/>
  <sheetViews>
    <sheetView workbookViewId="0">
      <selection activeCell="M9" sqref="M9"/>
    </sheetView>
  </sheetViews>
  <sheetFormatPr defaultColWidth="10.88671875" defaultRowHeight="14.4" x14ac:dyDescent="0.3"/>
  <cols>
    <col min="1" max="1" width="15" customWidth="1"/>
    <col min="3" max="3" width="11.44140625" bestFit="1" customWidth="1"/>
    <col min="5" max="5" width="12.44140625" bestFit="1" customWidth="1"/>
    <col min="13" max="13" width="16.33203125" bestFit="1" customWidth="1"/>
    <col min="14" max="14" width="14.8867187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7">
        <f>B2/M2 * 1000</f>
        <v>7671.4089516498225</v>
      </c>
      <c r="O2" s="146">
        <v>1.02</v>
      </c>
      <c r="P2" s="147">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t="s">
        <v>1274</v>
      </c>
      <c r="N4" s="147">
        <f>C2 / 1.02</f>
        <v>427147058.82352942</v>
      </c>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9">
        <f>M2*N2</f>
        <v>435690000</v>
      </c>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c r="M7">
        <v>611377000</v>
      </c>
      <c r="N7" s="175">
        <f>M7/54545</f>
        <v>11208.671738931158</v>
      </c>
      <c r="P7" s="175">
        <f>N7/O2</f>
        <v>10988.893861697214</v>
      </c>
    </row>
    <row r="8" spans="1:16" ht="57.6" x14ac:dyDescent="0.3">
      <c r="A8" s="2" t="s">
        <v>812</v>
      </c>
      <c r="E8" s="132">
        <f>SUM(E5:E6)</f>
        <v>496407.04581316648</v>
      </c>
      <c r="F8" s="68"/>
      <c r="G8" s="132">
        <f>SUM(G5:G6)</f>
        <v>87825.861951560204</v>
      </c>
      <c r="M8">
        <f>M7/O2</f>
        <v>599389215.68627453</v>
      </c>
      <c r="N8" s="144">
        <f>N7/365</f>
        <v>30.708689695701803</v>
      </c>
      <c r="P8" s="144">
        <f>P7/365</f>
        <v>30.106558525197844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s="30" t="s">
        <v>1198</v>
      </c>
    </row>
  </sheetData>
  <hyperlinks>
    <hyperlink ref="B16" r:id="rId1" xr:uid="{43779388-750C-4164-B7FC-B073C2EC61C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J28" sqref="J28"/>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SUM([1]N!$M$17)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SUM([1]N!$O$17)</f>
        <v>78090.951640625004</v>
      </c>
    </row>
    <row r="11" spans="1:5" x14ac:dyDescent="0.3">
      <c r="A11" s="22" t="s">
        <v>52</v>
      </c>
      <c r="C11" s="1">
        <f>SUM(C2:C10)</f>
        <v>5755960.3951619109</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3" sqref="D3"/>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SUM(B3/1000)</f>
        <v>519466.23000899993</v>
      </c>
      <c r="D3" s="74">
        <f>SUM([1]N!$M$17,[1]N!$O$17+'vegetal production (LWK)'!I24)</f>
        <v>1255045.7584526988</v>
      </c>
      <c r="E3" s="74">
        <f>SUM([2]N!$I$32)</f>
        <v>210719.42065397347</v>
      </c>
      <c r="F3" s="127">
        <f>SUM(C3-(D3-E3))</f>
        <v>-524860.10778972541</v>
      </c>
      <c r="G3" s="122">
        <f>SUM('households input'!V60)</f>
        <v>58136662.4652</v>
      </c>
      <c r="H3" s="131">
        <f t="shared" si="2"/>
        <v>58136.662465200003</v>
      </c>
      <c r="I3" s="120">
        <f>SUM([1]P!$M$17,[1]P!$O$17,'vegetal production (LWK)'!J24)</f>
        <v>250077.39012257764</v>
      </c>
      <c r="J3" s="120">
        <f>SUM([2]P!$G$29)</f>
        <v>84369.072392036367</v>
      </c>
      <c r="K3" s="131">
        <f>SUM(H3-(I3-J3))</f>
        <v>-107571.65526534128</v>
      </c>
      <c r="L3" s="133">
        <f>SUM('households input'!AB60)</f>
        <v>346352015.14631999</v>
      </c>
      <c r="M3" s="128">
        <f t="shared" si="4"/>
        <v>346352.01514631999</v>
      </c>
      <c r="N3" s="1">
        <f>SUM([1]K!$M$17,[1]K!$O$17,'vegetal production (LWK)'!K24)</f>
        <v>925593.58711840003</v>
      </c>
      <c r="O3" s="1">
        <f>SUM([2]K!$E$25)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(LWK)'!I24,[1]N!$M$17,[1]N!$O$17)</f>
        <v>1255045.7584526988</v>
      </c>
      <c r="C22" s="139">
        <f>SUM('vegetal production (LWK)'!J24,[1]P!$M$17,[1]P!$O$17)</f>
        <v>250077.39012257766</v>
      </c>
      <c r="D22" s="139">
        <f>SUM('vegetal production (LWK)'!K24,[1]K!$M$17,[1]K!$O$17)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A7" workbookViewId="0">
      <selection activeCell="B2" sqref="B2"/>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M39"/>
  <sheetViews>
    <sheetView topLeftCell="A10" workbookViewId="0">
      <selection activeCell="O30" sqref="O30"/>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34998626667073579"/>
  </sheetPr>
  <dimension ref="A1:I32"/>
  <sheetViews>
    <sheetView topLeftCell="A10" workbookViewId="0">
      <selection activeCell="K18" sqref="K18"/>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SUM([3]Import!$N$23)</f>
        <v>13264222.737770604</v>
      </c>
    </row>
    <row r="5" spans="1:6" x14ac:dyDescent="0.3">
      <c r="A5" t="s">
        <v>1106</v>
      </c>
      <c r="B5" s="1">
        <v>1880420</v>
      </c>
      <c r="C5" s="1">
        <v>490517.61987626506</v>
      </c>
      <c r="D5" s="1"/>
      <c r="E5" s="1">
        <v>1631085</v>
      </c>
      <c r="F5" s="1">
        <f>SUM([3]export!$T$11)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34998626667073579"/>
  </sheetPr>
  <dimension ref="A1:B31"/>
  <sheetViews>
    <sheetView workbookViewId="0">
      <selection activeCell="B25" sqref="B25"/>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D7" workbookViewId="0">
      <selection activeCell="M26" sqref="M26"/>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c r="T1" s="2" t="s">
        <v>1256</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c r="T2">
        <f>I3</f>
        <v>114.30000000000001</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c r="T3">
        <f>I9</f>
        <v>47</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T4">
        <f>I4</f>
        <v>51</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c r="T5">
        <f>I5</f>
        <v>15</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C3" sqref="C3"/>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H9" sqref="H9"/>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opLeftCell="G16" workbookViewId="0">
      <selection activeCell="N28" sqref="N28"/>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H11"/>
  <sheetViews>
    <sheetView workbookViewId="0">
      <selection activeCell="C9" sqref="C9"/>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SUM([1]N!$N$17)</f>
        <v>4054763.7900000005</v>
      </c>
      <c r="D8" s="1">
        <f>SUM([1]P!$N$17)</f>
        <v>354791.83162500005</v>
      </c>
      <c r="E8" s="1">
        <f>SUM([1]K!$N$17)</f>
        <v>593769.47249812493</v>
      </c>
    </row>
    <row r="9" spans="1:8" ht="28.8" x14ac:dyDescent="0.3">
      <c r="B9" s="3" t="s">
        <v>996</v>
      </c>
      <c r="C9" s="1">
        <f>SUM([1]N!$L$17)</f>
        <v>495823.18043239351</v>
      </c>
      <c r="D9" s="1">
        <f>SUM([1]P!$L$17)</f>
        <v>96222.505376284622</v>
      </c>
      <c r="E9" s="1">
        <f>SUM([1]K!$L$17)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D128"/>
  <sheetViews>
    <sheetView zoomScale="86" zoomScaleNormal="86" workbookViewId="0">
      <selection activeCell="B126" sqref="B126"/>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SUM(L48*10*H48)</f>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70"/>
  <sheetViews>
    <sheetView topLeftCell="A22" zoomScale="82" zoomScaleNormal="82" workbookViewId="0">
      <pane xSplit="1" topLeftCell="Q1" activePane="topRight" state="frozen"/>
      <selection activeCell="A10" sqref="A10"/>
      <selection pane="topRight" activeCell="AF28" sqref="AF28"/>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9" x14ac:dyDescent="0.3">
      <c r="B65" s="27"/>
    </row>
    <row r="66" spans="1:9" x14ac:dyDescent="0.3">
      <c r="B66" s="27"/>
      <c r="I66" t="s">
        <v>1275</v>
      </c>
    </row>
    <row r="67" spans="1:9" ht="28.8" x14ac:dyDescent="0.3">
      <c r="B67" s="27"/>
      <c r="H67" s="8" t="s">
        <v>24</v>
      </c>
      <c r="I67" s="11">
        <v>0.6</v>
      </c>
    </row>
    <row r="68" spans="1:9" ht="43.2" x14ac:dyDescent="0.3">
      <c r="A68" s="25"/>
      <c r="B68" s="28"/>
      <c r="H68" s="9" t="s">
        <v>23</v>
      </c>
      <c r="I68" s="11">
        <v>1.5</v>
      </c>
    </row>
    <row r="69" spans="1:9" ht="43.2" x14ac:dyDescent="0.3">
      <c r="H69" s="9" t="s">
        <v>25</v>
      </c>
      <c r="I69" s="11">
        <v>2.2000000000000002</v>
      </c>
    </row>
    <row r="70" spans="1:9" x14ac:dyDescent="0.3">
      <c r="I70" s="11">
        <f>SUM(I67:I69)</f>
        <v>4.3000000000000007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NEW_calc_manure</vt:lpstr>
      <vt:lpstr>Animal production output</vt:lpstr>
      <vt:lpstr>Grassland </vt:lpstr>
      <vt:lpstr>Import organic fertilizers</vt:lpstr>
      <vt:lpstr>feed import</vt:lpstr>
      <vt:lpstr>households input</vt:lpstr>
      <vt:lpstr>crop production output</vt:lpstr>
      <vt:lpstr>Biogas input</vt:lpstr>
      <vt:lpstr>vegetal production (LWK)</vt:lpstr>
      <vt:lpstr>Inorganic fertilizers</vt:lpstr>
      <vt:lpstr>Biogas out new</vt:lpstr>
      <vt:lpstr>municipal solid waste</vt:lpstr>
      <vt:lpstr>Schönmackers out</vt:lpstr>
      <vt:lpstr>sewage output</vt:lpstr>
      <vt:lpstr>wastewater</vt:lpstr>
      <vt:lpstr>Wastewater not processed</vt:lpstr>
      <vt:lpstr>food-feed processing out</vt:lpstr>
      <vt:lpstr>flow from processing to cons</vt:lpstr>
      <vt:lpstr>self sufficiency consumption</vt:lpstr>
      <vt:lpstr>Vegetable production X</vt:lpstr>
      <vt:lpstr>Effluent</vt:lpstr>
      <vt:lpstr>Niersverband</vt:lpstr>
      <vt:lpstr>sewage inputXX</vt:lpstr>
      <vt:lpstr>Biogas output</vt:lpstr>
      <vt:lpstr>Manure to crops</vt:lpstr>
      <vt:lpstr>self sufficiency</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2022-01-03T17:47:57Z</dcterms:modified>
</cp:coreProperties>
</file>