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fa328b80e7fc6/Persoonlijk/Financieel/"/>
    </mc:Choice>
  </mc:AlternateContent>
  <xr:revisionPtr revIDLastSave="842" documentId="13_ncr:1_{B3A58172-E4F6-430C-8BD7-32A63E5F2BE6}" xr6:coauthVersionLast="47" xr6:coauthVersionMax="47" xr10:uidLastSave="{7F9A3BB0-EB14-48FD-912A-496DAAC49C3A}"/>
  <bookViews>
    <workbookView xWindow="28680" yWindow="-120" windowWidth="29040" windowHeight="15720" xr2:uid="{E7C9BCAB-EA78-45E0-A434-C4C6B0650AEC}"/>
  </bookViews>
  <sheets>
    <sheet name="Kasboek - Totaal" sheetId="1" r:id="rId1"/>
    <sheet name="Kasboek - Gedeelde rekening" sheetId="3" r:id="rId2"/>
    <sheet name="Begrotin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33" i="1"/>
  <c r="M44" i="1"/>
  <c r="N44" i="1"/>
  <c r="O44" i="1"/>
  <c r="P44" i="1"/>
  <c r="Q44" i="1"/>
  <c r="R44" i="1"/>
  <c r="S44" i="1"/>
  <c r="T44" i="1"/>
  <c r="N3" i="1" a="1"/>
  <c r="N3" i="1"/>
  <c r="O3" i="1" a="1"/>
  <c r="O3" i="1"/>
  <c r="P3" i="1" a="1"/>
  <c r="P3" i="1"/>
  <c r="Q3" i="1" a="1"/>
  <c r="Q3" i="1"/>
  <c r="R3" i="1" a="1"/>
  <c r="R3" i="1"/>
  <c r="S3" i="1" a="1"/>
  <c r="S3" i="1"/>
  <c r="T3" i="1" a="1"/>
  <c r="T3" i="1"/>
  <c r="N4" i="1" a="1"/>
  <c r="N4" i="1"/>
  <c r="O4" i="1" a="1"/>
  <c r="O4" i="1"/>
  <c r="P4" i="1" a="1"/>
  <c r="P4" i="1"/>
  <c r="Q4" i="1" a="1"/>
  <c r="Q4" i="1"/>
  <c r="R4" i="1" a="1"/>
  <c r="R4" i="1"/>
  <c r="S4" i="1" a="1"/>
  <c r="S4" i="1"/>
  <c r="T4" i="1" a="1"/>
  <c r="T4" i="1"/>
  <c r="N5" i="1" a="1"/>
  <c r="N5" i="1"/>
  <c r="O5" i="1" a="1"/>
  <c r="O5" i="1"/>
  <c r="P5" i="1" a="1"/>
  <c r="P5" i="1"/>
  <c r="Q5" i="1" a="1"/>
  <c r="Q5" i="1"/>
  <c r="R5" i="1" a="1"/>
  <c r="R5" i="1"/>
  <c r="S5" i="1" a="1"/>
  <c r="S5" i="1"/>
  <c r="T5" i="1" a="1"/>
  <c r="T5" i="1"/>
  <c r="N6" i="1" a="1"/>
  <c r="N6" i="1"/>
  <c r="O6" i="1" a="1"/>
  <c r="O6" i="1"/>
  <c r="P6" i="1" a="1"/>
  <c r="P6" i="1"/>
  <c r="Q6" i="1" a="1"/>
  <c r="Q6" i="1"/>
  <c r="R6" i="1" a="1"/>
  <c r="R6" i="1"/>
  <c r="S6" i="1" a="1"/>
  <c r="S6" i="1"/>
  <c r="T6" i="1" a="1"/>
  <c r="T6" i="1"/>
  <c r="N7" i="1"/>
  <c r="O7" i="1"/>
  <c r="P7" i="1"/>
  <c r="Q7" i="1"/>
  <c r="R7" i="1"/>
  <c r="S7" i="1"/>
  <c r="T7" i="1"/>
  <c r="N10" i="1" a="1"/>
  <c r="N10" i="1"/>
  <c r="O10" i="1" a="1"/>
  <c r="O10" i="1"/>
  <c r="P10" i="1" a="1"/>
  <c r="P10" i="1"/>
  <c r="Q10" i="1" a="1"/>
  <c r="Q10" i="1"/>
  <c r="R10" i="1" a="1"/>
  <c r="R10" i="1"/>
  <c r="S10" i="1" a="1"/>
  <c r="S10" i="1"/>
  <c r="T10" i="1" a="1"/>
  <c r="T10" i="1"/>
  <c r="N11" i="1" a="1"/>
  <c r="N11" i="1"/>
  <c r="O11" i="1" a="1"/>
  <c r="O11" i="1"/>
  <c r="P11" i="1" a="1"/>
  <c r="P11" i="1"/>
  <c r="Q11" i="1" a="1"/>
  <c r="Q11" i="1"/>
  <c r="R11" i="1" a="1"/>
  <c r="R11" i="1"/>
  <c r="S11" i="1" a="1"/>
  <c r="S11" i="1"/>
  <c r="T11" i="1" a="1"/>
  <c r="T11" i="1"/>
  <c r="N12" i="1" a="1"/>
  <c r="N12" i="1"/>
  <c r="O12" i="1" a="1"/>
  <c r="O12" i="1"/>
  <c r="P12" i="1" a="1"/>
  <c r="P12" i="1"/>
  <c r="Q12" i="1" a="1"/>
  <c r="Q12" i="1"/>
  <c r="R12" i="1" a="1"/>
  <c r="R12" i="1"/>
  <c r="S12" i="1" a="1"/>
  <c r="S12" i="1"/>
  <c r="T12" i="1" a="1"/>
  <c r="T12" i="1"/>
  <c r="N13" i="1" a="1"/>
  <c r="N13" i="1"/>
  <c r="O13" i="1" a="1"/>
  <c r="O13" i="1"/>
  <c r="P13" i="1" a="1"/>
  <c r="P13" i="1"/>
  <c r="Q13" i="1" a="1"/>
  <c r="Q13" i="1"/>
  <c r="R13" i="1" a="1"/>
  <c r="R13" i="1"/>
  <c r="S13" i="1" a="1"/>
  <c r="S13" i="1"/>
  <c r="T13" i="1" a="1"/>
  <c r="T13" i="1"/>
  <c r="N14" i="1" a="1"/>
  <c r="N14" i="1"/>
  <c r="O14" i="1" a="1"/>
  <c r="O14" i="1"/>
  <c r="P14" i="1" a="1"/>
  <c r="P14" i="1"/>
  <c r="Q14" i="1" a="1"/>
  <c r="Q14" i="1"/>
  <c r="R14" i="1" a="1"/>
  <c r="R14" i="1"/>
  <c r="S14" i="1" a="1"/>
  <c r="S14" i="1"/>
  <c r="T14" i="1" a="1"/>
  <c r="T14" i="1"/>
  <c r="N15" i="1" a="1"/>
  <c r="N15" i="1"/>
  <c r="O15" i="1" a="1"/>
  <c r="O15" i="1"/>
  <c r="P15" i="1" a="1"/>
  <c r="P15" i="1"/>
  <c r="Q15" i="1" a="1"/>
  <c r="Q15" i="1"/>
  <c r="R15" i="1" a="1"/>
  <c r="R15" i="1"/>
  <c r="S15" i="1" a="1"/>
  <c r="S15" i="1"/>
  <c r="T15" i="1" a="1"/>
  <c r="T15" i="1"/>
  <c r="N16" i="1" a="1"/>
  <c r="N16" i="1"/>
  <c r="O16" i="1" a="1"/>
  <c r="O16" i="1"/>
  <c r="P16" i="1" a="1"/>
  <c r="P16" i="1"/>
  <c r="Q16" i="1" a="1"/>
  <c r="Q16" i="1"/>
  <c r="R16" i="1" a="1"/>
  <c r="R16" i="1"/>
  <c r="S16" i="1" a="1"/>
  <c r="S16" i="1"/>
  <c r="T16" i="1" a="1"/>
  <c r="T16" i="1"/>
  <c r="N17" i="1" a="1"/>
  <c r="N17" i="1"/>
  <c r="O17" i="1" a="1"/>
  <c r="O17" i="1"/>
  <c r="P17" i="1" a="1"/>
  <c r="P17" i="1"/>
  <c r="Q17" i="1" a="1"/>
  <c r="Q17" i="1"/>
  <c r="R17" i="1" a="1"/>
  <c r="R17" i="1"/>
  <c r="S17" i="1" a="1"/>
  <c r="S17" i="1"/>
  <c r="T17" i="1" a="1"/>
  <c r="T17" i="1"/>
  <c r="N18" i="1"/>
  <c r="O18" i="1"/>
  <c r="P18" i="1"/>
  <c r="Q18" i="1"/>
  <c r="R18" i="1"/>
  <c r="S18" i="1"/>
  <c r="T18" i="1"/>
  <c r="N21" i="1" a="1"/>
  <c r="N21" i="1"/>
  <c r="O21" i="1" a="1"/>
  <c r="O21" i="1"/>
  <c r="P21" i="1" a="1"/>
  <c r="P21" i="1"/>
  <c r="Q21" i="1" a="1"/>
  <c r="Q21" i="1"/>
  <c r="R21" i="1" a="1"/>
  <c r="R21" i="1"/>
  <c r="S21" i="1" a="1"/>
  <c r="S21" i="1"/>
  <c r="T21" i="1" a="1"/>
  <c r="T21" i="1"/>
  <c r="N22" i="1" a="1"/>
  <c r="N22" i="1"/>
  <c r="O22" i="1" a="1"/>
  <c r="O22" i="1"/>
  <c r="P22" i="1" a="1"/>
  <c r="P22" i="1"/>
  <c r="Q22" i="1" a="1"/>
  <c r="Q22" i="1"/>
  <c r="R22" i="1" a="1"/>
  <c r="R22" i="1"/>
  <c r="S22" i="1" a="1"/>
  <c r="S22" i="1"/>
  <c r="T22" i="1" a="1"/>
  <c r="T22" i="1"/>
  <c r="N23" i="1"/>
  <c r="O23" i="1"/>
  <c r="P23" i="1"/>
  <c r="Q23" i="1"/>
  <c r="R23" i="1"/>
  <c r="S23" i="1"/>
  <c r="T23" i="1"/>
  <c r="N26" i="1" a="1"/>
  <c r="N26" i="1"/>
  <c r="O26" i="1" a="1"/>
  <c r="O26" i="1"/>
  <c r="P26" i="1" a="1"/>
  <c r="P26" i="1"/>
  <c r="Q26" i="1" a="1"/>
  <c r="Q26" i="1"/>
  <c r="R26" i="1" a="1"/>
  <c r="R26" i="1"/>
  <c r="S26" i="1" a="1"/>
  <c r="S26" i="1"/>
  <c r="T26" i="1" a="1"/>
  <c r="T26" i="1"/>
  <c r="N27" i="1" a="1"/>
  <c r="N27" i="1"/>
  <c r="O27" i="1" a="1"/>
  <c r="O27" i="1"/>
  <c r="P27" i="1" a="1"/>
  <c r="P27" i="1"/>
  <c r="Q27" i="1" a="1"/>
  <c r="Q27" i="1"/>
  <c r="R27" i="1" a="1"/>
  <c r="R27" i="1"/>
  <c r="S27" i="1" a="1"/>
  <c r="S27" i="1"/>
  <c r="T27" i="1" a="1"/>
  <c r="T27" i="1"/>
  <c r="N28" i="1" a="1"/>
  <c r="N28" i="1"/>
  <c r="O28" i="1" a="1"/>
  <c r="O28" i="1"/>
  <c r="P28" i="1" a="1"/>
  <c r="P28" i="1"/>
  <c r="Q28" i="1" a="1"/>
  <c r="Q28" i="1"/>
  <c r="R28" i="1" a="1"/>
  <c r="R28" i="1"/>
  <c r="S28" i="1" a="1"/>
  <c r="S28" i="1"/>
  <c r="T28" i="1" a="1"/>
  <c r="T28" i="1"/>
  <c r="N29" i="1" a="1"/>
  <c r="N29" i="1"/>
  <c r="O29" i="1" a="1"/>
  <c r="O29" i="1"/>
  <c r="P29" i="1" a="1"/>
  <c r="P29" i="1"/>
  <c r="Q29" i="1" a="1"/>
  <c r="Q29" i="1"/>
  <c r="R29" i="1" a="1"/>
  <c r="R29" i="1"/>
  <c r="S29" i="1" a="1"/>
  <c r="S29" i="1"/>
  <c r="T29" i="1" a="1"/>
  <c r="T29" i="1"/>
  <c r="N30" i="1" a="1"/>
  <c r="N30" i="1"/>
  <c r="O30" i="1" a="1"/>
  <c r="O30" i="1"/>
  <c r="P30" i="1" a="1"/>
  <c r="P30" i="1"/>
  <c r="Q30" i="1" a="1"/>
  <c r="Q30" i="1"/>
  <c r="R30" i="1" a="1"/>
  <c r="R30" i="1"/>
  <c r="S30" i="1" a="1"/>
  <c r="S30" i="1"/>
  <c r="T30" i="1" a="1"/>
  <c r="T30" i="1"/>
  <c r="N31" i="1" a="1"/>
  <c r="N31" i="1"/>
  <c r="O31" i="1" a="1"/>
  <c r="O31" i="1"/>
  <c r="P31" i="1" a="1"/>
  <c r="P31" i="1"/>
  <c r="Q31" i="1" a="1"/>
  <c r="Q31" i="1"/>
  <c r="R31" i="1" a="1"/>
  <c r="R31" i="1"/>
  <c r="S31" i="1" a="1"/>
  <c r="S31" i="1"/>
  <c r="T31" i="1" a="1"/>
  <c r="T31" i="1"/>
  <c r="N32" i="1" a="1"/>
  <c r="N32" i="1"/>
  <c r="O32" i="1" a="1"/>
  <c r="O32" i="1"/>
  <c r="P32" i="1" a="1"/>
  <c r="P32" i="1"/>
  <c r="Q32" i="1" a="1"/>
  <c r="Q32" i="1"/>
  <c r="R32" i="1" a="1"/>
  <c r="R32" i="1"/>
  <c r="S32" i="1" a="1"/>
  <c r="S32" i="1"/>
  <c r="T32" i="1" a="1"/>
  <c r="T32" i="1"/>
  <c r="N33" i="1" a="1"/>
  <c r="N33" i="1"/>
  <c r="O33" i="1" a="1"/>
  <c r="O33" i="1"/>
  <c r="P33" i="1" a="1"/>
  <c r="P33" i="1"/>
  <c r="Q33" i="1" a="1"/>
  <c r="Q33" i="1"/>
  <c r="R33" i="1" a="1"/>
  <c r="R33" i="1"/>
  <c r="S33" i="1" a="1"/>
  <c r="S33" i="1"/>
  <c r="T33" i="1" a="1"/>
  <c r="T33" i="1"/>
  <c r="N34" i="1"/>
  <c r="O34" i="1"/>
  <c r="P34" i="1"/>
  <c r="Q34" i="1"/>
  <c r="R34" i="1"/>
  <c r="S34" i="1"/>
  <c r="T34" i="1"/>
  <c r="N36" i="1"/>
  <c r="O36" i="1"/>
  <c r="P36" i="1"/>
  <c r="Q36" i="1"/>
  <c r="R36" i="1"/>
  <c r="S36" i="1"/>
  <c r="T36" i="1"/>
  <c r="N37" i="1"/>
  <c r="O37" i="1"/>
  <c r="P37" i="1"/>
  <c r="Q37" i="1"/>
  <c r="R37" i="1"/>
  <c r="S37" i="1"/>
  <c r="T37" i="1"/>
  <c r="N38" i="1"/>
  <c r="O38" i="1"/>
  <c r="P38" i="1"/>
  <c r="Q38" i="1"/>
  <c r="R38" i="1"/>
  <c r="S38" i="1"/>
  <c r="T38" i="1"/>
  <c r="N39" i="1"/>
  <c r="O39" i="1"/>
  <c r="P39" i="1"/>
  <c r="Q39" i="1"/>
  <c r="R39" i="1"/>
  <c r="S39" i="1"/>
  <c r="T39" i="1"/>
  <c r="M33" i="1" a="1"/>
  <c r="M33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26" i="1" a="1"/>
  <c r="M26" i="1" s="1"/>
  <c r="M22" i="1" a="1"/>
  <c r="M22" i="1"/>
  <c r="M21" i="1" a="1"/>
  <c r="M21" i="1" s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0" i="1" a="1"/>
  <c r="M10" i="1"/>
  <c r="M4" i="1" a="1"/>
  <c r="M4" i="1"/>
  <c r="M3" i="1" a="1"/>
  <c r="M3" i="1"/>
  <c r="M5" i="1" a="1"/>
  <c r="M5" i="1"/>
  <c r="M6" i="1" a="1"/>
  <c r="M6" i="1"/>
  <c r="L6" i="1" a="1"/>
  <c r="L6" i="1"/>
  <c r="L44" i="1"/>
  <c r="L32" i="1"/>
  <c r="L31" i="1"/>
  <c r="L30" i="1"/>
  <c r="L29" i="1"/>
  <c r="L28" i="1"/>
  <c r="L27" i="1"/>
  <c r="L26" i="1"/>
  <c r="L22" i="1"/>
  <c r="L17" i="1"/>
  <c r="L16" i="1"/>
  <c r="L15" i="1"/>
  <c r="L14" i="1"/>
  <c r="L13" i="1"/>
  <c r="L12" i="1"/>
  <c r="L11" i="1"/>
  <c r="L10" i="1"/>
  <c r="L5" i="1"/>
  <c r="L4" i="1"/>
  <c r="L3" i="1"/>
  <c r="B7" i="3"/>
  <c r="C7" i="3"/>
  <c r="D7" i="3"/>
  <c r="E7" i="3"/>
  <c r="F7" i="3"/>
  <c r="G7" i="3"/>
  <c r="H7" i="3"/>
  <c r="I7" i="3"/>
  <c r="B18" i="3"/>
  <c r="C18" i="3"/>
  <c r="D18" i="3"/>
  <c r="E18" i="3"/>
  <c r="F18" i="3"/>
  <c r="G18" i="3"/>
  <c r="H18" i="3"/>
  <c r="I18" i="3"/>
  <c r="B23" i="3"/>
  <c r="C23" i="3"/>
  <c r="D23" i="3"/>
  <c r="E23" i="3"/>
  <c r="F23" i="3"/>
  <c r="G23" i="3"/>
  <c r="H23" i="3"/>
  <c r="I23" i="3"/>
  <c r="B34" i="3"/>
  <c r="C34" i="3"/>
  <c r="D34" i="3"/>
  <c r="E34" i="3"/>
  <c r="F34" i="3"/>
  <c r="G34" i="3"/>
  <c r="H34" i="3"/>
  <c r="I34" i="3"/>
  <c r="B36" i="3"/>
  <c r="C36" i="3"/>
  <c r="D36" i="3"/>
  <c r="E36" i="3"/>
  <c r="F36" i="3"/>
  <c r="G36" i="3"/>
  <c r="H36" i="3"/>
  <c r="I36" i="3"/>
  <c r="B37" i="3"/>
  <c r="C37" i="3"/>
  <c r="D37" i="3"/>
  <c r="E37" i="3"/>
  <c r="F37" i="3"/>
  <c r="G37" i="3"/>
  <c r="H37" i="3"/>
  <c r="I37" i="3"/>
  <c r="B38" i="3"/>
  <c r="C38" i="3"/>
  <c r="D38" i="3"/>
  <c r="E38" i="3"/>
  <c r="F38" i="3"/>
  <c r="G38" i="3"/>
  <c r="H38" i="3"/>
  <c r="I38" i="3"/>
  <c r="B39" i="3"/>
  <c r="C39" i="3"/>
  <c r="D39" i="3"/>
  <c r="E39" i="3"/>
  <c r="F39" i="3"/>
  <c r="G39" i="3"/>
  <c r="H39" i="3"/>
  <c r="I39" i="3"/>
  <c r="D43" i="3"/>
  <c r="E43" i="3"/>
  <c r="F43" i="3"/>
  <c r="G43" i="3"/>
  <c r="H43" i="3"/>
  <c r="I43" i="3"/>
  <c r="K44" i="1"/>
  <c r="K17" i="1"/>
  <c r="J44" i="1"/>
  <c r="J31" i="1"/>
  <c r="J30" i="1"/>
  <c r="J17" i="1"/>
  <c r="I30" i="1"/>
  <c r="I17" i="1"/>
  <c r="I44" i="1"/>
  <c r="H44" i="1"/>
  <c r="H17" i="1"/>
  <c r="H30" i="1"/>
  <c r="D44" i="1"/>
  <c r="E44" i="1"/>
  <c r="F44" i="1"/>
  <c r="G44" i="1"/>
  <c r="G17" i="1"/>
  <c r="G30" i="1"/>
  <c r="F17" i="1"/>
  <c r="F18" i="1" s="1"/>
  <c r="C7" i="1"/>
  <c r="C37" i="1" s="1"/>
  <c r="D7" i="1"/>
  <c r="D37" i="1" s="1"/>
  <c r="E7" i="1"/>
  <c r="E37" i="1" s="1"/>
  <c r="F7" i="1"/>
  <c r="G7" i="1"/>
  <c r="H7" i="1"/>
  <c r="I7" i="1"/>
  <c r="J7" i="1"/>
  <c r="K7" i="1"/>
  <c r="K37" i="1" s="1"/>
  <c r="L7" i="1"/>
  <c r="L37" i="1" s="1"/>
  <c r="M7" i="1"/>
  <c r="M37" i="1" s="1"/>
  <c r="B7" i="1"/>
  <c r="B37" i="1" s="1"/>
  <c r="B18" i="2"/>
  <c r="B20" i="2" s="1"/>
  <c r="C18" i="2"/>
  <c r="C20" i="2" s="1"/>
  <c r="D18" i="2"/>
  <c r="E18" i="2"/>
  <c r="F18" i="2"/>
  <c r="G18" i="2"/>
  <c r="G20" i="2" s="1"/>
  <c r="H18" i="2"/>
  <c r="H20" i="2" s="1"/>
  <c r="I18" i="2"/>
  <c r="I20" i="2" s="1"/>
  <c r="J18" i="2"/>
  <c r="J20" i="2" s="1"/>
  <c r="K18" i="2"/>
  <c r="K20" i="2" s="1"/>
  <c r="L18" i="2"/>
  <c r="B13" i="2"/>
  <c r="C13" i="2"/>
  <c r="D13" i="2"/>
  <c r="E13" i="2"/>
  <c r="F13" i="2"/>
  <c r="G13" i="2"/>
  <c r="H13" i="2"/>
  <c r="I13" i="2"/>
  <c r="J13" i="2"/>
  <c r="K13" i="2"/>
  <c r="L13" i="2"/>
  <c r="L12" i="2"/>
  <c r="L15" i="2" s="1"/>
  <c r="B12" i="2"/>
  <c r="B15" i="2" s="1"/>
  <c r="C12" i="2"/>
  <c r="D12" i="2"/>
  <c r="D15" i="2" s="1"/>
  <c r="E12" i="2"/>
  <c r="E15" i="2" s="1"/>
  <c r="F12" i="2"/>
  <c r="F15" i="2" s="1"/>
  <c r="G12" i="2"/>
  <c r="H12" i="2"/>
  <c r="H15" i="2" s="1"/>
  <c r="I12" i="2"/>
  <c r="J12" i="2"/>
  <c r="J15" i="2" s="1"/>
  <c r="K12" i="2"/>
  <c r="C5" i="2"/>
  <c r="D5" i="2"/>
  <c r="E5" i="2"/>
  <c r="F5" i="2"/>
  <c r="G5" i="2"/>
  <c r="G34" i="2" s="1"/>
  <c r="H5" i="2"/>
  <c r="H34" i="2" s="1"/>
  <c r="I5" i="2"/>
  <c r="I34" i="2" s="1"/>
  <c r="J5" i="2"/>
  <c r="K5" i="2"/>
  <c r="K34" i="2" s="1"/>
  <c r="L5" i="2"/>
  <c r="L34" i="2" s="1"/>
  <c r="D20" i="2"/>
  <c r="E20" i="2"/>
  <c r="F20" i="2"/>
  <c r="L20" i="2"/>
  <c r="C31" i="2"/>
  <c r="D31" i="2"/>
  <c r="E31" i="2"/>
  <c r="F31" i="2"/>
  <c r="G31" i="2"/>
  <c r="H31" i="2"/>
  <c r="I31" i="2"/>
  <c r="J31" i="2"/>
  <c r="K31" i="2"/>
  <c r="L31" i="2"/>
  <c r="C34" i="2"/>
  <c r="D34" i="2"/>
  <c r="E34" i="2"/>
  <c r="F34" i="2"/>
  <c r="B31" i="2"/>
  <c r="B5" i="2"/>
  <c r="B34" i="2" s="1"/>
  <c r="F37" i="1"/>
  <c r="G37" i="1"/>
  <c r="H37" i="1"/>
  <c r="I37" i="1"/>
  <c r="J37" i="1"/>
  <c r="D34" i="1"/>
  <c r="F34" i="1"/>
  <c r="G34" i="1"/>
  <c r="H34" i="1"/>
  <c r="I34" i="1"/>
  <c r="J34" i="1"/>
  <c r="K34" i="1"/>
  <c r="L34" i="1"/>
  <c r="M34" i="1"/>
  <c r="B23" i="1"/>
  <c r="C23" i="1"/>
  <c r="D23" i="1"/>
  <c r="E23" i="1"/>
  <c r="F23" i="1"/>
  <c r="G23" i="1"/>
  <c r="H23" i="1"/>
  <c r="I23" i="1"/>
  <c r="J23" i="1"/>
  <c r="K23" i="1"/>
  <c r="L23" i="1"/>
  <c r="M23" i="1"/>
  <c r="B30" i="1"/>
  <c r="B34" i="1" s="1"/>
  <c r="C30" i="1"/>
  <c r="C34" i="1" s="1"/>
  <c r="E30" i="1"/>
  <c r="E34" i="1" s="1"/>
  <c r="E17" i="1"/>
  <c r="E18" i="1" s="1"/>
  <c r="C17" i="1"/>
  <c r="C18" i="1" s="1"/>
  <c r="D18" i="1"/>
  <c r="G18" i="1"/>
  <c r="H18" i="1"/>
  <c r="I18" i="1"/>
  <c r="J18" i="1"/>
  <c r="K18" i="1"/>
  <c r="L18" i="1"/>
  <c r="M18" i="1"/>
  <c r="B17" i="1"/>
  <c r="B18" i="1" s="1"/>
  <c r="G15" i="2" l="1"/>
  <c r="G33" i="2" s="1"/>
  <c r="G35" i="2" s="1"/>
  <c r="K15" i="2"/>
  <c r="K33" i="2" s="1"/>
  <c r="K35" i="2" s="1"/>
  <c r="C15" i="2"/>
  <c r="C33" i="2" s="1"/>
  <c r="C35" i="2" s="1"/>
  <c r="I15" i="2"/>
  <c r="I33" i="2" s="1"/>
  <c r="I35" i="2" s="1"/>
  <c r="F33" i="2"/>
  <c r="F35" i="2" s="1"/>
  <c r="D33" i="2"/>
  <c r="D35" i="2" s="1"/>
  <c r="H33" i="2"/>
  <c r="H35" i="2" s="1"/>
  <c r="J33" i="2"/>
  <c r="J35" i="2" s="1"/>
  <c r="L33" i="2"/>
  <c r="L35" i="2" s="1"/>
  <c r="E33" i="2"/>
  <c r="E35" i="2" s="1"/>
  <c r="B33" i="2"/>
  <c r="B35" i="2" s="1"/>
  <c r="J34" i="2"/>
  <c r="F36" i="1"/>
  <c r="F38" i="1" s="1"/>
  <c r="F39" i="1" s="1"/>
  <c r="D36" i="1"/>
  <c r="D38" i="1" s="1"/>
  <c r="D39" i="1" s="1"/>
  <c r="C36" i="1"/>
  <c r="C38" i="1" s="1"/>
  <c r="C39" i="1" s="1"/>
  <c r="G36" i="1"/>
  <c r="G38" i="1" s="1"/>
  <c r="G39" i="1" s="1"/>
  <c r="K36" i="1"/>
  <c r="K38" i="1" s="1"/>
  <c r="K39" i="1" s="1"/>
  <c r="L36" i="1"/>
  <c r="L38" i="1" s="1"/>
  <c r="L39" i="1" s="1"/>
  <c r="J36" i="1"/>
  <c r="J38" i="1" s="1"/>
  <c r="J39" i="1" s="1"/>
  <c r="I36" i="1"/>
  <c r="I38" i="1" s="1"/>
  <c r="I39" i="1" s="1"/>
  <c r="H36" i="1"/>
  <c r="H38" i="1" s="1"/>
  <c r="H39" i="1" s="1"/>
  <c r="M36" i="1"/>
  <c r="M38" i="1" s="1"/>
  <c r="M39" i="1" s="1"/>
  <c r="E36" i="1"/>
  <c r="E38" i="1" s="1"/>
  <c r="E39" i="1" s="1"/>
  <c r="B36" i="1"/>
  <c r="B38" i="1" s="1"/>
  <c r="B39" i="1" s="1"/>
  <c r="B37" i="2" l="1"/>
  <c r="C37" i="2" s="1"/>
  <c r="D37" i="2" s="1"/>
  <c r="E37" i="2" s="1"/>
  <c r="F37" i="2" s="1"/>
  <c r="G37" i="2" s="1"/>
  <c r="H37" i="2" s="1"/>
  <c r="I37" i="2" s="1"/>
  <c r="J37" i="2" s="1"/>
  <c r="K37" i="2" s="1"/>
  <c r="L3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Lars Hanen</author>
  </authors>
  <commentList>
    <comment ref="L1" authorId="0" shapeId="0" xr:uid="{3D2CC2FF-BE0F-4CB0-86BC-0C6D2FD55B15}">
      <text>
        <r>
          <rPr>
            <sz val="11"/>
            <color theme="1"/>
            <rFont val="Calibri"/>
            <family val="2"/>
            <scheme val="minor"/>
          </rPr>
          <t>Lars Hanen:
Begonnen met boeken van gedeelde rekening met Julia</t>
        </r>
      </text>
    </comment>
    <comment ref="C3" authorId="0" shapeId="0" xr:uid="{73EAD365-257C-4569-B989-A5360F140515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Ingehouden vakantiedagen en Loonheffing BT</t>
        </r>
      </text>
    </comment>
    <comment ref="D3" authorId="0" shapeId="0" xr:uid="{C63D85B3-9155-4B3D-A6AF-2FD62ED895CD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Gecorrigeerde winstuitkering, reiskostenvergoeding oktober en einduitkering FutShop. Eerste helft november geen werk en salaris nieuwe werk volgt in december.</t>
        </r>
      </text>
    </comment>
    <comment ref="E3" authorId="0" shapeId="0" xr:uid="{60B080BB-A0AD-4732-BEF4-A4322B7C5586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Half november en december zonder reiskostenvergoeding</t>
        </r>
      </text>
    </comment>
    <comment ref="I3" authorId="0" shapeId="0" xr:uid="{B7327DFF-C8FA-4948-8B7E-E4D3017E1749}">
      <text>
        <r>
          <rPr>
            <sz val="11"/>
            <color theme="1"/>
            <rFont val="Calibri"/>
            <family val="2"/>
            <scheme val="minor"/>
          </rPr>
          <t>Lars Hanen:
Salaris volgt nog</t>
        </r>
      </text>
    </comment>
    <comment ref="K3" authorId="0" shapeId="0" xr:uid="{123A1341-C1B6-4FD6-95E5-89C4F7AE7342}">
      <text>
        <r>
          <rPr>
            <sz val="11"/>
            <color theme="1"/>
            <rFont val="Calibri"/>
            <family val="2"/>
            <scheme val="minor"/>
          </rPr>
          <t>Lars Hanen:
Huur schuift een maandje op, incasso op 1e vd maand</t>
        </r>
      </text>
    </comment>
    <comment ref="J4" authorId="0" shapeId="0" xr:uid="{343F9FCA-23D7-481B-A442-B095C1B9B711}">
      <text>
        <r>
          <rPr>
            <sz val="11"/>
            <color theme="1"/>
            <rFont val="Calibri"/>
            <family val="2"/>
            <scheme val="minor"/>
          </rPr>
          <t>Lars Hanen:
TG IB</t>
        </r>
      </text>
    </comment>
    <comment ref="K4" authorId="0" shapeId="0" xr:uid="{4A298D46-80EF-4D45-B1ED-A2ACF7419302}">
      <text>
        <r>
          <rPr>
            <sz val="11"/>
            <color theme="1"/>
            <rFont val="Calibri"/>
            <family val="2"/>
            <scheme val="minor"/>
          </rPr>
          <t>Lars Hanen:
Teruggaaf zorgtoeslag</t>
        </r>
      </text>
    </comment>
    <comment ref="G5" authorId="0" shapeId="0" xr:uid="{19CA5FB2-BC59-48F5-AE13-734A4D423C08}">
      <text>
        <r>
          <rPr>
            <sz val="11"/>
            <color theme="1"/>
            <rFont val="Calibri"/>
            <family val="2"/>
            <scheme val="minor"/>
          </rPr>
          <t>Lars Hanen:
Sparen</t>
        </r>
      </text>
    </comment>
    <comment ref="J6" authorId="0" shapeId="0" xr:uid="{1BC45A46-CD12-43A8-A517-5E4ABEB918D7}">
      <text>
        <r>
          <rPr>
            <sz val="11"/>
            <color theme="1"/>
            <rFont val="Calibri"/>
            <family val="2"/>
            <scheme val="minor"/>
          </rPr>
          <t>Lars Hanen:
Gepind in Japan</t>
        </r>
      </text>
    </comment>
    <comment ref="B10" authorId="0" shapeId="0" xr:uid="{13E4ED70-F043-439B-9C26-9047901D27CE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138 euro teruggave van kamerrenoveringskosten van vorige maand</t>
        </r>
      </text>
    </comment>
    <comment ref="F10" authorId="0" shapeId="0" xr:uid="{F100F996-1CE5-4CF9-AC83-160EB5C935D7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Teruggave restitutie servicekosten 2022
</t>
        </r>
      </text>
    </comment>
    <comment ref="K10" authorId="0" shapeId="0" xr:uid="{D80714E0-B99D-4BCA-BB22-21A48819A44F}">
      <text>
        <r>
          <rPr>
            <sz val="11"/>
            <color theme="1"/>
            <rFont val="Calibri"/>
            <family val="2"/>
            <scheme val="minor"/>
          </rPr>
          <t>Lars Hanen:
Huur nog niet afgeschreven, helft van Julia wel ontvangen</t>
        </r>
      </text>
    </comment>
    <comment ref="L10" authorId="0" shapeId="0" xr:uid="{A18FC972-C148-4204-82AB-442537E5DECA}">
      <text>
        <r>
          <rPr>
            <sz val="11"/>
            <color theme="1"/>
            <rFont val="Calibri"/>
            <family val="2"/>
            <scheme val="minor"/>
          </rPr>
          <t>Lars Hanen:
Deel van Julia vorige maand</t>
        </r>
      </text>
    </comment>
    <comment ref="B12" authorId="0" shapeId="0" xr:uid="{907A54BC-21CD-43A7-9CB7-53E1EAA5454B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Nog geen OV abonnement, komt volgende maand deels terug als reiskostenvergoeding</t>
        </r>
      </text>
    </comment>
    <comment ref="D12" authorId="0" shapeId="0" xr:uid="{C6EBDDA7-085C-421F-B3E3-17D425CA5A7A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Teruggave van gemaakte kosten door vergeten OV volgt in december</t>
        </r>
      </text>
    </comment>
    <comment ref="E12" authorId="0" shapeId="0" xr:uid="{1A34E1CF-0178-4647-9261-7A8F0FE38159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Deel wordt nog vergoed door werkgever</t>
        </r>
      </text>
    </comment>
    <comment ref="F12" authorId="0" shapeId="0" xr:uid="{47F2D28D-2A53-4D49-A52F-B239A0625E10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Verkeersboete van flitspaal in Wageningen a 45 euro</t>
        </r>
      </text>
    </comment>
    <comment ref="J12" authorId="0" shapeId="0" xr:uid="{F0C85312-6183-4F6A-8DDC-3E44FBC65444}">
      <text>
        <r>
          <rPr>
            <sz val="11"/>
            <color theme="1"/>
            <rFont val="Calibri"/>
            <family val="2"/>
            <scheme val="minor"/>
          </rPr>
          <t>Lars Hanen:
Abonnement NS gestopt en een aantal reizen teruggestort gekregen wegens OV vergeten± zie nov´22</t>
        </r>
      </text>
    </comment>
    <comment ref="E13" authorId="0" shapeId="0" xr:uid="{1E793CB2-E3E6-4311-9679-BFFAA6626BE9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Zorgpremie 2023 - fysio aanvullend 6 behandelingen</t>
        </r>
      </text>
    </comment>
    <comment ref="B14" authorId="0" shapeId="0" xr:uid="{F6D3C196-EDDE-48F1-9D94-15B15DBC6457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Jaarlijks wettelijk collegegeld betaald</t>
        </r>
      </text>
    </comment>
    <comment ref="F16" authorId="0" shapeId="0" xr:uid="{E333E789-A483-4F34-BAA5-27636B7DDE55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Storting pap op mijn rekening</t>
        </r>
      </text>
    </comment>
    <comment ref="D17" authorId="0" shapeId="0" xr:uid="{2F0B7657-481A-4EB0-ADA9-52B1AE0D31A9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Pallet uit fulfillment gehaald en Geen Gedoe betaald, uitbetaling Shopify volgt in december</t>
        </r>
      </text>
    </comment>
    <comment ref="E17" authorId="0" shapeId="0" xr:uid="{C49F46A7-C483-4348-A01A-E149BB9248CB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Shopify payout</t>
        </r>
      </text>
    </comment>
    <comment ref="E21" authorId="0" shapeId="0" xr:uid="{15678720-50B3-4668-B73E-E58C5A14B3EF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100 naar gezamenlijke rekening op eind van de maand</t>
        </r>
      </text>
    </comment>
    <comment ref="F21" authorId="0" shapeId="0" xr:uid="{A1D1DCD1-5A72-432D-A87E-E62F97B811D3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Gestopt met koopzegels</t>
        </r>
      </text>
    </comment>
    <comment ref="G21" authorId="0" shapeId="0" xr:uid="{FC289962-3020-4008-97DA-4E933A3A680C}">
      <text>
        <r>
          <rPr>
            <sz val="11"/>
            <color theme="1"/>
            <rFont val="Calibri"/>
            <family val="2"/>
            <scheme val="minor"/>
          </rPr>
          <t>Lars Hanen:
40 euro met contant geld van koopzegelboekjes betaald</t>
        </r>
      </text>
    </comment>
    <comment ref="H21" authorId="0" shapeId="0" xr:uid="{103FE5C5-B49C-41AA-8E46-5D09573426B3}">
      <text>
        <r>
          <rPr>
            <sz val="11"/>
            <color theme="1"/>
            <rFont val="Calibri"/>
            <family val="2"/>
            <scheme val="minor"/>
          </rPr>
          <t>Lars Hanen:
Uitbetaling koopzegels ingezet om 50 euro boodschappen mee te kopen</t>
        </r>
      </text>
    </comment>
    <comment ref="K21" authorId="0" shapeId="0" xr:uid="{EB81C856-AD22-42AD-96DA-08E7FF46AF19}">
      <text>
        <r>
          <rPr>
            <sz val="11"/>
            <color theme="1"/>
            <rFont val="Calibri"/>
            <family val="2"/>
            <scheme val="minor"/>
          </rPr>
          <t>Lars Hanen:
Niet representatief omdat ik in bulk overmaakte naar de gedeelde rekening onder de noemer 'boodschappen' zonder de gedeelde rekening bij te houden</t>
        </r>
      </text>
    </comment>
    <comment ref="L21" authorId="0" shapeId="0" xr:uid="{1122EA76-A53F-4CF8-ACCA-4D56D5B993E3}">
      <text>
        <r>
          <rPr>
            <sz val="11"/>
            <color theme="1"/>
            <rFont val="Calibri"/>
            <family val="2"/>
            <scheme val="minor"/>
          </rPr>
          <t>Lars Hanen:
Housewarming kosten, 250 eu cash terug voor mij en Julia</t>
        </r>
      </text>
    </comment>
    <comment ref="E22" authorId="0" shapeId="0" xr:uid="{CBAEC2A5-E74A-4AD6-80FE-6BFF0B1B2235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Fysio en tandarts</t>
        </r>
      </text>
    </comment>
    <comment ref="B26" authorId="0" shapeId="0" xr:uid="{5933A29E-7D6E-4234-BA95-4C3C551D3585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Nieuwe stadsfiets gekocht</t>
        </r>
      </text>
    </comment>
    <comment ref="C26" authorId="0" shapeId="0" xr:uid="{7BCFA4A3-52B5-446F-B353-8744FF9C0BD0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Terugstorting testzadels voor Julia</t>
        </r>
      </text>
    </comment>
    <comment ref="E26" authorId="0" shapeId="0" xr:uid="{B2D8F952-A14F-410E-8AD9-55819DDD0CBD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Sportschool</t>
        </r>
      </text>
    </comment>
    <comment ref="C28" authorId="0" shapeId="0" xr:uid="{B1807336-89EC-45E2-A58B-881D5670FFA6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Jabra oortjes</t>
        </r>
      </text>
    </comment>
    <comment ref="K28" authorId="0" shapeId="0" xr:uid="{4ED4F5DE-9E97-4C05-9B45-46E06457DFAF}">
      <text>
        <r>
          <rPr>
            <sz val="11"/>
            <color theme="1"/>
            <rFont val="Calibri"/>
            <family val="2"/>
            <scheme val="minor"/>
          </rPr>
          <t>Lars Hanen:
Marktplaats verkopen gedaan</t>
        </r>
      </text>
    </comment>
    <comment ref="G29" authorId="0" shapeId="0" xr:uid="{BB9B811E-5F4A-4E8E-BBE5-394A69E2F27B}">
      <text>
        <r>
          <rPr>
            <sz val="11"/>
            <color theme="1"/>
            <rFont val="Calibri"/>
            <family val="2"/>
            <scheme val="minor"/>
          </rPr>
          <t>Lars Hanen:
Nieuwe Nike schoenen</t>
        </r>
      </text>
    </comment>
    <comment ref="J29" authorId="0" shapeId="0" xr:uid="{15869A9D-1697-42C7-9DA9-E79C53DE0EE7}">
      <text>
        <r>
          <rPr>
            <sz val="11"/>
            <color theme="1"/>
            <rFont val="Calibri"/>
            <family val="2"/>
            <scheme val="minor"/>
          </rPr>
          <t xml:space="preserve">Lars Hanen:
Onderbroeken en sokken
</t>
        </r>
      </text>
    </comment>
    <comment ref="E30" authorId="0" shapeId="0" xr:uid="{52DDCF92-E9C9-4138-9149-75E4ABD60632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Vinted Timberlands gekocht</t>
        </r>
      </text>
    </comment>
    <comment ref="C31" authorId="0" shapeId="0" xr:uid="{573923F7-ECB4-4387-B5A3-B5E5AEA91A9A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Weekendjes Parijs met Thomas en Maastricht met Julia vooruitbetaald</t>
        </r>
      </text>
    </comment>
    <comment ref="E31" authorId="0" shapeId="0" xr:uid="{5EB18CE8-E87B-4051-95BD-9D9649583D52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Weekendje Parijs, ook te zien in 'Uit eten &amp; drinken' dec'22 en jan'23</t>
        </r>
      </text>
    </comment>
    <comment ref="F31" authorId="0" shapeId="0" xr:uid="{1FC5152E-D861-4A63-99F4-1BD1C89118C1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Vlucht naar Tokyo</t>
        </r>
      </text>
    </comment>
    <comment ref="G31" authorId="0" shapeId="0" xr:uid="{255C9AC7-F2E2-4EBD-A21E-1554B9CF9367}">
      <text>
        <r>
          <rPr>
            <sz val="11"/>
            <color theme="1"/>
            <rFont val="Calibri"/>
            <family val="2"/>
            <scheme val="minor"/>
          </rPr>
          <t>Lars Hanen:
4 nachten Tokyo geboekt en betaald</t>
        </r>
      </text>
    </comment>
    <comment ref="H31" authorId="0" shapeId="0" xr:uid="{1ED1BA81-80E6-49F8-A0B2-A379D39FC1D1}">
      <text>
        <r>
          <rPr>
            <sz val="11"/>
            <color theme="1"/>
            <rFont val="Calibri"/>
            <family val="2"/>
            <scheme val="minor"/>
          </rPr>
          <t xml:space="preserve">Lars Hanen:
Overnachtingen Japan
</t>
        </r>
      </text>
    </comment>
    <comment ref="I31" authorId="0" shapeId="0" xr:uid="{B14625D5-E7BA-48B1-ADC5-4479E6032C18}">
      <text>
        <r>
          <rPr>
            <sz val="11"/>
            <color theme="1"/>
            <rFont val="Calibri"/>
            <family val="2"/>
            <scheme val="minor"/>
          </rPr>
          <t>Lars Hanen:
Overnachting Japan</t>
        </r>
      </text>
    </comment>
    <comment ref="J31" authorId="0" shapeId="0" xr:uid="{243662AE-687C-4FD3-A3B4-5AF490E5CD90}">
      <text>
        <r>
          <rPr>
            <sz val="11"/>
            <color theme="1"/>
            <rFont val="Calibri"/>
            <family val="2"/>
            <scheme val="minor"/>
          </rPr>
          <t>Lars Hanen:
Overnachting Nara, JR Rail pass, Overnachting Hakone, Reisverzekering, Airport transfers en overigen</t>
        </r>
      </text>
    </comment>
    <comment ref="L31" authorId="0" shapeId="0" xr:uid="{4A43522B-F36C-498F-9C14-BC2905B19C6B}">
      <text>
        <r>
          <rPr>
            <sz val="11"/>
            <color theme="1"/>
            <rFont val="Calibri"/>
            <family val="2"/>
            <scheme val="minor"/>
          </rPr>
          <t xml:space="preserve">Lars Hanen:
Vlucht naar Nice geboekt
</t>
        </r>
      </text>
    </comment>
    <comment ref="B33" authorId="0" shapeId="0" xr:uid="{4EBD7377-DBC9-4970-8617-41F4BC2697FF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Verkoopsom Ford Focus cadeau gekregen</t>
        </r>
      </text>
    </comment>
    <comment ref="C33" authorId="0" shapeId="0" xr:uid="{3A9870D1-3177-40E1-8AA0-4EEDEC69B93E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Terrasje met mam en Frank cadeau voor Ford Focus
</t>
        </r>
      </text>
    </comment>
    <comment ref="D33" authorId="0" shapeId="0" xr:uid="{A91C5EA4-97D8-4E36-A980-DAA19B840D41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100 eu van opa en oma</t>
        </r>
      </text>
    </comment>
    <comment ref="E33" authorId="0" shapeId="0" xr:uid="{336195D8-9732-4347-BC31-79E63B7C4BE0}">
      <text>
        <r>
          <rPr>
            <b/>
            <sz val="9"/>
            <color indexed="81"/>
            <rFont val="Tahoma"/>
            <family val="2"/>
          </rPr>
          <t>Lars Hanen:</t>
        </r>
        <r>
          <rPr>
            <sz val="9"/>
            <color indexed="81"/>
            <rFont val="Tahoma"/>
            <family val="2"/>
          </rPr>
          <t xml:space="preserve">
Kerst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Lars Hanen</author>
  </authors>
  <commentList>
    <comment ref="F10" authorId="0" shapeId="0" xr:uid="{AF24FF1B-658F-44D8-ADF9-6F2F38C8BAA4}">
      <text>
        <r>
          <rPr>
            <b/>
            <sz val="9"/>
            <color indexed="81"/>
            <rFont val="Tahoma"/>
            <charset val="1"/>
          </rPr>
          <t>Lars Hanen:</t>
        </r>
        <r>
          <rPr>
            <sz val="9"/>
            <color indexed="81"/>
            <rFont val="Tahoma"/>
            <charset val="1"/>
          </rPr>
          <t xml:space="preserve">
Zorgpremie 2023 - fysio aanvullend 6 behandelingen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<sst xmlns="http://schemas.openxmlformats.org/spreadsheetml/2006/main" count="147" uniqueCount="62">
  <si>
    <t>KASBOEK</t>
  </si>
  <si>
    <t>Sep'22</t>
  </si>
  <si>
    <t>Okt'22</t>
  </si>
  <si>
    <t>Nov'22</t>
  </si>
  <si>
    <t>Dec'22</t>
  </si>
  <si>
    <t>Jan'23</t>
  </si>
  <si>
    <t>Feb'23</t>
  </si>
  <si>
    <t>Mar'23</t>
  </si>
  <si>
    <t>Apr'23</t>
  </si>
  <si>
    <t>Mei'23</t>
  </si>
  <si>
    <t>Jun'23</t>
  </si>
  <si>
    <t>Jul'23</t>
  </si>
  <si>
    <t>Aug'23</t>
  </si>
  <si>
    <t>Sep'23</t>
  </si>
  <si>
    <t>Okt'23</t>
  </si>
  <si>
    <t>Nov'23</t>
  </si>
  <si>
    <t>Dec'23</t>
  </si>
  <si>
    <t>Jan'24</t>
  </si>
  <si>
    <t>Feb'24</t>
  </si>
  <si>
    <t>Mar'24</t>
  </si>
  <si>
    <t>INKOMSTEN</t>
  </si>
  <si>
    <t>Salaris</t>
  </si>
  <si>
    <t>Toeslagen</t>
  </si>
  <si>
    <t>Opname spaarrekening</t>
  </si>
  <si>
    <t>Storting</t>
  </si>
  <si>
    <t>Totaal inkomsten</t>
  </si>
  <si>
    <t>VASTE LASTEN</t>
  </si>
  <si>
    <t>Huur</t>
  </si>
  <si>
    <t>Water &amp; energie</t>
  </si>
  <si>
    <t>Vervoer</t>
  </si>
  <si>
    <t>Zorgverzekering</t>
  </si>
  <si>
    <t>Onderwijs</t>
  </si>
  <si>
    <t>Internet, TV &amp; bellen (inclusief Spotify)</t>
  </si>
  <si>
    <t>Bankkosten</t>
  </si>
  <si>
    <t>LIEUTENANT (Overig + Creditcard + Belastingen)</t>
  </si>
  <si>
    <t>Totaal vaste lasten</t>
  </si>
  <si>
    <t>HUISHOUDELIJKE UITGAVEN</t>
  </si>
  <si>
    <t>Boodschappen</t>
  </si>
  <si>
    <t>Verzorging &amp; gezondheid</t>
  </si>
  <si>
    <t>Totaal huishoudelijke uitgaven</t>
  </si>
  <si>
    <t>NIET-MAANDELIJKSE UITGAVEN</t>
  </si>
  <si>
    <t>Sport</t>
  </si>
  <si>
    <t>Uit eten &amp; drinken</t>
  </si>
  <si>
    <t>Huishouden &amp; elektronica</t>
  </si>
  <si>
    <t>Kleding &amp; sieraden</t>
  </si>
  <si>
    <t>Creditcard (exclusief LIEUTENANT)</t>
  </si>
  <si>
    <t>Vakantie</t>
  </si>
  <si>
    <t>Hobby's &amp; vrije tijd</t>
  </si>
  <si>
    <t>Cadeaus</t>
  </si>
  <si>
    <t>Totaal niet-maandelijkse uitgaven</t>
  </si>
  <si>
    <t>TOTALE UITGAVEN</t>
  </si>
  <si>
    <t>TOTALE INKOMSTEN</t>
  </si>
  <si>
    <t>INKOMSTEN MIN UITGAVEN</t>
  </si>
  <si>
    <t>NA AFTREK VAN OPNAME SPAARREKENING</t>
  </si>
  <si>
    <t>Einde maand saldo - Lopende rekening</t>
  </si>
  <si>
    <t>Einde maand saldo - Gedeelde rekening</t>
  </si>
  <si>
    <t>Einde maand saldo - Spaarrekening</t>
  </si>
  <si>
    <t>TOTAAL VERMOGEN (LOPENDE+SPAARREKENING)</t>
  </si>
  <si>
    <t>BEGROTING</t>
  </si>
  <si>
    <t>Apr'24</t>
  </si>
  <si>
    <t>Mei'24</t>
  </si>
  <si>
    <t>Jun'24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</si>
</sst>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€&quot;\ * #,##0.00_ ;_ &quot;€&quot;\ * \-#,##0.00_ ;_ &quot;€&quot;\ * &quot;-&quot;??_ ;_ @_ "/>
    <numFmt numFmtId="165" formatCode="_ [$€-413]\ * #,##0.00_ ;_ [$€-413]\ * \-#,##0.00_ ;_ [$€-413]\ * &quot;-&quot;??_ ;_ @_ "/>
    <numFmt numFmtId="166" formatCode="&quot;€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0" fillId="0" borderId="4" xfId="0" applyBorder="1"/>
    <xf numFmtId="165" fontId="0" fillId="0" borderId="0" xfId="1" applyNumberFormat="1" applyFont="1" applyBorder="1"/>
    <xf numFmtId="165" fontId="2" fillId="0" borderId="0" xfId="1" applyNumberFormat="1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8" fillId="2" borderId="1" xfId="0" applyFont="1" applyFill="1" applyBorder="1"/>
    <xf numFmtId="0" fontId="8" fillId="2" borderId="4" xfId="0" applyFont="1" applyFill="1" applyBorder="1"/>
    <xf numFmtId="0" fontId="8" fillId="2" borderId="6" xfId="0" applyFont="1" applyFill="1" applyBorder="1"/>
    <xf numFmtId="164" fontId="8" fillId="2" borderId="7" xfId="1" applyFont="1" applyFill="1" applyBorder="1"/>
    <xf numFmtId="165" fontId="2" fillId="2" borderId="2" xfId="1" applyNumberFormat="1" applyFont="1" applyFill="1" applyBorder="1"/>
    <xf numFmtId="165" fontId="2" fillId="2" borderId="3" xfId="1" applyNumberFormat="1" applyFont="1" applyFill="1" applyBorder="1"/>
    <xf numFmtId="165" fontId="8" fillId="2" borderId="7" xfId="1" applyNumberFormat="1" applyFont="1" applyFill="1" applyBorder="1"/>
    <xf numFmtId="165" fontId="8" fillId="2" borderId="8" xfId="1" applyNumberFormat="1" applyFont="1" applyFill="1" applyBorder="1"/>
    <xf numFmtId="165" fontId="8" fillId="2" borderId="2" xfId="1" applyNumberFormat="1" applyFont="1" applyFill="1" applyBorder="1"/>
    <xf numFmtId="165" fontId="8" fillId="2" borderId="3" xfId="1" applyNumberFormat="1" applyFont="1" applyFill="1" applyBorder="1"/>
    <xf numFmtId="165" fontId="8" fillId="2" borderId="0" xfId="1" applyNumberFormat="1" applyFont="1" applyFill="1" applyBorder="1"/>
    <xf numFmtId="165" fontId="8" fillId="2" borderId="5" xfId="1" applyNumberFormat="1" applyFont="1" applyFill="1" applyBorder="1"/>
    <xf numFmtId="164" fontId="9" fillId="2" borderId="7" xfId="1" applyFont="1" applyFill="1" applyBorder="1"/>
    <xf numFmtId="0" fontId="8" fillId="2" borderId="0" xfId="0" applyFont="1" applyFill="1"/>
    <xf numFmtId="166" fontId="8" fillId="2" borderId="0" xfId="1" applyNumberFormat="1" applyFont="1" applyFill="1" applyBorder="1"/>
    <xf numFmtId="166" fontId="11" fillId="2" borderId="0" xfId="0" applyNumberFormat="1" applyFont="1" applyFill="1"/>
    <xf numFmtId="166" fontId="8" fillId="2" borderId="7" xfId="1" applyNumberFormat="1" applyFont="1" applyFill="1" applyBorder="1"/>
  </cellXfs>
  <cellStyles count="2">
    <cellStyle name="Standaard" xfId="0" builtinId="0"/>
    <cellStyle name="Valuta" xfId="1" builtinId="4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_ &quot;€&quot;\ * #,##0.00_ ;_ &quot;€&quot;\ * \-#,##0.00_ ;_ &quot;€&quot;\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_ &quot;€&quot;\ * #,##0.00_ ;_ &quot;€&quot;\ * \-#,##0.00_ ;_ &quot;€&quot;\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0212C9-D0D0-4903-8BBD-10FB4F6D6ECD}" name="Totaal" displayName="Totaal" ref="A1:T44" totalsRowShown="0" headerRowDxfId="20">
  <autoFilter ref="A1:T44" xr:uid="{C20212C9-D0D0-4903-8BBD-10FB4F6D6ECD}"/>
  <tableColumns count="20">
    <tableColumn id="1" xr3:uid="{C9BFFC3E-CC0F-49D8-9C6B-882B960142A5}" name="KASBOEK" dataDxfId="18" totalsRowDxfId="19"/>
    <tableColumn id="2" xr3:uid="{4E3E9F25-500C-4BA8-B0FA-E81FA0A173EC}" name="Sep'22"/>
    <tableColumn id="3" xr3:uid="{06D99CD4-88CC-4E01-BE8B-59772C91A84D}" name="Okt'22"/>
    <tableColumn id="4" xr3:uid="{DC6BB0B0-709F-4722-99E4-D4E5E89F2871}" name="Nov'22"/>
    <tableColumn id="5" xr3:uid="{C347DE8D-06A9-4A81-9164-6C7A2AB6641A}" name="Dec'22"/>
    <tableColumn id="6" xr3:uid="{41A3EC8E-4A9E-4FED-A44B-2EFF2518F2C5}" name="Jan'23"/>
    <tableColumn id="7" xr3:uid="{43460BE6-8FC8-4E91-9554-630E699E674E}" name="Feb'23" totalsRowDxfId="17"/>
    <tableColumn id="8" xr3:uid="{6BAD1D15-A47E-41FA-A9C6-1AEAB9B15259}" name="Mar'23"/>
    <tableColumn id="9" xr3:uid="{423FD62E-C8C5-403C-A5C4-1714EFCB1DA9}" name="Apr'23"/>
    <tableColumn id="10" xr3:uid="{316995E9-70FC-410B-B26C-C40A17B71329}" name="Mei'23"/>
    <tableColumn id="11" xr3:uid="{CD199A70-A1CA-47A0-AD65-92B72228CC7E}" name="Jun'23"/>
    <tableColumn id="12" xr3:uid="{D6290CFA-C624-4156-9C8E-3B7245E6FBB1}" name="Jul'23"/>
    <tableColumn id="13" xr3:uid="{83A2D898-5A01-4A32-A2B1-C3290E37195E}" name="Aug'23"/>
    <tableColumn id="14" xr3:uid="{B35768E3-2C8D-4CE0-AF2B-C1601B5FA9CC}" name="Sep'23"/>
    <tableColumn id="15" xr3:uid="{D11D6A2F-5352-4739-97CB-D77B7CD35C43}" name="Okt'23"/>
    <tableColumn id="16" xr3:uid="{A5520985-DAA6-4F50-B22F-0EB1780C7600}" name="Nov'23"/>
    <tableColumn id="17" xr3:uid="{04DC1972-9886-454F-B37E-D35018114E4A}" name="Dec'23"/>
    <tableColumn id="18" xr3:uid="{A1C889BC-3155-46E6-BE35-E16B7A69E0D0}" name="Jan'24"/>
    <tableColumn id="19" xr3:uid="{7F6AA5B7-B355-4D74-BE3E-62B3C5A3BE3E}" name="Feb'24"/>
    <tableColumn id="20" xr3:uid="{142B4DB6-CCC4-407A-8EAE-0D0F46230BC5}" name="Mar'2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867945-E8C0-4FBD-996B-65AA715F1153}" name="Table24" displayName="Table24" ref="A1:I43" totalsRowShown="0" headerRowDxfId="9">
  <autoFilter ref="A1:I43" xr:uid="{C20212C9-D0D0-4903-8BBD-10FB4F6D6ECD}"/>
  <tableColumns count="9">
    <tableColumn id="1" xr3:uid="{C0FF059E-CECF-48F5-B09A-EA39BAF43A06}" name="KASBOEK" dataDxfId="7" totalsRowDxfId="8"/>
    <tableColumn id="2" xr3:uid="{C47A4618-C8CC-49BF-80EA-1FB696804CCE}" name="Jul'23"/>
    <tableColumn id="3" xr3:uid="{C5F0E1CF-AC72-4C13-BFD1-5F18A49D78AA}" name="Aug'23"/>
    <tableColumn id="4" xr3:uid="{22EFFF74-888D-4E21-9BA4-E0512728A83F}" name="Sep'23"/>
    <tableColumn id="5" xr3:uid="{7E5C41F1-A080-442E-88B9-A6999F5A1BDC}" name="Okt'23"/>
    <tableColumn id="6" xr3:uid="{CFCE4951-CF29-4684-9C68-031BA682A1CC}" name="Nov'23"/>
    <tableColumn id="7" xr3:uid="{1E5EB3BC-96A9-4151-8753-A2757BBC1F3F}" name="Dec'23" totalsRowDxfId="6"/>
    <tableColumn id="8" xr3:uid="{6E57BB3B-2301-406E-8E6E-D6648361BA99}" name="Jan'24"/>
    <tableColumn id="9" xr3:uid="{8D9653C7-C8AF-4197-945D-0E17C005DD14}" name="Feb'2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1D0FA-EC5C-4F3C-B018-43737BC2D5CC}" name="Table22" displayName="Table22" ref="A1:L37" totalsRowShown="0" headerRowDxfId="1">
  <autoFilter ref="A1:L37" xr:uid="{C20212C9-D0D0-4903-8BBD-10FB4F6D6ECD}"/>
  <tableColumns count="12">
    <tableColumn id="1" xr3:uid="{D6B9129E-486F-4E27-BE41-24BC6C1E1B5D}" name="BEGROTING" dataDxfId="0"/>
    <tableColumn id="13" xr3:uid="{4B14A08D-6BBB-4BAF-A4B3-08BCB6B4A18F}" name="Aug'23"/>
    <tableColumn id="14" xr3:uid="{6FF6305F-863F-4626-BFE0-A32BA78CE9F0}" name="Sep'23"/>
    <tableColumn id="15" xr3:uid="{66209DBD-97BD-4245-A191-7A0A32B13A03}" name="Okt'23"/>
    <tableColumn id="16" xr3:uid="{05D05BFA-11F6-4DD6-9EBF-0AAA97BFD7D5}" name="Nov'23"/>
    <tableColumn id="17" xr3:uid="{D3EC2CEC-518B-43C5-9705-14998D81AF5E}" name="Dec'23"/>
    <tableColumn id="18" xr3:uid="{2EC68963-D7C8-412E-AC01-542534D76CE2}" name="Jan'24"/>
    <tableColumn id="19" xr3:uid="{6455DB1C-6482-4342-9A98-EAC4F65FFA98}" name="Feb'24"/>
    <tableColumn id="20" xr3:uid="{C10491FD-75D7-4BB7-AB96-B9450EB8B901}" name="Mar'24"/>
    <tableColumn id="21" xr3:uid="{DB342DA3-970A-449C-AAE1-9CF2D85040C4}" name="Apr'24"/>
    <tableColumn id="22" xr3:uid="{8F428916-8CA8-4C4F-9705-E10C2447B026}" name="Mei'24"/>
    <tableColumn id="23" xr3:uid="{35B2A164-421F-4120-950B-3043ABA0EB43}" name="Jun'2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95EA-C2FE-4FAC-A657-6F8D7092D3B7}">
  <sheetPr>
    <tabColor rgb="FF92D050"/>
  </sheetPr>
  <dimension ref="A1:T44"/>
  <sheetViews>
    <sheetView tabSelected="1" zoomScaleNormal="100" workbookViewId="0">
      <pane xSplit="1" ySplit="2" topLeftCell="B14" activePane="bottomRight" state="frozen"/>
      <selection pane="bottomRight" activeCell="J33" sqref="J33"/>
      <selection pane="bottomLeft"/>
      <selection pane="topRight"/>
    </sheetView>
  </sheetViews>
  <sheetFormatPr defaultRowHeight="15"/>
  <cols>
    <col min="1" max="1" width="55" customWidth="1"/>
    <col min="2" max="13" width="12.7109375" customWidth="1"/>
  </cols>
  <sheetData>
    <row r="1" spans="1:20" s="1" customFormat="1" ht="45.75" customHeight="1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1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0"/>
      <c r="O2" s="10"/>
      <c r="P2" s="10"/>
      <c r="Q2" s="10"/>
      <c r="R2" s="10"/>
      <c r="S2" s="10"/>
      <c r="T2" s="10"/>
    </row>
    <row r="3" spans="1:20">
      <c r="A3" s="6" t="s">
        <v>21</v>
      </c>
      <c r="B3" s="7">
        <v>1345</v>
      </c>
      <c r="C3" s="7">
        <v>1131</v>
      </c>
      <c r="D3" s="7">
        <v>1175.49</v>
      </c>
      <c r="E3" s="7">
        <v>2707.7</v>
      </c>
      <c r="F3" s="7">
        <v>1814.7</v>
      </c>
      <c r="G3" s="7">
        <v>1814.7</v>
      </c>
      <c r="H3" s="7">
        <v>1814.7</v>
      </c>
      <c r="I3" s="7">
        <v>0</v>
      </c>
      <c r="J3" s="7">
        <v>4247.09</v>
      </c>
      <c r="K3" s="7">
        <v>0</v>
      </c>
      <c r="L3" s="7">
        <f>3629.4+(0.5*_xlfn.XLOOKUP(Totaal[[#This Row],[KASBOEK]],'Kasboek - Gedeelde rekening'!A:A,'Kasboek - Gedeelde rekening'!B:B))</f>
        <v>3629.4</v>
      </c>
      <c r="M3" s="7" cm="1">
        <f t="array" ref="M3">0+(0.5*_xlfn.XLOOKUP(Totaal[[#This Row],[KASBOEK]:[KASBOEK]],'Kasboek - Gedeelde rekening'!$A:$A,'Kasboek - Gedeelde rekening'!C:C))</f>
        <v>0</v>
      </c>
      <c r="N3" s="7" cm="1">
        <f t="array" ref="N3">0+(0.5*_xlfn.XLOOKUP(Totaal[[#This Row],[KASBOEK]:[KASBOEK]],'Kasboek - Gedeelde rekening'!$A:$A,'Kasboek - Gedeelde rekening'!D:D))</f>
        <v>0</v>
      </c>
      <c r="O3" s="7" cm="1">
        <f t="array" ref="O3">0+(0.5*_xlfn.XLOOKUP(Totaal[[#This Row],[KASBOEK]:[KASBOEK]],'Kasboek - Gedeelde rekening'!$A:$A,'Kasboek - Gedeelde rekening'!E:E))</f>
        <v>0</v>
      </c>
      <c r="P3" s="7" cm="1">
        <f t="array" ref="P3">0+(0.5*_xlfn.XLOOKUP(Totaal[[#This Row],[KASBOEK]:[KASBOEK]],'Kasboek - Gedeelde rekening'!$A:$A,'Kasboek - Gedeelde rekening'!F:F))</f>
        <v>0</v>
      </c>
      <c r="Q3" s="7" cm="1">
        <f t="array" ref="Q3">0+(0.5*_xlfn.XLOOKUP(Totaal[[#This Row],[KASBOEK]:[KASBOEK]],'Kasboek - Gedeelde rekening'!$A:$A,'Kasboek - Gedeelde rekening'!G:G))</f>
        <v>0</v>
      </c>
      <c r="R3" s="7" cm="1">
        <f t="array" ref="R3">0+(0.5*_xlfn.XLOOKUP(Totaal[[#This Row],[KASBOEK]:[KASBOEK]],'Kasboek - Gedeelde rekening'!$A:$A,'Kasboek - Gedeelde rekening'!H:H))</f>
        <v>0</v>
      </c>
      <c r="S3" s="7" cm="1">
        <f t="array" ref="S3">0+(0.5*_xlfn.XLOOKUP(Totaal[[#This Row],[KASBOEK]:[KASBOEK]],'Kasboek - Gedeelde rekening'!$A:$A,'Kasboek - Gedeelde rekening'!I:I))</f>
        <v>0</v>
      </c>
      <c r="T3" s="7" cm="1">
        <f t="array" ref="T3">0+(0.5*_xlfn.XLOOKUP(Totaal[[#This Row],[KASBOEK]:[KASBOEK]],'Kasboek - Gedeelde rekening'!$A:$A,'Kasboek - Gedeelde rekening'!J:J))</f>
        <v>0</v>
      </c>
    </row>
    <row r="4" spans="1:20" s="1" customFormat="1">
      <c r="A4" s="6" t="s">
        <v>22</v>
      </c>
      <c r="B4" s="7">
        <v>8</v>
      </c>
      <c r="C4" s="7">
        <v>9</v>
      </c>
      <c r="D4" s="7">
        <v>9</v>
      </c>
      <c r="E4" s="7">
        <v>39</v>
      </c>
      <c r="F4" s="7">
        <v>39</v>
      </c>
      <c r="G4" s="7">
        <v>39</v>
      </c>
      <c r="H4" s="7">
        <v>39</v>
      </c>
      <c r="I4" s="7">
        <v>39</v>
      </c>
      <c r="J4" s="7">
        <v>261</v>
      </c>
      <c r="K4" s="7">
        <v>201</v>
      </c>
      <c r="L4" s="7">
        <f>40+(0.5*_xlfn.XLOOKUP(Totaal[[#This Row],[KASBOEK]],'Kasboek - Gedeelde rekening'!A:A,'Kasboek - Gedeelde rekening'!B:B))</f>
        <v>40</v>
      </c>
      <c r="M4" s="7" cm="1">
        <f t="array" ref="M4">0+(0.5*_xlfn.XLOOKUP(Totaal[[#This Row],[KASBOEK]:[KASBOEK]],'Kasboek - Gedeelde rekening'!$A:$A,'Kasboek - Gedeelde rekening'!C:C))</f>
        <v>0</v>
      </c>
      <c r="N4" s="7" cm="1">
        <f t="array" ref="N4">0+(0.5*_xlfn.XLOOKUP(Totaal[[#This Row],[KASBOEK]:[KASBOEK]],'Kasboek - Gedeelde rekening'!$A:$A,'Kasboek - Gedeelde rekening'!D:D))</f>
        <v>0</v>
      </c>
      <c r="O4" s="7" cm="1">
        <f t="array" ref="O4">0+(0.5*_xlfn.XLOOKUP(Totaal[[#This Row],[KASBOEK]:[KASBOEK]],'Kasboek - Gedeelde rekening'!$A:$A,'Kasboek - Gedeelde rekening'!E:E))</f>
        <v>0</v>
      </c>
      <c r="P4" s="7" cm="1">
        <f t="array" ref="P4">0+(0.5*_xlfn.XLOOKUP(Totaal[[#This Row],[KASBOEK]:[KASBOEK]],'Kasboek - Gedeelde rekening'!$A:$A,'Kasboek - Gedeelde rekening'!F:F))</f>
        <v>0</v>
      </c>
      <c r="Q4" s="7" cm="1">
        <f t="array" ref="Q4">0+(0.5*_xlfn.XLOOKUP(Totaal[[#This Row],[KASBOEK]:[KASBOEK]],'Kasboek - Gedeelde rekening'!$A:$A,'Kasboek - Gedeelde rekening'!G:G))</f>
        <v>0</v>
      </c>
      <c r="R4" s="7" cm="1">
        <f t="array" ref="R4">0+(0.5*_xlfn.XLOOKUP(Totaal[[#This Row],[KASBOEK]:[KASBOEK]],'Kasboek - Gedeelde rekening'!$A:$A,'Kasboek - Gedeelde rekening'!H:H))</f>
        <v>0</v>
      </c>
      <c r="S4" s="7" cm="1">
        <f t="array" ref="S4">0+(0.5*_xlfn.XLOOKUP(Totaal[[#This Row],[KASBOEK]:[KASBOEK]],'Kasboek - Gedeelde rekening'!$A:$A,'Kasboek - Gedeelde rekening'!I:I))</f>
        <v>0</v>
      </c>
      <c r="T4" s="7" cm="1">
        <f t="array" ref="T4">0+(0.5*_xlfn.XLOOKUP(Totaal[[#This Row],[KASBOEK]:[KASBOEK]],'Kasboek - Gedeelde rekening'!$A:$A,'Kasboek - Gedeelde rekening'!J:J))</f>
        <v>0</v>
      </c>
    </row>
    <row r="5" spans="1:20" s="1" customFormat="1">
      <c r="A5" s="6" t="s">
        <v>23</v>
      </c>
      <c r="B5" s="7">
        <v>0</v>
      </c>
      <c r="C5" s="7">
        <v>1003</v>
      </c>
      <c r="D5" s="7">
        <v>0</v>
      </c>
      <c r="E5" s="7">
        <v>1435.91</v>
      </c>
      <c r="F5" s="7">
        <v>0</v>
      </c>
      <c r="G5" s="7">
        <v>-3500</v>
      </c>
      <c r="H5" s="7">
        <v>0</v>
      </c>
      <c r="I5" s="7">
        <v>155</v>
      </c>
      <c r="J5" s="7">
        <v>0</v>
      </c>
      <c r="K5" s="7">
        <v>0</v>
      </c>
      <c r="L5" s="7">
        <f>0+(0.5*_xlfn.XLOOKUP(Totaal[[#This Row],[KASBOEK]],'Kasboek - Gedeelde rekening'!A:A,'Kasboek - Gedeelde rekening'!B:B))</f>
        <v>0</v>
      </c>
      <c r="M5" s="7" cm="1">
        <f t="array" ref="M5">0+(0.5*_xlfn.XLOOKUP(Totaal[[#This Row],[KASBOEK]:[KASBOEK]],'Kasboek - Gedeelde rekening'!$A:$A,'Kasboek - Gedeelde rekening'!C:C))</f>
        <v>0</v>
      </c>
      <c r="N5" s="7" cm="1">
        <f t="array" ref="N5">0+(0.5*_xlfn.XLOOKUP(Totaal[[#This Row],[KASBOEK]:[KASBOEK]],'Kasboek - Gedeelde rekening'!$A:$A,'Kasboek - Gedeelde rekening'!D:D))</f>
        <v>0</v>
      </c>
      <c r="O5" s="7" cm="1">
        <f t="array" ref="O5">0+(0.5*_xlfn.XLOOKUP(Totaal[[#This Row],[KASBOEK]:[KASBOEK]],'Kasboek - Gedeelde rekening'!$A:$A,'Kasboek - Gedeelde rekening'!E:E))</f>
        <v>0</v>
      </c>
      <c r="P5" s="7" cm="1">
        <f t="array" ref="P5">0+(0.5*_xlfn.XLOOKUP(Totaal[[#This Row],[KASBOEK]:[KASBOEK]],'Kasboek - Gedeelde rekening'!$A:$A,'Kasboek - Gedeelde rekening'!F:F))</f>
        <v>0</v>
      </c>
      <c r="Q5" s="7" cm="1">
        <f t="array" ref="Q5">0+(0.5*_xlfn.XLOOKUP(Totaal[[#This Row],[KASBOEK]:[KASBOEK]],'Kasboek - Gedeelde rekening'!$A:$A,'Kasboek - Gedeelde rekening'!G:G))</f>
        <v>0</v>
      </c>
      <c r="R5" s="7" cm="1">
        <f t="array" ref="R5">0+(0.5*_xlfn.XLOOKUP(Totaal[[#This Row],[KASBOEK]:[KASBOEK]],'Kasboek - Gedeelde rekening'!$A:$A,'Kasboek - Gedeelde rekening'!H:H))</f>
        <v>0</v>
      </c>
      <c r="S5" s="7" cm="1">
        <f t="array" ref="S5">0+(0.5*_xlfn.XLOOKUP(Totaal[[#This Row],[KASBOEK]:[KASBOEK]],'Kasboek - Gedeelde rekening'!$A:$A,'Kasboek - Gedeelde rekening'!I:I))</f>
        <v>0</v>
      </c>
      <c r="T5" s="7" cm="1">
        <f t="array" ref="T5">0+(0.5*_xlfn.XLOOKUP(Totaal[[#This Row],[KASBOEK]:[KASBOEK]],'Kasboek - Gedeelde rekening'!$A:$A,'Kasboek - Gedeelde rekening'!J:J))</f>
        <v>0</v>
      </c>
    </row>
    <row r="6" spans="1:20" s="1" customFormat="1">
      <c r="A6" s="6" t="s">
        <v>24</v>
      </c>
      <c r="B6" s="7">
        <v>0</v>
      </c>
      <c r="C6" s="7">
        <v>0</v>
      </c>
      <c r="D6" s="7">
        <v>0</v>
      </c>
      <c r="E6" s="7">
        <v>0</v>
      </c>
      <c r="F6" s="7">
        <v>500</v>
      </c>
      <c r="G6" s="7">
        <v>1150</v>
      </c>
      <c r="H6" s="7">
        <v>0</v>
      </c>
      <c r="I6" s="7">
        <v>0</v>
      </c>
      <c r="J6" s="7">
        <v>-829.64</v>
      </c>
      <c r="K6" s="7">
        <v>0</v>
      </c>
      <c r="L6" s="7" cm="1">
        <f t="array" ref="L6">0+(0.5*_xlfn.XLOOKUP(Totaal[[#This Row],[KASBOEK]:[KASBOEK]],'Kasboek - Gedeelde rekening'!$A:$A,'Kasboek - Gedeelde rekening'!B:B))</f>
        <v>0</v>
      </c>
      <c r="M6" s="7" cm="1">
        <f t="array" ref="M6">0+(0.5*_xlfn.XLOOKUP(Totaal[[#This Row],[KASBOEK]:[KASBOEK]],'Kasboek - Gedeelde rekening'!$A:$A,'Kasboek - Gedeelde rekening'!C:C))</f>
        <v>0</v>
      </c>
      <c r="N6" s="7" cm="1">
        <f t="array" ref="N6">0+(0.5*_xlfn.XLOOKUP(Totaal[[#This Row],[KASBOEK]:[KASBOEK]],'Kasboek - Gedeelde rekening'!$A:$A,'Kasboek - Gedeelde rekening'!D:D))</f>
        <v>0</v>
      </c>
      <c r="O6" s="7" cm="1">
        <f t="array" ref="O6">0+(0.5*_xlfn.XLOOKUP(Totaal[[#This Row],[KASBOEK]:[KASBOEK]],'Kasboek - Gedeelde rekening'!$A:$A,'Kasboek - Gedeelde rekening'!E:E))</f>
        <v>0</v>
      </c>
      <c r="P6" s="7" cm="1">
        <f t="array" ref="P6">0+(0.5*_xlfn.XLOOKUP(Totaal[[#This Row],[KASBOEK]:[KASBOEK]],'Kasboek - Gedeelde rekening'!$A:$A,'Kasboek - Gedeelde rekening'!F:F))</f>
        <v>0</v>
      </c>
      <c r="Q6" s="7" cm="1">
        <f t="array" ref="Q6">0+(0.5*_xlfn.XLOOKUP(Totaal[[#This Row],[KASBOEK]:[KASBOEK]],'Kasboek - Gedeelde rekening'!$A:$A,'Kasboek - Gedeelde rekening'!G:G))</f>
        <v>0</v>
      </c>
      <c r="R6" s="7" cm="1">
        <f t="array" ref="R6">0+(0.5*_xlfn.XLOOKUP(Totaal[[#This Row],[KASBOEK]:[KASBOEK]],'Kasboek - Gedeelde rekening'!$A:$A,'Kasboek - Gedeelde rekening'!H:H))</f>
        <v>0</v>
      </c>
      <c r="S6" s="7" cm="1">
        <f t="array" ref="S6">0+(0.5*_xlfn.XLOOKUP(Totaal[[#This Row],[KASBOEK]:[KASBOEK]],'Kasboek - Gedeelde rekening'!$A:$A,'Kasboek - Gedeelde rekening'!I:I))</f>
        <v>0</v>
      </c>
      <c r="T6" s="7" cm="1">
        <f t="array" ref="T6">0+(0.5*_xlfn.XLOOKUP(Totaal[[#This Row],[KASBOEK]:[KASBOEK]],'Kasboek - Gedeelde rekening'!$A:$A,'Kasboek - Gedeelde rekening'!J:J))</f>
        <v>0</v>
      </c>
    </row>
    <row r="7" spans="1:20">
      <c r="A7" s="13" t="s">
        <v>25</v>
      </c>
      <c r="B7" s="17">
        <f>SUM(B3:B6)</f>
        <v>1353</v>
      </c>
      <c r="C7" s="17">
        <f t="shared" ref="C7:M7" si="0">SUM(C3:C6)</f>
        <v>2143</v>
      </c>
      <c r="D7" s="17">
        <f t="shared" si="0"/>
        <v>1184.49</v>
      </c>
      <c r="E7" s="17">
        <f t="shared" si="0"/>
        <v>4182.6099999999997</v>
      </c>
      <c r="F7" s="17">
        <f t="shared" si="0"/>
        <v>2353.6999999999998</v>
      </c>
      <c r="G7" s="17">
        <f t="shared" si="0"/>
        <v>-496.29999999999995</v>
      </c>
      <c r="H7" s="17">
        <f t="shared" si="0"/>
        <v>1853.7</v>
      </c>
      <c r="I7" s="17">
        <f t="shared" si="0"/>
        <v>194</v>
      </c>
      <c r="J7" s="17">
        <f t="shared" si="0"/>
        <v>3678.4500000000003</v>
      </c>
      <c r="K7" s="17">
        <f t="shared" si="0"/>
        <v>201</v>
      </c>
      <c r="L7" s="17">
        <f t="shared" si="0"/>
        <v>3669.4</v>
      </c>
      <c r="M7" s="17">
        <f t="shared" si="0"/>
        <v>0</v>
      </c>
      <c r="N7" s="17">
        <f t="shared" ref="N7:T7" si="1">SUM(N3:N6)</f>
        <v>0</v>
      </c>
      <c r="O7" s="17">
        <f t="shared" si="1"/>
        <v>0</v>
      </c>
      <c r="P7" s="17">
        <f t="shared" si="1"/>
        <v>0</v>
      </c>
      <c r="Q7" s="17">
        <f t="shared" si="1"/>
        <v>0</v>
      </c>
      <c r="R7" s="17">
        <f t="shared" si="1"/>
        <v>0</v>
      </c>
      <c r="S7" s="17">
        <f t="shared" si="1"/>
        <v>0</v>
      </c>
      <c r="T7" s="17">
        <f t="shared" si="1"/>
        <v>0</v>
      </c>
    </row>
    <row r="8" spans="1:20" s="1" customFormat="1">
      <c r="A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1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6"/>
      <c r="O9" s="16"/>
      <c r="P9" s="16"/>
      <c r="Q9" s="16"/>
      <c r="R9" s="16"/>
      <c r="S9" s="16"/>
      <c r="T9" s="16"/>
    </row>
    <row r="10" spans="1:20">
      <c r="A10" s="6" t="s">
        <v>27</v>
      </c>
      <c r="B10" s="7">
        <v>362</v>
      </c>
      <c r="C10" s="7">
        <v>500</v>
      </c>
      <c r="D10" s="7">
        <v>500</v>
      </c>
      <c r="E10" s="7">
        <v>500</v>
      </c>
      <c r="F10" s="7">
        <v>347.21</v>
      </c>
      <c r="G10" s="7">
        <v>500</v>
      </c>
      <c r="H10" s="7">
        <v>500</v>
      </c>
      <c r="I10" s="7">
        <v>500</v>
      </c>
      <c r="J10" s="7">
        <v>740</v>
      </c>
      <c r="K10" s="7">
        <v>-689.33</v>
      </c>
      <c r="L10" s="7">
        <f>1630+(0.5*_xlfn.XLOOKUP(Totaal[[#This Row],[KASBOEK]],'Kasboek - Gedeelde rekening'!A:A,'Kasboek - Gedeelde rekening'!B:B))</f>
        <v>1630</v>
      </c>
      <c r="M10" s="7" cm="1">
        <f t="array" ref="M10">0+(0.5*_xlfn.XLOOKUP(Totaal[[#This Row],[KASBOEK]:[KASBOEK]],'Kasboek - Gedeelde rekening'!$A:$A,'Kasboek - Gedeelde rekening'!C:C))</f>
        <v>0</v>
      </c>
      <c r="N10" s="7" cm="1">
        <f t="array" ref="N10">0+(0.5*_xlfn.XLOOKUP(Totaal[[#This Row],[KASBOEK]:[KASBOEK]],'Kasboek - Gedeelde rekening'!$A:$A,'Kasboek - Gedeelde rekening'!D:D))</f>
        <v>0</v>
      </c>
      <c r="O10" s="7" cm="1">
        <f t="array" ref="O10">0+(0.5*_xlfn.XLOOKUP(Totaal[[#This Row],[KASBOEK]:[KASBOEK]],'Kasboek - Gedeelde rekening'!$A:$A,'Kasboek - Gedeelde rekening'!E:E))</f>
        <v>0</v>
      </c>
      <c r="P10" s="7" cm="1">
        <f t="array" ref="P10">0+(0.5*_xlfn.XLOOKUP(Totaal[[#This Row],[KASBOEK]:[KASBOEK]],'Kasboek - Gedeelde rekening'!$A:$A,'Kasboek - Gedeelde rekening'!F:F))</f>
        <v>0</v>
      </c>
      <c r="Q10" s="7" cm="1">
        <f t="array" ref="Q10">0+(0.5*_xlfn.XLOOKUP(Totaal[[#This Row],[KASBOEK]:[KASBOEK]],'Kasboek - Gedeelde rekening'!$A:$A,'Kasboek - Gedeelde rekening'!G:G))</f>
        <v>0</v>
      </c>
      <c r="R10" s="7" cm="1">
        <f t="array" ref="R10">0+(0.5*_xlfn.XLOOKUP(Totaal[[#This Row],[KASBOEK]:[KASBOEK]],'Kasboek - Gedeelde rekening'!$A:$A,'Kasboek - Gedeelde rekening'!H:H))</f>
        <v>0</v>
      </c>
      <c r="S10" s="7" cm="1">
        <f t="array" ref="S10">0+(0.5*_xlfn.XLOOKUP(Totaal[[#This Row],[KASBOEK]:[KASBOEK]],'Kasboek - Gedeelde rekening'!$A:$A,'Kasboek - Gedeelde rekening'!I:I))</f>
        <v>0</v>
      </c>
      <c r="T10" s="7" cm="1">
        <f t="array" ref="T10">0+(0.5*_xlfn.XLOOKUP(Totaal[[#This Row],[KASBOEK]:[KASBOEK]],'Kasboek - Gedeelde rekening'!$A:$A,'Kasboek - Gedeelde rekening'!J:J))</f>
        <v>0</v>
      </c>
    </row>
    <row r="11" spans="1:20">
      <c r="A11" s="6" t="s">
        <v>28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f>0+(0.5*_xlfn.XLOOKUP(Totaal[[#This Row],[KASBOEK]],'Kasboek - Gedeelde rekening'!A:A,'Kasboek - Gedeelde rekening'!B:B))</f>
        <v>53.88</v>
      </c>
      <c r="M11" s="7" cm="1">
        <f t="array" ref="M11">0+(0.5*_xlfn.XLOOKUP(Totaal[[#This Row],[KASBOEK]:[KASBOEK]],'Kasboek - Gedeelde rekening'!$A:$A,'Kasboek - Gedeelde rekening'!C:C))</f>
        <v>0</v>
      </c>
      <c r="N11" s="7" cm="1">
        <f t="array" ref="N11">0+(0.5*_xlfn.XLOOKUP(Totaal[[#This Row],[KASBOEK]:[KASBOEK]],'Kasboek - Gedeelde rekening'!$A:$A,'Kasboek - Gedeelde rekening'!D:D))</f>
        <v>0</v>
      </c>
      <c r="O11" s="7" cm="1">
        <f t="array" ref="O11">0+(0.5*_xlfn.XLOOKUP(Totaal[[#This Row],[KASBOEK]:[KASBOEK]],'Kasboek - Gedeelde rekening'!$A:$A,'Kasboek - Gedeelde rekening'!E:E))</f>
        <v>0</v>
      </c>
      <c r="P11" s="7" cm="1">
        <f t="array" ref="P11">0+(0.5*_xlfn.XLOOKUP(Totaal[[#This Row],[KASBOEK]:[KASBOEK]],'Kasboek - Gedeelde rekening'!$A:$A,'Kasboek - Gedeelde rekening'!F:F))</f>
        <v>0</v>
      </c>
      <c r="Q11" s="7" cm="1">
        <f t="array" ref="Q11">0+(0.5*_xlfn.XLOOKUP(Totaal[[#This Row],[KASBOEK]:[KASBOEK]],'Kasboek - Gedeelde rekening'!$A:$A,'Kasboek - Gedeelde rekening'!G:G))</f>
        <v>0</v>
      </c>
      <c r="R11" s="7" cm="1">
        <f t="array" ref="R11">0+(0.5*_xlfn.XLOOKUP(Totaal[[#This Row],[KASBOEK]:[KASBOEK]],'Kasboek - Gedeelde rekening'!$A:$A,'Kasboek - Gedeelde rekening'!H:H))</f>
        <v>0</v>
      </c>
      <c r="S11" s="7" cm="1">
        <f t="array" ref="S11">0+(0.5*_xlfn.XLOOKUP(Totaal[[#This Row],[KASBOEK]:[KASBOEK]],'Kasboek - Gedeelde rekening'!$A:$A,'Kasboek - Gedeelde rekening'!I:I))</f>
        <v>0</v>
      </c>
      <c r="T11" s="7" cm="1">
        <f t="array" ref="T11">0+(0.5*_xlfn.XLOOKUP(Totaal[[#This Row],[KASBOEK]:[KASBOEK]],'Kasboek - Gedeelde rekening'!$A:$A,'Kasboek - Gedeelde rekening'!J:J))</f>
        <v>0</v>
      </c>
    </row>
    <row r="12" spans="1:20">
      <c r="A12" s="6" t="s">
        <v>29</v>
      </c>
      <c r="B12" s="7">
        <v>378</v>
      </c>
      <c r="C12" s="7">
        <v>265</v>
      </c>
      <c r="D12" s="7">
        <v>379.49</v>
      </c>
      <c r="E12" s="7">
        <v>196.27</v>
      </c>
      <c r="F12" s="7">
        <v>225.46</v>
      </c>
      <c r="G12" s="7">
        <v>208.65</v>
      </c>
      <c r="H12" s="7">
        <v>153.33000000000001</v>
      </c>
      <c r="I12" s="7">
        <v>115.1</v>
      </c>
      <c r="J12" s="7">
        <v>-47.82</v>
      </c>
      <c r="K12" s="7">
        <v>68.98</v>
      </c>
      <c r="L12" s="7">
        <f>200.32+(0.5*_xlfn.XLOOKUP(Totaal[[#This Row],[KASBOEK]],'Kasboek - Gedeelde rekening'!A:A,'Kasboek - Gedeelde rekening'!B:B))</f>
        <v>200.32</v>
      </c>
      <c r="M12" s="7" cm="1">
        <f t="array" ref="M12">0+(0.5*_xlfn.XLOOKUP(Totaal[[#This Row],[KASBOEK]:[KASBOEK]],'Kasboek - Gedeelde rekening'!$A:$A,'Kasboek - Gedeelde rekening'!C:C))</f>
        <v>0</v>
      </c>
      <c r="N12" s="7" cm="1">
        <f t="array" ref="N12">0+(0.5*_xlfn.XLOOKUP(Totaal[[#This Row],[KASBOEK]:[KASBOEK]],'Kasboek - Gedeelde rekening'!$A:$A,'Kasboek - Gedeelde rekening'!D:D))</f>
        <v>0</v>
      </c>
      <c r="O12" s="7" cm="1">
        <f t="array" ref="O12">0+(0.5*_xlfn.XLOOKUP(Totaal[[#This Row],[KASBOEK]:[KASBOEK]],'Kasboek - Gedeelde rekening'!$A:$A,'Kasboek - Gedeelde rekening'!E:E))</f>
        <v>0</v>
      </c>
      <c r="P12" s="7" cm="1">
        <f t="array" ref="P12">0+(0.5*_xlfn.XLOOKUP(Totaal[[#This Row],[KASBOEK]:[KASBOEK]],'Kasboek - Gedeelde rekening'!$A:$A,'Kasboek - Gedeelde rekening'!F:F))</f>
        <v>0</v>
      </c>
      <c r="Q12" s="7" cm="1">
        <f t="array" ref="Q12">0+(0.5*_xlfn.XLOOKUP(Totaal[[#This Row],[KASBOEK]:[KASBOEK]],'Kasboek - Gedeelde rekening'!$A:$A,'Kasboek - Gedeelde rekening'!G:G))</f>
        <v>0</v>
      </c>
      <c r="R12" s="7" cm="1">
        <f t="array" ref="R12">0+(0.5*_xlfn.XLOOKUP(Totaal[[#This Row],[KASBOEK]:[KASBOEK]],'Kasboek - Gedeelde rekening'!$A:$A,'Kasboek - Gedeelde rekening'!H:H))</f>
        <v>0</v>
      </c>
      <c r="S12" s="7" cm="1">
        <f t="array" ref="S12">0+(0.5*_xlfn.XLOOKUP(Totaal[[#This Row],[KASBOEK]:[KASBOEK]],'Kasboek - Gedeelde rekening'!$A:$A,'Kasboek - Gedeelde rekening'!I:I))</f>
        <v>0</v>
      </c>
      <c r="T12" s="7" cm="1">
        <f t="array" ref="T12">0+(0.5*_xlfn.XLOOKUP(Totaal[[#This Row],[KASBOEK]:[KASBOEK]],'Kasboek - Gedeelde rekening'!$A:$A,'Kasboek - Gedeelde rekening'!J:J))</f>
        <v>0</v>
      </c>
    </row>
    <row r="13" spans="1:20">
      <c r="A13" s="6" t="s">
        <v>30</v>
      </c>
      <c r="B13" s="7">
        <v>0</v>
      </c>
      <c r="C13" s="7">
        <v>0</v>
      </c>
      <c r="D13" s="7">
        <v>0</v>
      </c>
      <c r="E13" s="7">
        <v>1335.91</v>
      </c>
      <c r="F13" s="7">
        <v>-0.56000000000000005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f>0+(0.5*_xlfn.XLOOKUP(Totaal[[#This Row],[KASBOEK]],'Kasboek - Gedeelde rekening'!A:A,'Kasboek - Gedeelde rekening'!B:B))</f>
        <v>0</v>
      </c>
      <c r="M13" s="7" cm="1">
        <f t="array" ref="M13">0+(0.5*_xlfn.XLOOKUP(Totaal[[#This Row],[KASBOEK]:[KASBOEK]],'Kasboek - Gedeelde rekening'!$A:$A,'Kasboek - Gedeelde rekening'!C:C))</f>
        <v>0</v>
      </c>
      <c r="N13" s="7" cm="1">
        <f t="array" ref="N13">0+(0.5*_xlfn.XLOOKUP(Totaal[[#This Row],[KASBOEK]:[KASBOEK]],'Kasboek - Gedeelde rekening'!$A:$A,'Kasboek - Gedeelde rekening'!D:D))</f>
        <v>0</v>
      </c>
      <c r="O13" s="7" cm="1">
        <f t="array" ref="O13">0+(0.5*_xlfn.XLOOKUP(Totaal[[#This Row],[KASBOEK]:[KASBOEK]],'Kasboek - Gedeelde rekening'!$A:$A,'Kasboek - Gedeelde rekening'!E:E))</f>
        <v>0</v>
      </c>
      <c r="P13" s="7" cm="1">
        <f t="array" ref="P13">0+(0.5*_xlfn.XLOOKUP(Totaal[[#This Row],[KASBOEK]:[KASBOEK]],'Kasboek - Gedeelde rekening'!$A:$A,'Kasboek - Gedeelde rekening'!F:F))</f>
        <v>0</v>
      </c>
      <c r="Q13" s="7" cm="1">
        <f t="array" ref="Q13">0+(0.5*_xlfn.XLOOKUP(Totaal[[#This Row],[KASBOEK]:[KASBOEK]],'Kasboek - Gedeelde rekening'!$A:$A,'Kasboek - Gedeelde rekening'!G:G))</f>
        <v>0</v>
      </c>
      <c r="R13" s="7" cm="1">
        <f t="array" ref="R13">0+(0.5*_xlfn.XLOOKUP(Totaal[[#This Row],[KASBOEK]:[KASBOEK]],'Kasboek - Gedeelde rekening'!$A:$A,'Kasboek - Gedeelde rekening'!H:H))</f>
        <v>0</v>
      </c>
      <c r="S13" s="7" cm="1">
        <f t="array" ref="S13">0+(0.5*_xlfn.XLOOKUP(Totaal[[#This Row],[KASBOEK]:[KASBOEK]],'Kasboek - Gedeelde rekening'!$A:$A,'Kasboek - Gedeelde rekening'!I:I))</f>
        <v>0</v>
      </c>
      <c r="T13" s="7" cm="1">
        <f t="array" ref="T13">0+(0.5*_xlfn.XLOOKUP(Totaal[[#This Row],[KASBOEK]:[KASBOEK]],'Kasboek - Gedeelde rekening'!$A:$A,'Kasboek - Gedeelde rekening'!J:J))</f>
        <v>0</v>
      </c>
    </row>
    <row r="14" spans="1:20">
      <c r="A14" s="6" t="s">
        <v>31</v>
      </c>
      <c r="B14" s="7">
        <v>1115</v>
      </c>
      <c r="C14" s="7">
        <v>0</v>
      </c>
      <c r="D14" s="7">
        <v>0</v>
      </c>
      <c r="E14" s="7">
        <v>12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f>0+(0.5*_xlfn.XLOOKUP(Totaal[[#This Row],[KASBOEK]],'Kasboek - Gedeelde rekening'!A:A,'Kasboek - Gedeelde rekening'!B:B))</f>
        <v>0</v>
      </c>
      <c r="M14" s="7" cm="1">
        <f t="array" ref="M14">0+(0.5*_xlfn.XLOOKUP(Totaal[[#This Row],[KASBOEK]:[KASBOEK]],'Kasboek - Gedeelde rekening'!$A:$A,'Kasboek - Gedeelde rekening'!C:C))</f>
        <v>0</v>
      </c>
      <c r="N14" s="7" cm="1">
        <f t="array" ref="N14">0+(0.5*_xlfn.XLOOKUP(Totaal[[#This Row],[KASBOEK]:[KASBOEK]],'Kasboek - Gedeelde rekening'!$A:$A,'Kasboek - Gedeelde rekening'!D:D))</f>
        <v>0</v>
      </c>
      <c r="O14" s="7" cm="1">
        <f t="array" ref="O14">0+(0.5*_xlfn.XLOOKUP(Totaal[[#This Row],[KASBOEK]:[KASBOEK]],'Kasboek - Gedeelde rekening'!$A:$A,'Kasboek - Gedeelde rekening'!E:E))</f>
        <v>0</v>
      </c>
      <c r="P14" s="7" cm="1">
        <f t="array" ref="P14">0+(0.5*_xlfn.XLOOKUP(Totaal[[#This Row],[KASBOEK]:[KASBOEK]],'Kasboek - Gedeelde rekening'!$A:$A,'Kasboek - Gedeelde rekening'!F:F))</f>
        <v>0</v>
      </c>
      <c r="Q14" s="7" cm="1">
        <f t="array" ref="Q14">0+(0.5*_xlfn.XLOOKUP(Totaal[[#This Row],[KASBOEK]:[KASBOEK]],'Kasboek - Gedeelde rekening'!$A:$A,'Kasboek - Gedeelde rekening'!G:G))</f>
        <v>0</v>
      </c>
      <c r="R14" s="7" cm="1">
        <f t="array" ref="R14">0+(0.5*_xlfn.XLOOKUP(Totaal[[#This Row],[KASBOEK]:[KASBOEK]],'Kasboek - Gedeelde rekening'!$A:$A,'Kasboek - Gedeelde rekening'!H:H))</f>
        <v>0</v>
      </c>
      <c r="S14" s="7" cm="1">
        <f t="array" ref="S14">0+(0.5*_xlfn.XLOOKUP(Totaal[[#This Row],[KASBOEK]:[KASBOEK]],'Kasboek - Gedeelde rekening'!$A:$A,'Kasboek - Gedeelde rekening'!I:I))</f>
        <v>0</v>
      </c>
      <c r="T14" s="7" cm="1">
        <f t="array" ref="T14">0+(0.5*_xlfn.XLOOKUP(Totaal[[#This Row],[KASBOEK]:[KASBOEK]],'Kasboek - Gedeelde rekening'!$A:$A,'Kasboek - Gedeelde rekening'!J:J))</f>
        <v>0</v>
      </c>
    </row>
    <row r="15" spans="1:20">
      <c r="A15" s="6" t="s">
        <v>32</v>
      </c>
      <c r="B15" s="7">
        <v>31</v>
      </c>
      <c r="C15" s="7">
        <v>23</v>
      </c>
      <c r="D15" s="7">
        <v>17.5</v>
      </c>
      <c r="E15" s="7">
        <v>22.5</v>
      </c>
      <c r="F15" s="7">
        <v>17.5</v>
      </c>
      <c r="G15" s="7">
        <v>17.5</v>
      </c>
      <c r="H15" s="7">
        <v>17.5</v>
      </c>
      <c r="I15" s="7">
        <v>22.5</v>
      </c>
      <c r="J15" s="7">
        <v>17.5</v>
      </c>
      <c r="K15" s="7">
        <v>17.5</v>
      </c>
      <c r="L15" s="7">
        <f>17.5+(0.5*_xlfn.XLOOKUP(Totaal[[#This Row],[KASBOEK]],'Kasboek - Gedeelde rekening'!A:A,'Kasboek - Gedeelde rekening'!B:B))</f>
        <v>17.5</v>
      </c>
      <c r="M15" s="7" cm="1">
        <f t="array" ref="M15">0+(0.5*_xlfn.XLOOKUP(Totaal[[#This Row],[KASBOEK]:[KASBOEK]],'Kasboek - Gedeelde rekening'!$A:$A,'Kasboek - Gedeelde rekening'!C:C))</f>
        <v>0</v>
      </c>
      <c r="N15" s="7" cm="1">
        <f t="array" ref="N15">0+(0.5*_xlfn.XLOOKUP(Totaal[[#This Row],[KASBOEK]:[KASBOEK]],'Kasboek - Gedeelde rekening'!$A:$A,'Kasboek - Gedeelde rekening'!D:D))</f>
        <v>0</v>
      </c>
      <c r="O15" s="7" cm="1">
        <f t="array" ref="O15">0+(0.5*_xlfn.XLOOKUP(Totaal[[#This Row],[KASBOEK]:[KASBOEK]],'Kasboek - Gedeelde rekening'!$A:$A,'Kasboek - Gedeelde rekening'!E:E))</f>
        <v>0</v>
      </c>
      <c r="P15" s="7" cm="1">
        <f t="array" ref="P15">0+(0.5*_xlfn.XLOOKUP(Totaal[[#This Row],[KASBOEK]:[KASBOEK]],'Kasboek - Gedeelde rekening'!$A:$A,'Kasboek - Gedeelde rekening'!F:F))</f>
        <v>0</v>
      </c>
      <c r="Q15" s="7" cm="1">
        <f t="array" ref="Q15">0+(0.5*_xlfn.XLOOKUP(Totaal[[#This Row],[KASBOEK]:[KASBOEK]],'Kasboek - Gedeelde rekening'!$A:$A,'Kasboek - Gedeelde rekening'!G:G))</f>
        <v>0</v>
      </c>
      <c r="R15" s="7" cm="1">
        <f t="array" ref="R15">0+(0.5*_xlfn.XLOOKUP(Totaal[[#This Row],[KASBOEK]:[KASBOEK]],'Kasboek - Gedeelde rekening'!$A:$A,'Kasboek - Gedeelde rekening'!H:H))</f>
        <v>0</v>
      </c>
      <c r="S15" s="7" cm="1">
        <f t="array" ref="S15">0+(0.5*_xlfn.XLOOKUP(Totaal[[#This Row],[KASBOEK]:[KASBOEK]],'Kasboek - Gedeelde rekening'!$A:$A,'Kasboek - Gedeelde rekening'!I:I))</f>
        <v>0</v>
      </c>
      <c r="T15" s="7" cm="1">
        <f t="array" ref="T15">0+(0.5*_xlfn.XLOOKUP(Totaal[[#This Row],[KASBOEK]:[KASBOEK]],'Kasboek - Gedeelde rekening'!$A:$A,'Kasboek - Gedeelde rekening'!J:J))</f>
        <v>0</v>
      </c>
    </row>
    <row r="16" spans="1:20">
      <c r="A16" s="6" t="s">
        <v>33</v>
      </c>
      <c r="B16" s="7">
        <v>1</v>
      </c>
      <c r="C16" s="7">
        <v>1</v>
      </c>
      <c r="D16" s="7">
        <v>1</v>
      </c>
      <c r="E16" s="7">
        <v>1.25</v>
      </c>
      <c r="F16" s="7">
        <v>8</v>
      </c>
      <c r="G16" s="7">
        <v>3.5</v>
      </c>
      <c r="H16" s="7">
        <v>3.5</v>
      </c>
      <c r="I16" s="7">
        <v>1.25</v>
      </c>
      <c r="J16" s="7">
        <v>1.25</v>
      </c>
      <c r="K16" s="7">
        <v>18.45</v>
      </c>
      <c r="L16" s="7">
        <f>4.45+(0.5*_xlfn.XLOOKUP(Totaal[[#This Row],[KASBOEK]],'Kasboek - Gedeelde rekening'!A:A,'Kasboek - Gedeelde rekening'!B:B))</f>
        <v>6.625</v>
      </c>
      <c r="M16" s="7" cm="1">
        <f t="array" ref="M16">0+(0.5*_xlfn.XLOOKUP(Totaal[[#This Row],[KASBOEK]:[KASBOEK]],'Kasboek - Gedeelde rekening'!$A:$A,'Kasboek - Gedeelde rekening'!C:C))</f>
        <v>0</v>
      </c>
      <c r="N16" s="7" cm="1">
        <f t="array" ref="N16">0+(0.5*_xlfn.XLOOKUP(Totaal[[#This Row],[KASBOEK]:[KASBOEK]],'Kasboek - Gedeelde rekening'!$A:$A,'Kasboek - Gedeelde rekening'!D:D))</f>
        <v>0</v>
      </c>
      <c r="O16" s="7" cm="1">
        <f t="array" ref="O16">0+(0.5*_xlfn.XLOOKUP(Totaal[[#This Row],[KASBOEK]:[KASBOEK]],'Kasboek - Gedeelde rekening'!$A:$A,'Kasboek - Gedeelde rekening'!E:E))</f>
        <v>0</v>
      </c>
      <c r="P16" s="7" cm="1">
        <f t="array" ref="P16">0+(0.5*_xlfn.XLOOKUP(Totaal[[#This Row],[KASBOEK]:[KASBOEK]],'Kasboek - Gedeelde rekening'!$A:$A,'Kasboek - Gedeelde rekening'!F:F))</f>
        <v>0</v>
      </c>
      <c r="Q16" s="7" cm="1">
        <f t="array" ref="Q16">0+(0.5*_xlfn.XLOOKUP(Totaal[[#This Row],[KASBOEK]:[KASBOEK]],'Kasboek - Gedeelde rekening'!$A:$A,'Kasboek - Gedeelde rekening'!G:G))</f>
        <v>0</v>
      </c>
      <c r="R16" s="7" cm="1">
        <f t="array" ref="R16">0+(0.5*_xlfn.XLOOKUP(Totaal[[#This Row],[KASBOEK]:[KASBOEK]],'Kasboek - Gedeelde rekening'!$A:$A,'Kasboek - Gedeelde rekening'!H:H))</f>
        <v>0</v>
      </c>
      <c r="S16" s="7" cm="1">
        <f t="array" ref="S16">0+(0.5*_xlfn.XLOOKUP(Totaal[[#This Row],[KASBOEK]:[KASBOEK]],'Kasboek - Gedeelde rekening'!$A:$A,'Kasboek - Gedeelde rekening'!I:I))</f>
        <v>0</v>
      </c>
      <c r="T16" s="7" cm="1">
        <f t="array" ref="T16">0+(0.5*_xlfn.XLOOKUP(Totaal[[#This Row],[KASBOEK]:[KASBOEK]],'Kasboek - Gedeelde rekening'!$A:$A,'Kasboek - Gedeelde rekening'!J:J))</f>
        <v>0</v>
      </c>
    </row>
    <row r="17" spans="1:20" s="1" customFormat="1">
      <c r="A17" s="6" t="s">
        <v>34</v>
      </c>
      <c r="B17" s="7">
        <f>17+44.39</f>
        <v>61.39</v>
      </c>
      <c r="C17" s="7">
        <f>-12+45.19+5.83</f>
        <v>39.019999999999996</v>
      </c>
      <c r="D17" s="7">
        <v>170.73</v>
      </c>
      <c r="E17" s="7">
        <f>42.75-235.4</f>
        <v>-192.65</v>
      </c>
      <c r="F17" s="7">
        <f>-245.85-21+41.35</f>
        <v>-225.50000000000003</v>
      </c>
      <c r="G17" s="7">
        <f>-83.55+40.6</f>
        <v>-42.949999999999996</v>
      </c>
      <c r="H17" s="7">
        <f>-86.6+41.58+5.95</f>
        <v>-39.069999999999993</v>
      </c>
      <c r="I17" s="7">
        <f>-8+5.45+32.78+40.65</f>
        <v>70.88</v>
      </c>
      <c r="J17" s="7">
        <f>-455.8+49.25</f>
        <v>-406.55</v>
      </c>
      <c r="K17" s="7">
        <f>-49</f>
        <v>-49</v>
      </c>
      <c r="L17" s="7">
        <f>5.46+(0.5*_xlfn.XLOOKUP(Totaal[[#This Row],[KASBOEK]],'Kasboek - Gedeelde rekening'!A:A,'Kasboek - Gedeelde rekening'!B:B))</f>
        <v>5.46</v>
      </c>
      <c r="M17" s="7" cm="1">
        <f t="array" ref="M17">0+(0.5*_xlfn.XLOOKUP(Totaal[[#This Row],[KASBOEK]:[KASBOEK]],'Kasboek - Gedeelde rekening'!$A:$A,'Kasboek - Gedeelde rekening'!C:C))</f>
        <v>0</v>
      </c>
      <c r="N17" s="7" cm="1">
        <f t="array" ref="N17">0+(0.5*_xlfn.XLOOKUP(Totaal[[#This Row],[KASBOEK]:[KASBOEK]],'Kasboek - Gedeelde rekening'!$A:$A,'Kasboek - Gedeelde rekening'!D:D))</f>
        <v>0</v>
      </c>
      <c r="O17" s="7" cm="1">
        <f t="array" ref="O17">0+(0.5*_xlfn.XLOOKUP(Totaal[[#This Row],[KASBOEK]:[KASBOEK]],'Kasboek - Gedeelde rekening'!$A:$A,'Kasboek - Gedeelde rekening'!E:E))</f>
        <v>0</v>
      </c>
      <c r="P17" s="7" cm="1">
        <f t="array" ref="P17">0+(0.5*_xlfn.XLOOKUP(Totaal[[#This Row],[KASBOEK]:[KASBOEK]],'Kasboek - Gedeelde rekening'!$A:$A,'Kasboek - Gedeelde rekening'!F:F))</f>
        <v>0</v>
      </c>
      <c r="Q17" s="7" cm="1">
        <f t="array" ref="Q17">0+(0.5*_xlfn.XLOOKUP(Totaal[[#This Row],[KASBOEK]:[KASBOEK]],'Kasboek - Gedeelde rekening'!$A:$A,'Kasboek - Gedeelde rekening'!G:G))</f>
        <v>0</v>
      </c>
      <c r="R17" s="7" cm="1">
        <f t="array" ref="R17">0+(0.5*_xlfn.XLOOKUP(Totaal[[#This Row],[KASBOEK]:[KASBOEK]],'Kasboek - Gedeelde rekening'!$A:$A,'Kasboek - Gedeelde rekening'!H:H))</f>
        <v>0</v>
      </c>
      <c r="S17" s="7" cm="1">
        <f t="array" ref="S17">0+(0.5*_xlfn.XLOOKUP(Totaal[[#This Row],[KASBOEK]:[KASBOEK]],'Kasboek - Gedeelde rekening'!$A:$A,'Kasboek - Gedeelde rekening'!I:I))</f>
        <v>0</v>
      </c>
      <c r="T17" s="7" cm="1">
        <f t="array" ref="T17">0+(0.5*_xlfn.XLOOKUP(Totaal[[#This Row],[KASBOEK]:[KASBOEK]],'Kasboek - Gedeelde rekening'!$A:$A,'Kasboek - Gedeelde rekening'!J:J))</f>
        <v>0</v>
      </c>
    </row>
    <row r="18" spans="1:20">
      <c r="A18" s="13" t="s">
        <v>35</v>
      </c>
      <c r="B18" s="17">
        <f>SUM(B10:B17)</f>
        <v>1948.39</v>
      </c>
      <c r="C18" s="17">
        <f t="shared" ref="C18:M18" si="2">SUM(C10:C17)</f>
        <v>828.02</v>
      </c>
      <c r="D18" s="17">
        <f t="shared" si="2"/>
        <v>1068.72</v>
      </c>
      <c r="E18" s="17">
        <f>SUM(E10:E17)</f>
        <v>1875.2800000000002</v>
      </c>
      <c r="F18" s="17">
        <f t="shared" si="2"/>
        <v>372.11</v>
      </c>
      <c r="G18" s="17">
        <f t="shared" si="2"/>
        <v>686.69999999999993</v>
      </c>
      <c r="H18" s="17">
        <f t="shared" si="2"/>
        <v>635.26</v>
      </c>
      <c r="I18" s="17">
        <f t="shared" si="2"/>
        <v>709.73</v>
      </c>
      <c r="J18" s="17">
        <f t="shared" si="2"/>
        <v>304.37999999999994</v>
      </c>
      <c r="K18" s="17">
        <f t="shared" si="2"/>
        <v>-633.4</v>
      </c>
      <c r="L18" s="17">
        <f t="shared" si="2"/>
        <v>1913.7850000000001</v>
      </c>
      <c r="M18" s="18">
        <f t="shared" si="2"/>
        <v>0</v>
      </c>
      <c r="N18" s="18">
        <f t="shared" ref="N18:T18" si="3">SUM(N10:N17)</f>
        <v>0</v>
      </c>
      <c r="O18" s="18">
        <f t="shared" si="3"/>
        <v>0</v>
      </c>
      <c r="P18" s="18">
        <f t="shared" si="3"/>
        <v>0</v>
      </c>
      <c r="Q18" s="18">
        <f t="shared" si="3"/>
        <v>0</v>
      </c>
      <c r="R18" s="18">
        <f t="shared" si="3"/>
        <v>0</v>
      </c>
      <c r="S18" s="18">
        <f t="shared" si="3"/>
        <v>0</v>
      </c>
      <c r="T18" s="18">
        <f t="shared" si="3"/>
        <v>0</v>
      </c>
    </row>
    <row r="19" spans="1:20" s="1" customFormat="1">
      <c r="A1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11" t="s">
        <v>36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16"/>
      <c r="P20" s="16"/>
      <c r="Q20" s="16"/>
      <c r="R20" s="16"/>
      <c r="S20" s="16"/>
      <c r="T20" s="16"/>
    </row>
    <row r="21" spans="1:20">
      <c r="A21" s="6" t="s">
        <v>37</v>
      </c>
      <c r="B21" s="7">
        <v>290</v>
      </c>
      <c r="C21" s="7">
        <v>341</v>
      </c>
      <c r="D21" s="7">
        <v>272.48</v>
      </c>
      <c r="E21" s="7">
        <v>364.49</v>
      </c>
      <c r="F21" s="7">
        <v>235.37</v>
      </c>
      <c r="G21" s="7">
        <v>242.66</v>
      </c>
      <c r="H21" s="7">
        <v>258.06</v>
      </c>
      <c r="I21" s="7">
        <v>202.66</v>
      </c>
      <c r="J21" s="7">
        <v>314.45</v>
      </c>
      <c r="K21" s="7">
        <v>435.64</v>
      </c>
      <c r="L21" s="7">
        <f>44.74+(0.5*_xlfn.XLOOKUP(Totaal[[#This Row],[KASBOEK]],'Kasboek - Gedeelde rekening'!A:A,'Kasboek - Gedeelde rekening'!B:B))</f>
        <v>454.67</v>
      </c>
      <c r="M21" s="7" cm="1">
        <f t="array" ref="M21">0+(0.5*_xlfn.XLOOKUP(Totaal[[#This Row],[KASBOEK]:[KASBOEK]],'Kasboek - Gedeelde rekening'!$A:$A,'Kasboek - Gedeelde rekening'!C:C))</f>
        <v>0</v>
      </c>
      <c r="N21" s="7" cm="1">
        <f t="array" ref="N21">0+(0.5*_xlfn.XLOOKUP(Totaal[[#This Row],[KASBOEK]:[KASBOEK]],'Kasboek - Gedeelde rekening'!$A:$A,'Kasboek - Gedeelde rekening'!D:D))</f>
        <v>0</v>
      </c>
      <c r="O21" s="7" cm="1">
        <f t="array" ref="O21">0+(0.5*_xlfn.XLOOKUP(Totaal[[#This Row],[KASBOEK]:[KASBOEK]],'Kasboek - Gedeelde rekening'!$A:$A,'Kasboek - Gedeelde rekening'!E:E))</f>
        <v>0</v>
      </c>
      <c r="P21" s="7" cm="1">
        <f t="array" ref="P21">0+(0.5*_xlfn.XLOOKUP(Totaal[[#This Row],[KASBOEK]:[KASBOEK]],'Kasboek - Gedeelde rekening'!$A:$A,'Kasboek - Gedeelde rekening'!F:F))</f>
        <v>0</v>
      </c>
      <c r="Q21" s="7" cm="1">
        <f t="array" ref="Q21">0+(0.5*_xlfn.XLOOKUP(Totaal[[#This Row],[KASBOEK]:[KASBOEK]],'Kasboek - Gedeelde rekening'!$A:$A,'Kasboek - Gedeelde rekening'!G:G))</f>
        <v>0</v>
      </c>
      <c r="R21" s="7" cm="1">
        <f t="array" ref="R21">0+(0.5*_xlfn.XLOOKUP(Totaal[[#This Row],[KASBOEK]:[KASBOEK]],'Kasboek - Gedeelde rekening'!$A:$A,'Kasboek - Gedeelde rekening'!H:H))</f>
        <v>0</v>
      </c>
      <c r="S21" s="7" cm="1">
        <f t="array" ref="S21">0+(0.5*_xlfn.XLOOKUP(Totaal[[#This Row],[KASBOEK]:[KASBOEK]],'Kasboek - Gedeelde rekening'!$A:$A,'Kasboek - Gedeelde rekening'!I:I))</f>
        <v>0</v>
      </c>
      <c r="T21" s="7" cm="1">
        <f t="array" ref="T21">0+(0.5*_xlfn.XLOOKUP(Totaal[[#This Row],[KASBOEK]:[KASBOEK]],'Kasboek - Gedeelde rekening'!$A:$A,'Kasboek - Gedeelde rekening'!J:J))</f>
        <v>0</v>
      </c>
    </row>
    <row r="22" spans="1:20" s="1" customFormat="1">
      <c r="A22" s="6" t="s">
        <v>38</v>
      </c>
      <c r="B22" s="7">
        <v>0</v>
      </c>
      <c r="C22" s="7">
        <v>50</v>
      </c>
      <c r="D22" s="7">
        <v>23</v>
      </c>
      <c r="E22" s="7">
        <v>89.81</v>
      </c>
      <c r="F22" s="7">
        <v>5.58</v>
      </c>
      <c r="G22" s="7">
        <v>32.29</v>
      </c>
      <c r="H22" s="7">
        <v>23</v>
      </c>
      <c r="I22" s="7">
        <v>0</v>
      </c>
      <c r="J22" s="7">
        <v>43</v>
      </c>
      <c r="K22" s="7">
        <v>10</v>
      </c>
      <c r="L22" s="7">
        <f>34.78+(0.5*_xlfn.XLOOKUP(Totaal[[#This Row],[KASBOEK]],'Kasboek - Gedeelde rekening'!A:A,'Kasboek - Gedeelde rekening'!B:B))</f>
        <v>34.78</v>
      </c>
      <c r="M22" s="7" cm="1">
        <f t="array" ref="M22">0+(0.5*_xlfn.XLOOKUP(Totaal[[#This Row],[KASBOEK]:[KASBOEK]],'Kasboek - Gedeelde rekening'!$A:$A,'Kasboek - Gedeelde rekening'!C:C))</f>
        <v>0</v>
      </c>
      <c r="N22" s="7" cm="1">
        <f t="array" ref="N22">0+(0.5*_xlfn.XLOOKUP(Totaal[[#This Row],[KASBOEK]:[KASBOEK]],'Kasboek - Gedeelde rekening'!$A:$A,'Kasboek - Gedeelde rekening'!D:D))</f>
        <v>0</v>
      </c>
      <c r="O22" s="7" cm="1">
        <f t="array" ref="O22">0+(0.5*_xlfn.XLOOKUP(Totaal[[#This Row],[KASBOEK]:[KASBOEK]],'Kasboek - Gedeelde rekening'!$A:$A,'Kasboek - Gedeelde rekening'!E:E))</f>
        <v>0</v>
      </c>
      <c r="P22" s="7" cm="1">
        <f t="array" ref="P22">0+(0.5*_xlfn.XLOOKUP(Totaal[[#This Row],[KASBOEK]:[KASBOEK]],'Kasboek - Gedeelde rekening'!$A:$A,'Kasboek - Gedeelde rekening'!F:F))</f>
        <v>0</v>
      </c>
      <c r="Q22" s="7" cm="1">
        <f t="array" ref="Q22">0+(0.5*_xlfn.XLOOKUP(Totaal[[#This Row],[KASBOEK]:[KASBOEK]],'Kasboek - Gedeelde rekening'!$A:$A,'Kasboek - Gedeelde rekening'!G:G))</f>
        <v>0</v>
      </c>
      <c r="R22" s="7" cm="1">
        <f t="array" ref="R22">0+(0.5*_xlfn.XLOOKUP(Totaal[[#This Row],[KASBOEK]:[KASBOEK]],'Kasboek - Gedeelde rekening'!$A:$A,'Kasboek - Gedeelde rekening'!H:H))</f>
        <v>0</v>
      </c>
      <c r="S22" s="7" cm="1">
        <f t="array" ref="S22">0+(0.5*_xlfn.XLOOKUP(Totaal[[#This Row],[KASBOEK]:[KASBOEK]],'Kasboek - Gedeelde rekening'!$A:$A,'Kasboek - Gedeelde rekening'!I:I))</f>
        <v>0</v>
      </c>
      <c r="T22" s="7" cm="1">
        <f t="array" ref="T22">0+(0.5*_xlfn.XLOOKUP(Totaal[[#This Row],[KASBOEK]:[KASBOEK]],'Kasboek - Gedeelde rekening'!$A:$A,'Kasboek - Gedeelde rekening'!J:J))</f>
        <v>0</v>
      </c>
    </row>
    <row r="23" spans="1:20">
      <c r="A23" s="13" t="s">
        <v>39</v>
      </c>
      <c r="B23" s="17">
        <f>SUM(B21:B22)</f>
        <v>290</v>
      </c>
      <c r="C23" s="17">
        <f t="shared" ref="C23:M23" si="4">SUM(C21:C22)</f>
        <v>391</v>
      </c>
      <c r="D23" s="17">
        <f t="shared" si="4"/>
        <v>295.48</v>
      </c>
      <c r="E23" s="17">
        <f t="shared" si="4"/>
        <v>454.3</v>
      </c>
      <c r="F23" s="17">
        <f t="shared" si="4"/>
        <v>240.95000000000002</v>
      </c>
      <c r="G23" s="17">
        <f t="shared" si="4"/>
        <v>274.95</v>
      </c>
      <c r="H23" s="17">
        <f t="shared" si="4"/>
        <v>281.06</v>
      </c>
      <c r="I23" s="17">
        <f t="shared" si="4"/>
        <v>202.66</v>
      </c>
      <c r="J23" s="17">
        <f t="shared" si="4"/>
        <v>357.45</v>
      </c>
      <c r="K23" s="17">
        <f t="shared" si="4"/>
        <v>445.64</v>
      </c>
      <c r="L23" s="17">
        <f t="shared" si="4"/>
        <v>489.45000000000005</v>
      </c>
      <c r="M23" s="18">
        <f t="shared" si="4"/>
        <v>0</v>
      </c>
      <c r="N23" s="18">
        <f t="shared" ref="N23:T23" si="5">SUM(N21:N22)</f>
        <v>0</v>
      </c>
      <c r="O23" s="18">
        <f t="shared" si="5"/>
        <v>0</v>
      </c>
      <c r="P23" s="18">
        <f t="shared" si="5"/>
        <v>0</v>
      </c>
      <c r="Q23" s="18">
        <f t="shared" si="5"/>
        <v>0</v>
      </c>
      <c r="R23" s="18">
        <f t="shared" si="5"/>
        <v>0</v>
      </c>
      <c r="S23" s="18">
        <f t="shared" si="5"/>
        <v>0</v>
      </c>
      <c r="T23" s="18">
        <f t="shared" si="5"/>
        <v>0</v>
      </c>
    </row>
    <row r="24" spans="1:20" s="1" customFormat="1">
      <c r="A2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11" t="s">
        <v>40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N25" s="16"/>
      <c r="O25" s="16"/>
      <c r="P25" s="16"/>
      <c r="Q25" s="16"/>
      <c r="R25" s="16"/>
      <c r="S25" s="16"/>
      <c r="T25" s="16"/>
    </row>
    <row r="26" spans="1:20">
      <c r="A26" s="6" t="s">
        <v>41</v>
      </c>
      <c r="B26" s="7">
        <v>170</v>
      </c>
      <c r="C26" s="7">
        <v>-66</v>
      </c>
      <c r="D26" s="7">
        <v>31.69</v>
      </c>
      <c r="E26" s="7">
        <v>29.99</v>
      </c>
      <c r="F26" s="7">
        <v>32.479999999999997</v>
      </c>
      <c r="G26" s="7">
        <v>19.190000000000001</v>
      </c>
      <c r="H26" s="7">
        <v>0</v>
      </c>
      <c r="I26" s="7">
        <v>0</v>
      </c>
      <c r="J26" s="7">
        <v>0</v>
      </c>
      <c r="K26" s="7">
        <v>10</v>
      </c>
      <c r="L26" s="7">
        <f>0+(0.5*_xlfn.XLOOKUP(Totaal[[#This Row],[KASBOEK]],'Kasboek - Gedeelde rekening'!A:A,'Kasboek - Gedeelde rekening'!B:B))</f>
        <v>0</v>
      </c>
      <c r="M26" s="7" cm="1">
        <f t="array" ref="M26">0+(0.5*_xlfn.XLOOKUP(Totaal[[#This Row],[KASBOEK]:[KASBOEK]],'Kasboek - Gedeelde rekening'!$A:$A,'Kasboek - Gedeelde rekening'!C:C))</f>
        <v>0</v>
      </c>
      <c r="N26" s="7" cm="1">
        <f t="array" ref="N26">0+(0.5*_xlfn.XLOOKUP(Totaal[[#This Row],[KASBOEK]:[KASBOEK]],'Kasboek - Gedeelde rekening'!$A:$A,'Kasboek - Gedeelde rekening'!D:D))</f>
        <v>0</v>
      </c>
      <c r="O26" s="7" cm="1">
        <f t="array" ref="O26">0+(0.5*_xlfn.XLOOKUP(Totaal[[#This Row],[KASBOEK]:[KASBOEK]],'Kasboek - Gedeelde rekening'!$A:$A,'Kasboek - Gedeelde rekening'!E:E))</f>
        <v>0</v>
      </c>
      <c r="P26" s="7" cm="1">
        <f t="array" ref="P26">0+(0.5*_xlfn.XLOOKUP(Totaal[[#This Row],[KASBOEK]:[KASBOEK]],'Kasboek - Gedeelde rekening'!$A:$A,'Kasboek - Gedeelde rekening'!F:F))</f>
        <v>0</v>
      </c>
      <c r="Q26" s="7" cm="1">
        <f t="array" ref="Q26">0+(0.5*_xlfn.XLOOKUP(Totaal[[#This Row],[KASBOEK]:[KASBOEK]],'Kasboek - Gedeelde rekening'!$A:$A,'Kasboek - Gedeelde rekening'!G:G))</f>
        <v>0</v>
      </c>
      <c r="R26" s="7" cm="1">
        <f t="array" ref="R26">0+(0.5*_xlfn.XLOOKUP(Totaal[[#This Row],[KASBOEK]:[KASBOEK]],'Kasboek - Gedeelde rekening'!$A:$A,'Kasboek - Gedeelde rekening'!H:H))</f>
        <v>0</v>
      </c>
      <c r="S26" s="7" cm="1">
        <f t="array" ref="S26">0+(0.5*_xlfn.XLOOKUP(Totaal[[#This Row],[KASBOEK]:[KASBOEK]],'Kasboek - Gedeelde rekening'!$A:$A,'Kasboek - Gedeelde rekening'!I:I))</f>
        <v>0</v>
      </c>
      <c r="T26" s="7" cm="1">
        <f t="array" ref="T26">0+(0.5*_xlfn.XLOOKUP(Totaal[[#This Row],[KASBOEK]:[KASBOEK]],'Kasboek - Gedeelde rekening'!$A:$A,'Kasboek - Gedeelde rekening'!J:J))</f>
        <v>0</v>
      </c>
    </row>
    <row r="27" spans="1:20">
      <c r="A27" s="6" t="s">
        <v>42</v>
      </c>
      <c r="B27" s="7">
        <v>91</v>
      </c>
      <c r="C27" s="7">
        <v>104</v>
      </c>
      <c r="D27" s="7">
        <v>124.83</v>
      </c>
      <c r="E27" s="7">
        <v>101.35</v>
      </c>
      <c r="F27" s="7">
        <v>114.41</v>
      </c>
      <c r="G27" s="7">
        <v>58.35</v>
      </c>
      <c r="H27" s="7">
        <v>46</v>
      </c>
      <c r="I27" s="7">
        <v>214.66</v>
      </c>
      <c r="J27" s="7">
        <v>13.5</v>
      </c>
      <c r="K27" s="7">
        <v>101.59</v>
      </c>
      <c r="L27" s="7">
        <f>57.2+(0.5*_xlfn.XLOOKUP(Totaal[[#This Row],[KASBOEK]],'Kasboek - Gedeelde rekening'!A:A,'Kasboek - Gedeelde rekening'!B:B))</f>
        <v>85.65</v>
      </c>
      <c r="M27" s="7" cm="1">
        <f t="array" ref="M27">0+(0.5*_xlfn.XLOOKUP(Totaal[[#This Row],[KASBOEK]:[KASBOEK]],'Kasboek - Gedeelde rekening'!$A:$A,'Kasboek - Gedeelde rekening'!C:C))</f>
        <v>0</v>
      </c>
      <c r="N27" s="7" cm="1">
        <f t="array" ref="N27">0+(0.5*_xlfn.XLOOKUP(Totaal[[#This Row],[KASBOEK]:[KASBOEK]],'Kasboek - Gedeelde rekening'!$A:$A,'Kasboek - Gedeelde rekening'!D:D))</f>
        <v>0</v>
      </c>
      <c r="O27" s="7" cm="1">
        <f t="array" ref="O27">0+(0.5*_xlfn.XLOOKUP(Totaal[[#This Row],[KASBOEK]:[KASBOEK]],'Kasboek - Gedeelde rekening'!$A:$A,'Kasboek - Gedeelde rekening'!E:E))</f>
        <v>0</v>
      </c>
      <c r="P27" s="7" cm="1">
        <f t="array" ref="P27">0+(0.5*_xlfn.XLOOKUP(Totaal[[#This Row],[KASBOEK]:[KASBOEK]],'Kasboek - Gedeelde rekening'!$A:$A,'Kasboek - Gedeelde rekening'!F:F))</f>
        <v>0</v>
      </c>
      <c r="Q27" s="7" cm="1">
        <f t="array" ref="Q27">0+(0.5*_xlfn.XLOOKUP(Totaal[[#This Row],[KASBOEK]:[KASBOEK]],'Kasboek - Gedeelde rekening'!$A:$A,'Kasboek - Gedeelde rekening'!G:G))</f>
        <v>0</v>
      </c>
      <c r="R27" s="7" cm="1">
        <f t="array" ref="R27">0+(0.5*_xlfn.XLOOKUP(Totaal[[#This Row],[KASBOEK]:[KASBOEK]],'Kasboek - Gedeelde rekening'!$A:$A,'Kasboek - Gedeelde rekening'!H:H))</f>
        <v>0</v>
      </c>
      <c r="S27" s="7" cm="1">
        <f t="array" ref="S27">0+(0.5*_xlfn.XLOOKUP(Totaal[[#This Row],[KASBOEK]:[KASBOEK]],'Kasboek - Gedeelde rekening'!$A:$A,'Kasboek - Gedeelde rekening'!I:I))</f>
        <v>0</v>
      </c>
      <c r="T27" s="7" cm="1">
        <f t="array" ref="T27">0+(0.5*_xlfn.XLOOKUP(Totaal[[#This Row],[KASBOEK]:[KASBOEK]],'Kasboek - Gedeelde rekening'!$A:$A,'Kasboek - Gedeelde rekening'!J:J))</f>
        <v>0</v>
      </c>
    </row>
    <row r="28" spans="1:20">
      <c r="A28" s="6" t="s">
        <v>43</v>
      </c>
      <c r="B28" s="7">
        <v>0</v>
      </c>
      <c r="C28" s="7">
        <v>60</v>
      </c>
      <c r="D28" s="7">
        <v>4</v>
      </c>
      <c r="E28" s="7">
        <v>6.19</v>
      </c>
      <c r="F28" s="7">
        <v>21.78</v>
      </c>
      <c r="G28" s="7">
        <v>15.96</v>
      </c>
      <c r="H28" s="7">
        <v>0</v>
      </c>
      <c r="I28" s="7">
        <v>0</v>
      </c>
      <c r="J28" s="7">
        <v>0</v>
      </c>
      <c r="K28" s="7">
        <v>-126.54</v>
      </c>
      <c r="L28" s="7">
        <f>-17+(0.5*_xlfn.XLOOKUP(Totaal[[#This Row],[KASBOEK]],'Kasboek - Gedeelde rekening'!A:A,'Kasboek - Gedeelde rekening'!B:B))</f>
        <v>45.145000000000003</v>
      </c>
      <c r="M28" s="7" cm="1">
        <f t="array" ref="M28">0+(0.5*_xlfn.XLOOKUP(Totaal[[#This Row],[KASBOEK]:[KASBOEK]],'Kasboek - Gedeelde rekening'!$A:$A,'Kasboek - Gedeelde rekening'!C:C))</f>
        <v>0</v>
      </c>
      <c r="N28" s="7" cm="1">
        <f t="array" ref="N28">0+(0.5*_xlfn.XLOOKUP(Totaal[[#This Row],[KASBOEK]:[KASBOEK]],'Kasboek - Gedeelde rekening'!$A:$A,'Kasboek - Gedeelde rekening'!D:D))</f>
        <v>0</v>
      </c>
      <c r="O28" s="7" cm="1">
        <f t="array" ref="O28">0+(0.5*_xlfn.XLOOKUP(Totaal[[#This Row],[KASBOEK]:[KASBOEK]],'Kasboek - Gedeelde rekening'!$A:$A,'Kasboek - Gedeelde rekening'!E:E))</f>
        <v>0</v>
      </c>
      <c r="P28" s="7" cm="1">
        <f t="array" ref="P28">0+(0.5*_xlfn.XLOOKUP(Totaal[[#This Row],[KASBOEK]:[KASBOEK]],'Kasboek - Gedeelde rekening'!$A:$A,'Kasboek - Gedeelde rekening'!F:F))</f>
        <v>0</v>
      </c>
      <c r="Q28" s="7" cm="1">
        <f t="array" ref="Q28">0+(0.5*_xlfn.XLOOKUP(Totaal[[#This Row],[KASBOEK]:[KASBOEK]],'Kasboek - Gedeelde rekening'!$A:$A,'Kasboek - Gedeelde rekening'!G:G))</f>
        <v>0</v>
      </c>
      <c r="R28" s="7" cm="1">
        <f t="array" ref="R28">0+(0.5*_xlfn.XLOOKUP(Totaal[[#This Row],[KASBOEK]:[KASBOEK]],'Kasboek - Gedeelde rekening'!$A:$A,'Kasboek - Gedeelde rekening'!H:H))</f>
        <v>0</v>
      </c>
      <c r="S28" s="7" cm="1">
        <f t="array" ref="S28">0+(0.5*_xlfn.XLOOKUP(Totaal[[#This Row],[KASBOEK]:[KASBOEK]],'Kasboek - Gedeelde rekening'!$A:$A,'Kasboek - Gedeelde rekening'!I:I))</f>
        <v>0</v>
      </c>
      <c r="T28" s="7" cm="1">
        <f t="array" ref="T28">0+(0.5*_xlfn.XLOOKUP(Totaal[[#This Row],[KASBOEK]:[KASBOEK]],'Kasboek - Gedeelde rekening'!$A:$A,'Kasboek - Gedeelde rekening'!J:J))</f>
        <v>0</v>
      </c>
    </row>
    <row r="29" spans="1:20">
      <c r="A29" s="6" t="s">
        <v>44</v>
      </c>
      <c r="B29" s="7">
        <v>60</v>
      </c>
      <c r="C29" s="7">
        <v>0</v>
      </c>
      <c r="D29" s="7">
        <v>46.98</v>
      </c>
      <c r="E29" s="7">
        <v>0</v>
      </c>
      <c r="F29" s="7">
        <v>0</v>
      </c>
      <c r="G29" s="7">
        <v>67.540000000000006</v>
      </c>
      <c r="H29" s="7">
        <v>0</v>
      </c>
      <c r="I29" s="7">
        <v>49.82</v>
      </c>
      <c r="J29" s="7">
        <v>47.3</v>
      </c>
      <c r="K29" s="7">
        <v>0</v>
      </c>
      <c r="L29" s="7">
        <f>79.97+(0.5*_xlfn.XLOOKUP(Totaal[[#This Row],[KASBOEK]],'Kasboek - Gedeelde rekening'!A:A,'Kasboek - Gedeelde rekening'!B:B))</f>
        <v>79.97</v>
      </c>
      <c r="M29" s="7" cm="1">
        <f t="array" ref="M29">0+(0.5*_xlfn.XLOOKUP(Totaal[[#This Row],[KASBOEK]:[KASBOEK]],'Kasboek - Gedeelde rekening'!$A:$A,'Kasboek - Gedeelde rekening'!C:C))</f>
        <v>0</v>
      </c>
      <c r="N29" s="7" cm="1">
        <f t="array" ref="N29">0+(0.5*_xlfn.XLOOKUP(Totaal[[#This Row],[KASBOEK]:[KASBOEK]],'Kasboek - Gedeelde rekening'!$A:$A,'Kasboek - Gedeelde rekening'!D:D))</f>
        <v>0</v>
      </c>
      <c r="O29" s="7" cm="1">
        <f t="array" ref="O29">0+(0.5*_xlfn.XLOOKUP(Totaal[[#This Row],[KASBOEK]:[KASBOEK]],'Kasboek - Gedeelde rekening'!$A:$A,'Kasboek - Gedeelde rekening'!E:E))</f>
        <v>0</v>
      </c>
      <c r="P29" s="7" cm="1">
        <f t="array" ref="P29">0+(0.5*_xlfn.XLOOKUP(Totaal[[#This Row],[KASBOEK]:[KASBOEK]],'Kasboek - Gedeelde rekening'!$A:$A,'Kasboek - Gedeelde rekening'!F:F))</f>
        <v>0</v>
      </c>
      <c r="Q29" s="7" cm="1">
        <f t="array" ref="Q29">0+(0.5*_xlfn.XLOOKUP(Totaal[[#This Row],[KASBOEK]:[KASBOEK]],'Kasboek - Gedeelde rekening'!$A:$A,'Kasboek - Gedeelde rekening'!G:G))</f>
        <v>0</v>
      </c>
      <c r="R29" s="7" cm="1">
        <f t="array" ref="R29">0+(0.5*_xlfn.XLOOKUP(Totaal[[#This Row],[KASBOEK]:[KASBOEK]],'Kasboek - Gedeelde rekening'!$A:$A,'Kasboek - Gedeelde rekening'!H:H))</f>
        <v>0</v>
      </c>
      <c r="S29" s="7" cm="1">
        <f t="array" ref="S29">0+(0.5*_xlfn.XLOOKUP(Totaal[[#This Row],[KASBOEK]:[KASBOEK]],'Kasboek - Gedeelde rekening'!$A:$A,'Kasboek - Gedeelde rekening'!I:I))</f>
        <v>0</v>
      </c>
      <c r="T29" s="7" cm="1">
        <f t="array" ref="T29">0+(0.5*_xlfn.XLOOKUP(Totaal[[#This Row],[KASBOEK]:[KASBOEK]],'Kasboek - Gedeelde rekening'!$A:$A,'Kasboek - Gedeelde rekening'!J:J))</f>
        <v>0</v>
      </c>
    </row>
    <row r="30" spans="1:20">
      <c r="A30" s="6" t="s">
        <v>45</v>
      </c>
      <c r="B30" s="7">
        <f>58.24-44.39</f>
        <v>13.850000000000001</v>
      </c>
      <c r="C30" s="7">
        <f>215.61-45.19</f>
        <v>170.42000000000002</v>
      </c>
      <c r="D30" s="7">
        <v>51.49</v>
      </c>
      <c r="E30" s="7">
        <f>158.82-42.75</f>
        <v>116.07</v>
      </c>
      <c r="F30" s="7">
        <v>6.81</v>
      </c>
      <c r="G30" s="7">
        <f>0.99+2.99+4.5+2+19.95+0.81</f>
        <v>31.24</v>
      </c>
      <c r="H30" s="7">
        <f>49.72-41.58</f>
        <v>8.14</v>
      </c>
      <c r="I30" s="7">
        <f>2+0.81+2.99</f>
        <v>5.8000000000000007</v>
      </c>
      <c r="J30" s="7">
        <f>3.78+2+0.99+2.99+4.59</f>
        <v>14.35</v>
      </c>
      <c r="K30" s="7">
        <v>5.69</v>
      </c>
      <c r="L30" s="7">
        <f>0+(0.5*_xlfn.XLOOKUP(Totaal[[#This Row],[KASBOEK]],'Kasboek - Gedeelde rekening'!A:A,'Kasboek - Gedeelde rekening'!B:B))</f>
        <v>0</v>
      </c>
      <c r="M30" s="7" cm="1">
        <f t="array" ref="M30">0+(0.5*_xlfn.XLOOKUP(Totaal[[#This Row],[KASBOEK]:[KASBOEK]],'Kasboek - Gedeelde rekening'!$A:$A,'Kasboek - Gedeelde rekening'!C:C))</f>
        <v>0</v>
      </c>
      <c r="N30" s="7" cm="1">
        <f t="array" ref="N30">0+(0.5*_xlfn.XLOOKUP(Totaal[[#This Row],[KASBOEK]:[KASBOEK]],'Kasboek - Gedeelde rekening'!$A:$A,'Kasboek - Gedeelde rekening'!D:D))</f>
        <v>0</v>
      </c>
      <c r="O30" s="7" cm="1">
        <f t="array" ref="O30">0+(0.5*_xlfn.XLOOKUP(Totaal[[#This Row],[KASBOEK]:[KASBOEK]],'Kasboek - Gedeelde rekening'!$A:$A,'Kasboek - Gedeelde rekening'!E:E))</f>
        <v>0</v>
      </c>
      <c r="P30" s="7" cm="1">
        <f t="array" ref="P30">0+(0.5*_xlfn.XLOOKUP(Totaal[[#This Row],[KASBOEK]:[KASBOEK]],'Kasboek - Gedeelde rekening'!$A:$A,'Kasboek - Gedeelde rekening'!F:F))</f>
        <v>0</v>
      </c>
      <c r="Q30" s="7" cm="1">
        <f t="array" ref="Q30">0+(0.5*_xlfn.XLOOKUP(Totaal[[#This Row],[KASBOEK]:[KASBOEK]],'Kasboek - Gedeelde rekening'!$A:$A,'Kasboek - Gedeelde rekening'!G:G))</f>
        <v>0</v>
      </c>
      <c r="R30" s="7" cm="1">
        <f t="array" ref="R30">0+(0.5*_xlfn.XLOOKUP(Totaal[[#This Row],[KASBOEK]:[KASBOEK]],'Kasboek - Gedeelde rekening'!$A:$A,'Kasboek - Gedeelde rekening'!H:H))</f>
        <v>0</v>
      </c>
      <c r="S30" s="7" cm="1">
        <f t="array" ref="S30">0+(0.5*_xlfn.XLOOKUP(Totaal[[#This Row],[KASBOEK]:[KASBOEK]],'Kasboek - Gedeelde rekening'!$A:$A,'Kasboek - Gedeelde rekening'!I:I))</f>
        <v>0</v>
      </c>
      <c r="T30" s="7" cm="1">
        <f t="array" ref="T30">0+(0.5*_xlfn.XLOOKUP(Totaal[[#This Row],[KASBOEK]:[KASBOEK]],'Kasboek - Gedeelde rekening'!$A:$A,'Kasboek - Gedeelde rekening'!J:J))</f>
        <v>0</v>
      </c>
    </row>
    <row r="31" spans="1:20">
      <c r="A31" s="6" t="s">
        <v>46</v>
      </c>
      <c r="B31" s="7">
        <v>0</v>
      </c>
      <c r="C31" s="7">
        <v>224</v>
      </c>
      <c r="D31" s="7">
        <v>0</v>
      </c>
      <c r="E31" s="7">
        <v>33.36</v>
      </c>
      <c r="F31" s="7">
        <v>830</v>
      </c>
      <c r="G31" s="7">
        <v>143.11000000000001</v>
      </c>
      <c r="H31" s="7">
        <v>161.63999999999999</v>
      </c>
      <c r="I31" s="7">
        <v>31.84</v>
      </c>
      <c r="J31" s="7">
        <f>73.86+189.08+229.58</f>
        <v>492.52</v>
      </c>
      <c r="K31" s="7">
        <v>0</v>
      </c>
      <c r="L31" s="7">
        <f>211.99+(0.5*_xlfn.XLOOKUP(Totaal[[#This Row],[KASBOEK]],'Kasboek - Gedeelde rekening'!A:A,'Kasboek - Gedeelde rekening'!B:B))</f>
        <v>211.99</v>
      </c>
      <c r="M31" s="7" cm="1">
        <f t="array" ref="M31">0+(0.5*_xlfn.XLOOKUP(Totaal[[#This Row],[KASBOEK]:[KASBOEK]],'Kasboek - Gedeelde rekening'!$A:$A,'Kasboek - Gedeelde rekening'!C:C))</f>
        <v>0</v>
      </c>
      <c r="N31" s="7" cm="1">
        <f t="array" ref="N31">0+(0.5*_xlfn.XLOOKUP(Totaal[[#This Row],[KASBOEK]:[KASBOEK]],'Kasboek - Gedeelde rekening'!$A:$A,'Kasboek - Gedeelde rekening'!D:D))</f>
        <v>0</v>
      </c>
      <c r="O31" s="7" cm="1">
        <f t="array" ref="O31">0+(0.5*_xlfn.XLOOKUP(Totaal[[#This Row],[KASBOEK]:[KASBOEK]],'Kasboek - Gedeelde rekening'!$A:$A,'Kasboek - Gedeelde rekening'!E:E))</f>
        <v>0</v>
      </c>
      <c r="P31" s="7" cm="1">
        <f t="array" ref="P31">0+(0.5*_xlfn.XLOOKUP(Totaal[[#This Row],[KASBOEK]:[KASBOEK]],'Kasboek - Gedeelde rekening'!$A:$A,'Kasboek - Gedeelde rekening'!F:F))</f>
        <v>0</v>
      </c>
      <c r="Q31" s="7" cm="1">
        <f t="array" ref="Q31">0+(0.5*_xlfn.XLOOKUP(Totaal[[#This Row],[KASBOEK]:[KASBOEK]],'Kasboek - Gedeelde rekening'!$A:$A,'Kasboek - Gedeelde rekening'!G:G))</f>
        <v>0</v>
      </c>
      <c r="R31" s="7" cm="1">
        <f t="array" ref="R31">0+(0.5*_xlfn.XLOOKUP(Totaal[[#This Row],[KASBOEK]:[KASBOEK]],'Kasboek - Gedeelde rekening'!$A:$A,'Kasboek - Gedeelde rekening'!H:H))</f>
        <v>0</v>
      </c>
      <c r="S31" s="7" cm="1">
        <f t="array" ref="S31">0+(0.5*_xlfn.XLOOKUP(Totaal[[#This Row],[KASBOEK]:[KASBOEK]],'Kasboek - Gedeelde rekening'!$A:$A,'Kasboek - Gedeelde rekening'!I:I))</f>
        <v>0</v>
      </c>
      <c r="T31" s="7" cm="1">
        <f t="array" ref="T31">0+(0.5*_xlfn.XLOOKUP(Totaal[[#This Row],[KASBOEK]:[KASBOEK]],'Kasboek - Gedeelde rekening'!$A:$A,'Kasboek - Gedeelde rekening'!J:J))</f>
        <v>0</v>
      </c>
    </row>
    <row r="32" spans="1:20">
      <c r="A32" s="6" t="s">
        <v>47</v>
      </c>
      <c r="B32" s="7">
        <v>0</v>
      </c>
      <c r="C32" s="7">
        <v>0</v>
      </c>
      <c r="D32" s="7">
        <v>0</v>
      </c>
      <c r="E32" s="7">
        <v>20.85</v>
      </c>
      <c r="F32" s="7">
        <v>0</v>
      </c>
      <c r="G32" s="7">
        <v>31.3</v>
      </c>
      <c r="H32" s="7">
        <v>0</v>
      </c>
      <c r="I32" s="7">
        <v>0</v>
      </c>
      <c r="J32" s="7">
        <v>0</v>
      </c>
      <c r="K32" s="7">
        <v>0</v>
      </c>
      <c r="L32" s="7">
        <f>0+(0.5*_xlfn.XLOOKUP(Totaal[[#This Row],[KASBOEK]],'Kasboek - Gedeelde rekening'!A:A,'Kasboek - Gedeelde rekening'!B:B))</f>
        <v>11</v>
      </c>
      <c r="M32" s="7" cm="1">
        <f t="array" ref="M32">0+(0.5*_xlfn.XLOOKUP(Totaal[[#This Row],[KASBOEK]:[KASBOEK]],'Kasboek - Gedeelde rekening'!$A:$A,'Kasboek - Gedeelde rekening'!C:C))</f>
        <v>0</v>
      </c>
      <c r="N32" s="7" cm="1">
        <f t="array" ref="N32">0+(0.5*_xlfn.XLOOKUP(Totaal[[#This Row],[KASBOEK]:[KASBOEK]],'Kasboek - Gedeelde rekening'!$A:$A,'Kasboek - Gedeelde rekening'!D:D))</f>
        <v>0</v>
      </c>
      <c r="O32" s="7" cm="1">
        <f t="array" ref="O32">0+(0.5*_xlfn.XLOOKUP(Totaal[[#This Row],[KASBOEK]:[KASBOEK]],'Kasboek - Gedeelde rekening'!$A:$A,'Kasboek - Gedeelde rekening'!E:E))</f>
        <v>0</v>
      </c>
      <c r="P32" s="7" cm="1">
        <f t="array" ref="P32">0+(0.5*_xlfn.XLOOKUP(Totaal[[#This Row],[KASBOEK]:[KASBOEK]],'Kasboek - Gedeelde rekening'!$A:$A,'Kasboek - Gedeelde rekening'!F:F))</f>
        <v>0</v>
      </c>
      <c r="Q32" s="7" cm="1">
        <f t="array" ref="Q32">0+(0.5*_xlfn.XLOOKUP(Totaal[[#This Row],[KASBOEK]:[KASBOEK]],'Kasboek - Gedeelde rekening'!$A:$A,'Kasboek - Gedeelde rekening'!G:G))</f>
        <v>0</v>
      </c>
      <c r="R32" s="7" cm="1">
        <f t="array" ref="R32">0+(0.5*_xlfn.XLOOKUP(Totaal[[#This Row],[KASBOEK]:[KASBOEK]],'Kasboek - Gedeelde rekening'!$A:$A,'Kasboek - Gedeelde rekening'!H:H))</f>
        <v>0</v>
      </c>
      <c r="S32" s="7" cm="1">
        <f t="array" ref="S32">0+(0.5*_xlfn.XLOOKUP(Totaal[[#This Row],[KASBOEK]:[KASBOEK]],'Kasboek - Gedeelde rekening'!$A:$A,'Kasboek - Gedeelde rekening'!I:I))</f>
        <v>0</v>
      </c>
      <c r="T32" s="7" cm="1">
        <f t="array" ref="T32">0+(0.5*_xlfn.XLOOKUP(Totaal[[#This Row],[KASBOEK]:[KASBOEK]],'Kasboek - Gedeelde rekening'!$A:$A,'Kasboek - Gedeelde rekening'!J:J))</f>
        <v>0</v>
      </c>
    </row>
    <row r="33" spans="1:20" s="1" customFormat="1">
      <c r="A33" s="6" t="s">
        <v>48</v>
      </c>
      <c r="B33" s="7">
        <v>-311</v>
      </c>
      <c r="C33" s="7">
        <v>82</v>
      </c>
      <c r="D33" s="7">
        <v>-68.510000000000005</v>
      </c>
      <c r="E33" s="7">
        <v>-200.1</v>
      </c>
      <c r="F33" s="7">
        <v>30.99</v>
      </c>
      <c r="G33" s="7">
        <v>79.260000000000005</v>
      </c>
      <c r="H33" s="7">
        <v>0</v>
      </c>
      <c r="I33" s="7">
        <v>41.5</v>
      </c>
      <c r="J33" s="7">
        <v>-75</v>
      </c>
      <c r="K33" s="7">
        <v>-53.55</v>
      </c>
      <c r="L33" s="7">
        <f>51.2+(0.5*_xlfn.XLOOKUP(Totaal[[#This Row],[KASBOEK]],'Kasboek - Gedeelde rekening'!A:A,'Kasboek - Gedeelde rekening'!B:B))</f>
        <v>41.2</v>
      </c>
      <c r="M33" s="7" cm="1">
        <f t="array" ref="M33">0+(0.5*_xlfn.XLOOKUP(Totaal[[#This Row],[KASBOEK]:[KASBOEK]],'Kasboek - Gedeelde rekening'!$A:$A,'Kasboek - Gedeelde rekening'!C:C))</f>
        <v>0</v>
      </c>
      <c r="N33" s="7" cm="1">
        <f t="array" ref="N33">0+(0.5*_xlfn.XLOOKUP(Totaal[[#This Row],[KASBOEK]:[KASBOEK]],'Kasboek - Gedeelde rekening'!$A:$A,'Kasboek - Gedeelde rekening'!D:D))</f>
        <v>0</v>
      </c>
      <c r="O33" s="7" cm="1">
        <f t="array" ref="O33">0+(0.5*_xlfn.XLOOKUP(Totaal[[#This Row],[KASBOEK]:[KASBOEK]],'Kasboek - Gedeelde rekening'!$A:$A,'Kasboek - Gedeelde rekening'!E:E))</f>
        <v>0</v>
      </c>
      <c r="P33" s="7" cm="1">
        <f t="array" ref="P33">0+(0.5*_xlfn.XLOOKUP(Totaal[[#This Row],[KASBOEK]:[KASBOEK]],'Kasboek - Gedeelde rekening'!$A:$A,'Kasboek - Gedeelde rekening'!F:F))</f>
        <v>0</v>
      </c>
      <c r="Q33" s="7" cm="1">
        <f t="array" ref="Q33">0+(0.5*_xlfn.XLOOKUP(Totaal[[#This Row],[KASBOEK]:[KASBOEK]],'Kasboek - Gedeelde rekening'!$A:$A,'Kasboek - Gedeelde rekening'!G:G))</f>
        <v>0</v>
      </c>
      <c r="R33" s="7" cm="1">
        <f t="array" ref="R33">0+(0.5*_xlfn.XLOOKUP(Totaal[[#This Row],[KASBOEK]:[KASBOEK]],'Kasboek - Gedeelde rekening'!$A:$A,'Kasboek - Gedeelde rekening'!H:H))</f>
        <v>0</v>
      </c>
      <c r="S33" s="7" cm="1">
        <f t="array" ref="S33">0+(0.5*_xlfn.XLOOKUP(Totaal[[#This Row],[KASBOEK]:[KASBOEK]],'Kasboek - Gedeelde rekening'!$A:$A,'Kasboek - Gedeelde rekening'!I:I))</f>
        <v>0</v>
      </c>
      <c r="T33" s="7" cm="1">
        <f t="array" ref="T33">0+(0.5*_xlfn.XLOOKUP(Totaal[[#This Row],[KASBOEK]:[KASBOEK]],'Kasboek - Gedeelde rekening'!$A:$A,'Kasboek - Gedeelde rekening'!J:J))</f>
        <v>0</v>
      </c>
    </row>
    <row r="34" spans="1:20" s="1" customFormat="1">
      <c r="A34" s="13" t="s">
        <v>49</v>
      </c>
      <c r="B34" s="17">
        <f>SUM(B26:B33)</f>
        <v>23.850000000000023</v>
      </c>
      <c r="C34" s="17">
        <f t="shared" ref="C34:M34" si="6">SUM(C26:C33)</f>
        <v>574.42000000000007</v>
      </c>
      <c r="D34" s="17">
        <f t="shared" si="6"/>
        <v>190.48000000000002</v>
      </c>
      <c r="E34" s="17">
        <f t="shared" si="6"/>
        <v>107.71000000000001</v>
      </c>
      <c r="F34" s="17">
        <f t="shared" si="6"/>
        <v>1036.47</v>
      </c>
      <c r="G34" s="17">
        <f t="shared" si="6"/>
        <v>445.95000000000005</v>
      </c>
      <c r="H34" s="17">
        <f t="shared" si="6"/>
        <v>215.77999999999997</v>
      </c>
      <c r="I34" s="17">
        <f t="shared" si="6"/>
        <v>343.62</v>
      </c>
      <c r="J34" s="17">
        <f t="shared" si="6"/>
        <v>492.66999999999996</v>
      </c>
      <c r="K34" s="17">
        <f t="shared" si="6"/>
        <v>-62.81</v>
      </c>
      <c r="L34" s="17">
        <f t="shared" si="6"/>
        <v>474.95499999999998</v>
      </c>
      <c r="M34" s="18">
        <f t="shared" si="6"/>
        <v>0</v>
      </c>
      <c r="N34" s="18">
        <f t="shared" ref="N34:T34" si="7">SUM(N26:N33)</f>
        <v>0</v>
      </c>
      <c r="O34" s="18">
        <f t="shared" si="7"/>
        <v>0</v>
      </c>
      <c r="P34" s="18">
        <f t="shared" si="7"/>
        <v>0</v>
      </c>
      <c r="Q34" s="18">
        <f t="shared" si="7"/>
        <v>0</v>
      </c>
      <c r="R34" s="18">
        <f t="shared" si="7"/>
        <v>0</v>
      </c>
      <c r="S34" s="18">
        <f t="shared" si="7"/>
        <v>0</v>
      </c>
      <c r="T34" s="18">
        <f t="shared" si="7"/>
        <v>0</v>
      </c>
    </row>
    <row r="35" spans="1:20" s="1" customForma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11" t="s">
        <v>50</v>
      </c>
      <c r="B36" s="19">
        <f>B18+B23+B34</f>
        <v>2262.2400000000002</v>
      </c>
      <c r="C36" s="19">
        <f t="shared" ref="C36:M36" si="8">C18+C23+C34</f>
        <v>1793.44</v>
      </c>
      <c r="D36" s="19">
        <f t="shared" si="8"/>
        <v>1554.68</v>
      </c>
      <c r="E36" s="19">
        <f t="shared" si="8"/>
        <v>2437.2900000000004</v>
      </c>
      <c r="F36" s="19">
        <f t="shared" si="8"/>
        <v>1649.5300000000002</v>
      </c>
      <c r="G36" s="19">
        <f t="shared" si="8"/>
        <v>1407.6</v>
      </c>
      <c r="H36" s="19">
        <f t="shared" si="8"/>
        <v>1132.0999999999999</v>
      </c>
      <c r="I36" s="19">
        <f t="shared" si="8"/>
        <v>1256.01</v>
      </c>
      <c r="J36" s="19">
        <f t="shared" si="8"/>
        <v>1154.5</v>
      </c>
      <c r="K36" s="19">
        <f t="shared" si="8"/>
        <v>-250.57</v>
      </c>
      <c r="L36" s="19">
        <f t="shared" si="8"/>
        <v>2878.19</v>
      </c>
      <c r="M36" s="20">
        <f t="shared" si="8"/>
        <v>0</v>
      </c>
      <c r="N36" s="20">
        <f t="shared" ref="N36:T36" si="9">N18+N23+N34</f>
        <v>0</v>
      </c>
      <c r="O36" s="20">
        <f t="shared" si="9"/>
        <v>0</v>
      </c>
      <c r="P36" s="20">
        <f t="shared" si="9"/>
        <v>0</v>
      </c>
      <c r="Q36" s="20">
        <f t="shared" si="9"/>
        <v>0</v>
      </c>
      <c r="R36" s="20">
        <f t="shared" si="9"/>
        <v>0</v>
      </c>
      <c r="S36" s="20">
        <f t="shared" si="9"/>
        <v>0</v>
      </c>
      <c r="T36" s="20">
        <f t="shared" si="9"/>
        <v>0</v>
      </c>
    </row>
    <row r="37" spans="1:20">
      <c r="A37" s="12" t="s">
        <v>51</v>
      </c>
      <c r="B37" s="21">
        <f>B7</f>
        <v>1353</v>
      </c>
      <c r="C37" s="21">
        <f t="shared" ref="C37:M37" si="10">C7</f>
        <v>2143</v>
      </c>
      <c r="D37" s="21">
        <f t="shared" si="10"/>
        <v>1184.49</v>
      </c>
      <c r="E37" s="21">
        <f t="shared" si="10"/>
        <v>4182.6099999999997</v>
      </c>
      <c r="F37" s="21">
        <f t="shared" si="10"/>
        <v>2353.6999999999998</v>
      </c>
      <c r="G37" s="21">
        <f t="shared" si="10"/>
        <v>-496.29999999999995</v>
      </c>
      <c r="H37" s="21">
        <f t="shared" si="10"/>
        <v>1853.7</v>
      </c>
      <c r="I37" s="21">
        <f t="shared" si="10"/>
        <v>194</v>
      </c>
      <c r="J37" s="21">
        <f t="shared" si="10"/>
        <v>3678.4500000000003</v>
      </c>
      <c r="K37" s="21">
        <f t="shared" si="10"/>
        <v>201</v>
      </c>
      <c r="L37" s="21">
        <f t="shared" si="10"/>
        <v>3669.4</v>
      </c>
      <c r="M37" s="22">
        <f t="shared" si="10"/>
        <v>0</v>
      </c>
      <c r="N37" s="22">
        <f t="shared" ref="N37:T37" si="11">N7</f>
        <v>0</v>
      </c>
      <c r="O37" s="22">
        <f t="shared" si="11"/>
        <v>0</v>
      </c>
      <c r="P37" s="22">
        <f t="shared" si="11"/>
        <v>0</v>
      </c>
      <c r="Q37" s="22">
        <f t="shared" si="11"/>
        <v>0</v>
      </c>
      <c r="R37" s="22">
        <f t="shared" si="11"/>
        <v>0</v>
      </c>
      <c r="S37" s="22">
        <f t="shared" si="11"/>
        <v>0</v>
      </c>
      <c r="T37" s="22">
        <f t="shared" si="11"/>
        <v>0</v>
      </c>
    </row>
    <row r="38" spans="1:20">
      <c r="A38" s="13" t="s">
        <v>52</v>
      </c>
      <c r="B38" s="17">
        <f t="shared" ref="B38:M38" si="12">B7-B36</f>
        <v>-909.24000000000024</v>
      </c>
      <c r="C38" s="17">
        <f t="shared" si="12"/>
        <v>349.55999999999995</v>
      </c>
      <c r="D38" s="17">
        <f t="shared" si="12"/>
        <v>-370.19000000000005</v>
      </c>
      <c r="E38" s="17">
        <f t="shared" si="12"/>
        <v>1745.3199999999993</v>
      </c>
      <c r="F38" s="17">
        <f t="shared" si="12"/>
        <v>704.16999999999962</v>
      </c>
      <c r="G38" s="17">
        <f t="shared" si="12"/>
        <v>-1903.8999999999999</v>
      </c>
      <c r="H38" s="17">
        <f t="shared" si="12"/>
        <v>721.60000000000014</v>
      </c>
      <c r="I38" s="17">
        <f t="shared" si="12"/>
        <v>-1062.01</v>
      </c>
      <c r="J38" s="17">
        <f t="shared" si="12"/>
        <v>2523.9500000000003</v>
      </c>
      <c r="K38" s="17">
        <f t="shared" si="12"/>
        <v>451.57</v>
      </c>
      <c r="L38" s="17">
        <f t="shared" si="12"/>
        <v>791.21</v>
      </c>
      <c r="M38" s="18">
        <f t="shared" si="12"/>
        <v>0</v>
      </c>
      <c r="N38" s="18">
        <f t="shared" ref="N38:T38" si="13">N7-N36</f>
        <v>0</v>
      </c>
      <c r="O38" s="18">
        <f t="shared" si="13"/>
        <v>0</v>
      </c>
      <c r="P38" s="18">
        <f t="shared" si="13"/>
        <v>0</v>
      </c>
      <c r="Q38" s="18">
        <f t="shared" si="13"/>
        <v>0</v>
      </c>
      <c r="R38" s="18">
        <f t="shared" si="13"/>
        <v>0</v>
      </c>
      <c r="S38" s="18">
        <f t="shared" si="13"/>
        <v>0</v>
      </c>
      <c r="T38" s="18">
        <f t="shared" si="13"/>
        <v>0</v>
      </c>
    </row>
    <row r="39" spans="1:20">
      <c r="A39" s="24" t="s">
        <v>53</v>
      </c>
      <c r="B39" s="21">
        <f>B38-B5</f>
        <v>-909.24000000000024</v>
      </c>
      <c r="C39" s="21">
        <f>C38-C5</f>
        <v>-653.44000000000005</v>
      </c>
      <c r="D39" s="21">
        <f>D38-D5</f>
        <v>-370.19000000000005</v>
      </c>
      <c r="E39" s="21">
        <f>E38-E5</f>
        <v>309.40999999999917</v>
      </c>
      <c r="F39" s="21">
        <f>F38-F5</f>
        <v>704.16999999999962</v>
      </c>
      <c r="G39" s="21">
        <f>G38-G5</f>
        <v>1596.1000000000001</v>
      </c>
      <c r="H39" s="21">
        <f>H38-H5</f>
        <v>721.60000000000014</v>
      </c>
      <c r="I39" s="21">
        <f>I38-I5</f>
        <v>-1217.01</v>
      </c>
      <c r="J39" s="21">
        <f>J38-J5</f>
        <v>2523.9500000000003</v>
      </c>
      <c r="K39" s="21">
        <f>K38-K5</f>
        <v>451.57</v>
      </c>
      <c r="L39" s="21">
        <f>L38-L5</f>
        <v>791.21</v>
      </c>
      <c r="M39" s="21">
        <f>M38-M5</f>
        <v>0</v>
      </c>
      <c r="N39" s="21">
        <f t="shared" ref="N39:T39" si="14">N38-N5</f>
        <v>0</v>
      </c>
      <c r="O39" s="21">
        <f t="shared" si="14"/>
        <v>0</v>
      </c>
      <c r="P39" s="21">
        <f t="shared" si="14"/>
        <v>0</v>
      </c>
      <c r="Q39" s="21">
        <f t="shared" si="14"/>
        <v>0</v>
      </c>
      <c r="R39" s="21">
        <f t="shared" si="14"/>
        <v>0</v>
      </c>
      <c r="S39" s="21">
        <f t="shared" si="14"/>
        <v>0</v>
      </c>
      <c r="T39" s="21">
        <f t="shared" si="14"/>
        <v>0</v>
      </c>
    </row>
    <row r="40" spans="1:20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24" t="s">
        <v>54</v>
      </c>
      <c r="B41" s="25"/>
      <c r="C41" s="25"/>
      <c r="D41" s="26">
        <v>126.06</v>
      </c>
      <c r="E41" s="26">
        <v>1891.29</v>
      </c>
      <c r="F41" s="26">
        <v>2595.46</v>
      </c>
      <c r="G41" s="26">
        <v>691.56</v>
      </c>
      <c r="H41" s="26">
        <v>1063.1600000000001</v>
      </c>
      <c r="I41" s="26">
        <v>1.1499999999999999</v>
      </c>
      <c r="J41" s="26">
        <v>2525.1</v>
      </c>
      <c r="K41" s="26">
        <v>2976.67</v>
      </c>
      <c r="L41" s="26">
        <v>2922.06</v>
      </c>
      <c r="M41" s="26"/>
      <c r="N41" s="26"/>
      <c r="O41" s="26"/>
      <c r="P41" s="26"/>
      <c r="Q41" s="26"/>
      <c r="R41" s="26"/>
      <c r="S41" s="26"/>
      <c r="T41" s="26"/>
    </row>
    <row r="42" spans="1:20">
      <c r="A42" s="24" t="s">
        <v>55</v>
      </c>
      <c r="B42" s="25"/>
      <c r="C42" s="25"/>
      <c r="D42" s="26"/>
      <c r="E42" s="26"/>
      <c r="F42" s="26"/>
      <c r="G42" s="26"/>
      <c r="H42" s="26"/>
      <c r="I42" s="26"/>
      <c r="J42" s="26"/>
      <c r="K42" s="26"/>
      <c r="L42" s="26">
        <v>2015.05</v>
      </c>
      <c r="M42" s="26"/>
      <c r="N42" s="26"/>
      <c r="O42" s="26"/>
      <c r="P42" s="26"/>
      <c r="Q42" s="26"/>
      <c r="R42" s="26"/>
      <c r="S42" s="26"/>
      <c r="T42" s="26"/>
    </row>
    <row r="43" spans="1:20">
      <c r="A43" s="24" t="s">
        <v>56</v>
      </c>
      <c r="B43" s="25"/>
      <c r="C43" s="25"/>
      <c r="D43" s="26">
        <v>9201.2900000000009</v>
      </c>
      <c r="E43" s="26">
        <v>7768.14</v>
      </c>
      <c r="F43" s="26">
        <v>7768.14</v>
      </c>
      <c r="G43" s="26">
        <v>11368.14</v>
      </c>
      <c r="H43" s="26">
        <v>11718.14</v>
      </c>
      <c r="I43" s="26">
        <v>11563.14</v>
      </c>
      <c r="J43" s="26">
        <v>11563.14</v>
      </c>
      <c r="K43" s="26">
        <v>11563.14</v>
      </c>
      <c r="L43" s="26">
        <v>11563.14</v>
      </c>
      <c r="M43" s="26"/>
      <c r="N43" s="26"/>
      <c r="O43" s="26"/>
      <c r="P43" s="26"/>
      <c r="Q43" s="26"/>
      <c r="R43" s="26"/>
      <c r="S43" s="26"/>
      <c r="T43" s="26"/>
    </row>
    <row r="44" spans="1:20" s="1" customFormat="1">
      <c r="A44" s="13" t="s">
        <v>57</v>
      </c>
      <c r="B44" s="14">
        <v>10350.980000000001</v>
      </c>
      <c r="C44" s="14">
        <v>9697.5400000000009</v>
      </c>
      <c r="D44" s="14">
        <f t="shared" ref="D44:F44" si="15">SUM(D41:D43)</f>
        <v>9327.35</v>
      </c>
      <c r="E44" s="14">
        <f t="shared" si="15"/>
        <v>9659.43</v>
      </c>
      <c r="F44" s="14">
        <f t="shared" si="15"/>
        <v>10363.6</v>
      </c>
      <c r="G44" s="14">
        <f>SUM(G41:G43)</f>
        <v>12059.699999999999</v>
      </c>
      <c r="H44" s="14">
        <f>SUM(H41:H43)</f>
        <v>12781.3</v>
      </c>
      <c r="I44" s="14">
        <f>SUM(I41:I43)</f>
        <v>11564.289999999999</v>
      </c>
      <c r="J44" s="27">
        <f>SUM(J41:J43)</f>
        <v>14088.24</v>
      </c>
      <c r="K44" s="27">
        <f>SUM(K41:K43)</f>
        <v>14539.81</v>
      </c>
      <c r="L44" s="14">
        <f>L41+L43+(0.5*L42)</f>
        <v>15492.724999999999</v>
      </c>
      <c r="M44" s="14">
        <f t="shared" ref="M44:T44" si="16">M41+M43+(0.5*M42)</f>
        <v>0</v>
      </c>
      <c r="N44" s="14">
        <f t="shared" si="16"/>
        <v>0</v>
      </c>
      <c r="O44" s="14">
        <f t="shared" si="16"/>
        <v>0</v>
      </c>
      <c r="P44" s="14">
        <f t="shared" si="16"/>
        <v>0</v>
      </c>
      <c r="Q44" s="14">
        <f t="shared" si="16"/>
        <v>0</v>
      </c>
      <c r="R44" s="14">
        <f t="shared" si="16"/>
        <v>0</v>
      </c>
      <c r="S44" s="14">
        <f t="shared" si="16"/>
        <v>0</v>
      </c>
      <c r="T44" s="14">
        <f t="shared" si="16"/>
        <v>0</v>
      </c>
    </row>
  </sheetData>
  <conditionalFormatting sqref="B7:T7">
    <cfRule type="cellIs" dxfId="27" priority="9" operator="greaterThan">
      <formula>0</formula>
    </cfRule>
  </conditionalFormatting>
  <conditionalFormatting sqref="B18:T18">
    <cfRule type="cellIs" dxfId="26" priority="8" operator="greaterThan">
      <formula>0</formula>
    </cfRule>
  </conditionalFormatting>
  <conditionalFormatting sqref="B23:T23">
    <cfRule type="cellIs" dxfId="25" priority="7" operator="greaterThan">
      <formula>0</formula>
    </cfRule>
  </conditionalFormatting>
  <conditionalFormatting sqref="B34:T34">
    <cfRule type="cellIs" dxfId="24" priority="6" operator="greaterThan">
      <formula>0</formula>
    </cfRule>
  </conditionalFormatting>
  <conditionalFormatting sqref="B41:C43 B36:T40">
    <cfRule type="cellIs" dxfId="23" priority="3" operator="greaterThan">
      <formula>0</formula>
    </cfRule>
  </conditionalFormatting>
  <conditionalFormatting sqref="B41:C43 B37:T40">
    <cfRule type="cellIs" dxfId="22" priority="2" operator="greaterThan">
      <formula>0</formula>
    </cfRule>
  </conditionalFormatting>
  <conditionalFormatting sqref="B41:C43 B38:T40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F847-279D-4B26-B9DC-F880B0EDF444}">
  <sheetPr>
    <tabColor theme="5" tint="0.39997558519241921"/>
  </sheetPr>
  <dimension ref="A1:I43"/>
  <sheetViews>
    <sheetView zoomScaleNormal="100" workbookViewId="0">
      <selection activeCell="B30" sqref="B30"/>
    </sheetView>
  </sheetViews>
  <sheetFormatPr defaultRowHeight="15"/>
  <cols>
    <col min="1" max="1" width="55" customWidth="1"/>
    <col min="2" max="9" width="12.7109375" customWidth="1"/>
  </cols>
  <sheetData>
    <row r="1" spans="1:9" s="1" customFormat="1" ht="45.75" customHeight="1">
      <c r="A1" s="2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1" t="s">
        <v>16</v>
      </c>
      <c r="H1" s="1" t="s">
        <v>17</v>
      </c>
      <c r="I1" s="1" t="s">
        <v>18</v>
      </c>
    </row>
    <row r="2" spans="1:9">
      <c r="A2" s="11" t="s">
        <v>20</v>
      </c>
      <c r="B2" s="9"/>
      <c r="C2" s="9"/>
      <c r="D2" s="9"/>
      <c r="E2" s="9"/>
      <c r="F2" s="9"/>
      <c r="G2" s="9"/>
      <c r="H2" s="9"/>
      <c r="I2" s="9"/>
    </row>
    <row r="3" spans="1:9">
      <c r="A3" s="6" t="s">
        <v>21</v>
      </c>
      <c r="B3" s="7"/>
      <c r="C3" s="7"/>
      <c r="D3" s="7"/>
      <c r="E3" s="7"/>
      <c r="F3" s="7"/>
      <c r="G3" s="7"/>
      <c r="H3" s="7"/>
      <c r="I3" s="7"/>
    </row>
    <row r="4" spans="1:9" s="1" customFormat="1">
      <c r="A4" s="6" t="s">
        <v>22</v>
      </c>
      <c r="B4" s="7"/>
      <c r="C4" s="7"/>
      <c r="D4" s="7"/>
      <c r="E4" s="7"/>
      <c r="F4" s="7"/>
      <c r="G4" s="7"/>
      <c r="H4" s="7"/>
      <c r="I4" s="7"/>
    </row>
    <row r="5" spans="1:9" s="1" customFormat="1">
      <c r="A5" s="6" t="s">
        <v>23</v>
      </c>
      <c r="B5" s="7"/>
      <c r="C5" s="7"/>
      <c r="D5" s="7"/>
      <c r="E5" s="7"/>
      <c r="F5" s="7"/>
      <c r="G5" s="7"/>
      <c r="H5" s="7"/>
      <c r="I5" s="7"/>
    </row>
    <row r="6" spans="1:9" s="1" customFormat="1">
      <c r="A6" s="6" t="s">
        <v>24</v>
      </c>
      <c r="B6" s="7"/>
      <c r="C6" s="7"/>
      <c r="D6" s="7"/>
      <c r="E6" s="7"/>
      <c r="F6" s="7"/>
      <c r="G6" s="7"/>
      <c r="H6" s="7"/>
      <c r="I6" s="7"/>
    </row>
    <row r="7" spans="1:9">
      <c r="A7" s="13" t="s">
        <v>25</v>
      </c>
      <c r="B7" s="17">
        <f>SUM(B3:B6)</f>
        <v>0</v>
      </c>
      <c r="C7" s="17">
        <f t="shared" ref="C7:I7" si="0">SUM(C3:C6)</f>
        <v>0</v>
      </c>
      <c r="D7" s="17">
        <f t="shared" si="0"/>
        <v>0</v>
      </c>
      <c r="E7" s="17">
        <f t="shared" si="0"/>
        <v>0</v>
      </c>
      <c r="F7" s="17">
        <f t="shared" si="0"/>
        <v>0</v>
      </c>
      <c r="G7" s="17">
        <f t="shared" si="0"/>
        <v>0</v>
      </c>
      <c r="H7" s="17">
        <f t="shared" si="0"/>
        <v>0</v>
      </c>
      <c r="I7" s="17">
        <f t="shared" si="0"/>
        <v>0</v>
      </c>
    </row>
    <row r="8" spans="1:9" s="1" customFormat="1">
      <c r="A8"/>
      <c r="B8" s="3"/>
      <c r="C8" s="3"/>
      <c r="D8" s="3"/>
      <c r="E8" s="3"/>
      <c r="F8" s="3"/>
      <c r="G8" s="3"/>
      <c r="H8" s="3"/>
      <c r="I8" s="3"/>
    </row>
    <row r="9" spans="1:9">
      <c r="A9" s="11" t="s">
        <v>26</v>
      </c>
      <c r="B9" s="15"/>
      <c r="C9" s="15"/>
      <c r="D9" s="15"/>
      <c r="E9" s="15"/>
      <c r="F9" s="15"/>
      <c r="G9" s="15"/>
      <c r="H9" s="15"/>
      <c r="I9" s="15"/>
    </row>
    <row r="10" spans="1:9">
      <c r="A10" s="6" t="s">
        <v>27</v>
      </c>
      <c r="B10" s="7"/>
      <c r="C10" s="7"/>
      <c r="D10" s="7"/>
      <c r="E10" s="7"/>
      <c r="F10" s="7"/>
      <c r="G10" s="7"/>
      <c r="H10" s="7"/>
      <c r="I10" s="7"/>
    </row>
    <row r="11" spans="1:9">
      <c r="A11" s="6" t="s">
        <v>28</v>
      </c>
      <c r="B11" s="7">
        <v>107.76</v>
      </c>
      <c r="C11" s="7"/>
      <c r="D11" s="7"/>
      <c r="E11" s="7"/>
      <c r="F11" s="7"/>
      <c r="G11" s="7"/>
      <c r="H11" s="7"/>
      <c r="I11" s="7"/>
    </row>
    <row r="12" spans="1:9">
      <c r="A12" s="6" t="s">
        <v>29</v>
      </c>
      <c r="B12" s="7"/>
      <c r="C12" s="7"/>
      <c r="D12" s="7"/>
      <c r="E12" s="7"/>
      <c r="F12" s="7"/>
      <c r="G12" s="7"/>
      <c r="H12" s="7"/>
      <c r="I12" s="7"/>
    </row>
    <row r="13" spans="1:9">
      <c r="A13" s="6" t="s">
        <v>30</v>
      </c>
      <c r="B13" s="7"/>
      <c r="C13" s="7"/>
      <c r="D13" s="7"/>
      <c r="E13" s="7"/>
      <c r="F13" s="7"/>
      <c r="G13" s="7"/>
      <c r="H13" s="7"/>
      <c r="I13" s="7"/>
    </row>
    <row r="14" spans="1:9">
      <c r="A14" s="6" t="s">
        <v>31</v>
      </c>
      <c r="B14" s="7"/>
      <c r="C14" s="7"/>
      <c r="D14" s="7"/>
      <c r="E14" s="7"/>
      <c r="F14" s="7"/>
      <c r="G14" s="7"/>
      <c r="H14" s="7"/>
      <c r="I14" s="7"/>
    </row>
    <row r="15" spans="1:9">
      <c r="A15" s="6" t="s">
        <v>32</v>
      </c>
      <c r="B15" s="7"/>
      <c r="C15" s="7"/>
      <c r="D15" s="7"/>
      <c r="E15" s="7"/>
      <c r="F15" s="7"/>
      <c r="G15" s="7"/>
      <c r="H15" s="7"/>
      <c r="I15" s="7"/>
    </row>
    <row r="16" spans="1:9">
      <c r="A16" s="6" t="s">
        <v>33</v>
      </c>
      <c r="B16" s="7">
        <v>4.3499999999999996</v>
      </c>
      <c r="C16" s="7"/>
      <c r="D16" s="7"/>
      <c r="E16" s="7"/>
      <c r="F16" s="7"/>
      <c r="G16" s="7"/>
      <c r="H16" s="7"/>
      <c r="I16" s="7"/>
    </row>
    <row r="17" spans="1:9" s="1" customFormat="1">
      <c r="A17" s="6" t="s">
        <v>34</v>
      </c>
      <c r="B17" s="7"/>
      <c r="C17" s="7"/>
      <c r="D17" s="7"/>
      <c r="E17" s="7"/>
      <c r="F17" s="7"/>
      <c r="G17" s="7"/>
      <c r="H17" s="7"/>
      <c r="I17" s="7"/>
    </row>
    <row r="18" spans="1:9">
      <c r="A18" s="13" t="s">
        <v>35</v>
      </c>
      <c r="B18" s="17">
        <f>SUM(B10:B17)</f>
        <v>112.11</v>
      </c>
      <c r="C18" s="17">
        <f t="shared" ref="C18:I18" si="1">SUM(C10:C17)</f>
        <v>0</v>
      </c>
      <c r="D18" s="17">
        <f t="shared" si="1"/>
        <v>0</v>
      </c>
      <c r="E18" s="17">
        <f>SUM(E10:E17)</f>
        <v>0</v>
      </c>
      <c r="F18" s="17">
        <f t="shared" si="1"/>
        <v>0</v>
      </c>
      <c r="G18" s="17">
        <f t="shared" si="1"/>
        <v>0</v>
      </c>
      <c r="H18" s="17">
        <f t="shared" si="1"/>
        <v>0</v>
      </c>
      <c r="I18" s="17">
        <f t="shared" si="1"/>
        <v>0</v>
      </c>
    </row>
    <row r="19" spans="1:9" s="1" customFormat="1">
      <c r="A19"/>
      <c r="B19" s="3"/>
      <c r="C19" s="3"/>
      <c r="D19" s="3"/>
      <c r="E19" s="3"/>
      <c r="F19" s="3"/>
      <c r="G19" s="3"/>
      <c r="H19" s="3"/>
      <c r="I19" s="3"/>
    </row>
    <row r="20" spans="1:9">
      <c r="A20" s="11" t="s">
        <v>36</v>
      </c>
      <c r="B20" s="15"/>
      <c r="C20" s="15"/>
      <c r="D20" s="15"/>
      <c r="E20" s="15"/>
      <c r="F20" s="15"/>
      <c r="G20" s="15"/>
      <c r="H20" s="15"/>
      <c r="I20" s="15"/>
    </row>
    <row r="21" spans="1:9">
      <c r="A21" s="6" t="s">
        <v>37</v>
      </c>
      <c r="B21" s="7">
        <v>819.86</v>
      </c>
      <c r="C21" s="7"/>
      <c r="D21" s="7"/>
      <c r="E21" s="7"/>
      <c r="F21" s="7"/>
      <c r="G21" s="7"/>
      <c r="H21" s="7"/>
      <c r="I21" s="7"/>
    </row>
    <row r="22" spans="1:9" s="1" customFormat="1">
      <c r="A22" s="6" t="s">
        <v>38</v>
      </c>
      <c r="B22" s="7"/>
      <c r="C22" s="7"/>
      <c r="D22" s="7"/>
      <c r="E22" s="7"/>
      <c r="F22" s="7"/>
      <c r="G22" s="7"/>
      <c r="H22" s="7"/>
      <c r="I22" s="7"/>
    </row>
    <row r="23" spans="1:9">
      <c r="A23" s="13" t="s">
        <v>39</v>
      </c>
      <c r="B23" s="17">
        <f>SUM(B21:B22)</f>
        <v>819.86</v>
      </c>
      <c r="C23" s="17">
        <f t="shared" ref="C23:I23" si="2">SUM(C21:C22)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>
        <f t="shared" si="2"/>
        <v>0</v>
      </c>
      <c r="I23" s="17">
        <f t="shared" si="2"/>
        <v>0</v>
      </c>
    </row>
    <row r="24" spans="1:9" s="1" customFormat="1">
      <c r="A24"/>
      <c r="B24" s="3"/>
      <c r="C24" s="3"/>
      <c r="D24" s="3"/>
      <c r="E24" s="3"/>
      <c r="F24" s="3"/>
      <c r="G24" s="3"/>
      <c r="H24" s="3"/>
      <c r="I24" s="3"/>
    </row>
    <row r="25" spans="1:9">
      <c r="A25" s="11" t="s">
        <v>40</v>
      </c>
      <c r="B25" s="15"/>
      <c r="C25" s="15"/>
      <c r="D25" s="15"/>
      <c r="E25" s="15"/>
      <c r="F25" s="15"/>
      <c r="G25" s="15"/>
      <c r="H25" s="15"/>
      <c r="I25" s="15"/>
    </row>
    <row r="26" spans="1:9">
      <c r="A26" s="6" t="s">
        <v>41</v>
      </c>
      <c r="B26" s="7"/>
      <c r="C26" s="7"/>
      <c r="D26" s="7"/>
      <c r="E26" s="7"/>
      <c r="F26" s="7"/>
      <c r="G26" s="7"/>
      <c r="H26" s="7"/>
      <c r="I26" s="7"/>
    </row>
    <row r="27" spans="1:9">
      <c r="A27" s="6" t="s">
        <v>42</v>
      </c>
      <c r="B27" s="7">
        <v>56.9</v>
      </c>
      <c r="C27" s="7"/>
      <c r="D27" s="7"/>
      <c r="E27" s="7"/>
      <c r="F27" s="7"/>
      <c r="G27" s="7"/>
      <c r="H27" s="7"/>
      <c r="I27" s="7"/>
    </row>
    <row r="28" spans="1:9">
      <c r="A28" s="6" t="s">
        <v>43</v>
      </c>
      <c r="B28" s="7">
        <v>124.29</v>
      </c>
      <c r="C28" s="7"/>
      <c r="D28" s="7"/>
      <c r="E28" s="7"/>
      <c r="F28" s="7"/>
      <c r="G28" s="7"/>
      <c r="H28" s="7"/>
      <c r="I28" s="7"/>
    </row>
    <row r="29" spans="1:9">
      <c r="A29" s="6" t="s">
        <v>44</v>
      </c>
      <c r="B29" s="7"/>
      <c r="C29" s="7"/>
      <c r="D29" s="7"/>
      <c r="E29" s="7"/>
      <c r="F29" s="7"/>
      <c r="G29" s="7"/>
      <c r="H29" s="7"/>
      <c r="I29" s="7"/>
    </row>
    <row r="30" spans="1:9">
      <c r="A30" s="6" t="s">
        <v>45</v>
      </c>
      <c r="B30" s="7"/>
      <c r="C30" s="7"/>
      <c r="D30" s="7"/>
      <c r="E30" s="7"/>
      <c r="F30" s="7"/>
      <c r="G30" s="7"/>
      <c r="H30" s="7"/>
      <c r="I30" s="7"/>
    </row>
    <row r="31" spans="1:9">
      <c r="A31" s="6" t="s">
        <v>46</v>
      </c>
      <c r="B31" s="7"/>
      <c r="C31" s="7"/>
      <c r="D31" s="7"/>
      <c r="E31" s="7"/>
      <c r="F31" s="7"/>
      <c r="G31" s="7"/>
      <c r="H31" s="7"/>
      <c r="I31" s="7"/>
    </row>
    <row r="32" spans="1:9">
      <c r="A32" s="6" t="s">
        <v>47</v>
      </c>
      <c r="B32" s="7">
        <v>22</v>
      </c>
      <c r="C32" s="7"/>
      <c r="D32" s="7"/>
      <c r="E32" s="7"/>
      <c r="F32" s="7"/>
      <c r="G32" s="7"/>
      <c r="H32" s="7"/>
      <c r="I32" s="7"/>
    </row>
    <row r="33" spans="1:9" s="1" customFormat="1">
      <c r="A33" s="6" t="s">
        <v>48</v>
      </c>
      <c r="B33" s="7">
        <v>-20</v>
      </c>
      <c r="C33" s="7"/>
      <c r="D33" s="7"/>
      <c r="E33" s="7"/>
      <c r="F33" s="7"/>
      <c r="G33" s="7"/>
      <c r="H33" s="7"/>
      <c r="I33" s="7"/>
    </row>
    <row r="34" spans="1:9" s="1" customFormat="1">
      <c r="A34" s="13" t="s">
        <v>49</v>
      </c>
      <c r="B34" s="17">
        <f>SUM(B26:B33)</f>
        <v>183.19</v>
      </c>
      <c r="C34" s="17">
        <f t="shared" ref="C34:I34" si="3">SUM(C26:C33)</f>
        <v>0</v>
      </c>
      <c r="D34" s="17">
        <f t="shared" si="3"/>
        <v>0</v>
      </c>
      <c r="E34" s="17">
        <f t="shared" si="3"/>
        <v>0</v>
      </c>
      <c r="F34" s="17">
        <f t="shared" si="3"/>
        <v>0</v>
      </c>
      <c r="G34" s="17">
        <f t="shared" si="3"/>
        <v>0</v>
      </c>
      <c r="H34" s="17">
        <f t="shared" si="3"/>
        <v>0</v>
      </c>
      <c r="I34" s="17">
        <f t="shared" si="3"/>
        <v>0</v>
      </c>
    </row>
    <row r="35" spans="1:9" s="1" customFormat="1">
      <c r="B35" s="4"/>
      <c r="C35" s="4"/>
      <c r="D35" s="4"/>
      <c r="E35" s="4"/>
      <c r="F35" s="4"/>
      <c r="G35" s="4"/>
      <c r="H35" s="4"/>
      <c r="I35" s="4"/>
    </row>
    <row r="36" spans="1:9">
      <c r="A36" s="11" t="s">
        <v>50</v>
      </c>
      <c r="B36" s="19">
        <f>B18+B23+B34</f>
        <v>1115.1600000000001</v>
      </c>
      <c r="C36" s="19">
        <f t="shared" ref="C36:I36" si="4">C18+C23+C34</f>
        <v>0</v>
      </c>
      <c r="D36" s="19">
        <f t="shared" si="4"/>
        <v>0</v>
      </c>
      <c r="E36" s="19">
        <f t="shared" si="4"/>
        <v>0</v>
      </c>
      <c r="F36" s="19">
        <f t="shared" si="4"/>
        <v>0</v>
      </c>
      <c r="G36" s="19">
        <f t="shared" si="4"/>
        <v>0</v>
      </c>
      <c r="H36" s="19">
        <f t="shared" si="4"/>
        <v>0</v>
      </c>
      <c r="I36" s="19">
        <f t="shared" si="4"/>
        <v>0</v>
      </c>
    </row>
    <row r="37" spans="1:9">
      <c r="A37" s="12" t="s">
        <v>51</v>
      </c>
      <c r="B37" s="21">
        <f>B7</f>
        <v>0</v>
      </c>
      <c r="C37" s="21">
        <f t="shared" ref="C37:I37" si="5">C7</f>
        <v>0</v>
      </c>
      <c r="D37" s="21">
        <f t="shared" si="5"/>
        <v>0</v>
      </c>
      <c r="E37" s="21">
        <f t="shared" si="5"/>
        <v>0</v>
      </c>
      <c r="F37" s="21">
        <f t="shared" si="5"/>
        <v>0</v>
      </c>
      <c r="G37" s="21">
        <f t="shared" si="5"/>
        <v>0</v>
      </c>
      <c r="H37" s="21">
        <f t="shared" si="5"/>
        <v>0</v>
      </c>
      <c r="I37" s="21">
        <f t="shared" si="5"/>
        <v>0</v>
      </c>
    </row>
    <row r="38" spans="1:9">
      <c r="A38" s="13" t="s">
        <v>52</v>
      </c>
      <c r="B38" s="17">
        <f t="shared" ref="B38:I38" si="6">B7-B36</f>
        <v>-1115.1600000000001</v>
      </c>
      <c r="C38" s="17">
        <f t="shared" si="6"/>
        <v>0</v>
      </c>
      <c r="D38" s="17">
        <f t="shared" si="6"/>
        <v>0</v>
      </c>
      <c r="E38" s="17">
        <f t="shared" si="6"/>
        <v>0</v>
      </c>
      <c r="F38" s="17">
        <f t="shared" si="6"/>
        <v>0</v>
      </c>
      <c r="G38" s="17">
        <f t="shared" si="6"/>
        <v>0</v>
      </c>
      <c r="H38" s="17">
        <f t="shared" si="6"/>
        <v>0</v>
      </c>
      <c r="I38" s="17">
        <f t="shared" si="6"/>
        <v>0</v>
      </c>
    </row>
    <row r="39" spans="1:9">
      <c r="A39" s="24" t="s">
        <v>53</v>
      </c>
      <c r="B39" s="21">
        <f>B38-B5</f>
        <v>-1115.1600000000001</v>
      </c>
      <c r="C39" s="21">
        <f>C38-C5</f>
        <v>0</v>
      </c>
      <c r="D39" s="21">
        <f>D38-D5</f>
        <v>0</v>
      </c>
      <c r="E39" s="21">
        <f>E38-E5</f>
        <v>0</v>
      </c>
      <c r="F39" s="21">
        <f>F38-F5</f>
        <v>0</v>
      </c>
      <c r="G39" s="21">
        <f>G38-G5</f>
        <v>0</v>
      </c>
      <c r="H39" s="21">
        <f>H38-H5</f>
        <v>0</v>
      </c>
      <c r="I39" s="21">
        <f>I38-I5</f>
        <v>0</v>
      </c>
    </row>
    <row r="40" spans="1:9">
      <c r="A40" s="1"/>
      <c r="B40" s="8"/>
      <c r="C40" s="8"/>
      <c r="D40" s="8"/>
      <c r="E40" s="8"/>
      <c r="F40" s="8"/>
      <c r="G40" s="8"/>
      <c r="H40" s="8"/>
      <c r="I40" s="8"/>
    </row>
    <row r="41" spans="1:9">
      <c r="A41" s="24" t="s">
        <v>54</v>
      </c>
      <c r="B41" s="25"/>
      <c r="C41" s="25"/>
      <c r="D41" s="26">
        <v>126.06</v>
      </c>
      <c r="E41" s="26">
        <v>1891.29</v>
      </c>
      <c r="F41" s="26">
        <v>2595.46</v>
      </c>
      <c r="G41" s="26">
        <v>691.56</v>
      </c>
      <c r="H41" s="26">
        <v>1063.1600000000001</v>
      </c>
      <c r="I41" s="26">
        <v>1.1499999999999999</v>
      </c>
    </row>
    <row r="42" spans="1:9">
      <c r="A42" s="24" t="s">
        <v>56</v>
      </c>
      <c r="B42" s="25"/>
      <c r="C42" s="25"/>
      <c r="D42" s="26">
        <v>9201.2900000000009</v>
      </c>
      <c r="E42" s="26">
        <v>7768.14</v>
      </c>
      <c r="F42" s="26">
        <v>7768.14</v>
      </c>
      <c r="G42" s="26">
        <v>11368.14</v>
      </c>
      <c r="H42" s="26">
        <v>11718.14</v>
      </c>
      <c r="I42" s="26">
        <v>11563.14</v>
      </c>
    </row>
    <row r="43" spans="1:9" s="1" customFormat="1">
      <c r="A43" s="13" t="s">
        <v>57</v>
      </c>
      <c r="B43" s="14">
        <v>10350.980000000001</v>
      </c>
      <c r="C43" s="14">
        <v>9697.5400000000009</v>
      </c>
      <c r="D43" s="14">
        <f t="shared" ref="D43:F43" si="7">SUM(D41:D42)</f>
        <v>9327.35</v>
      </c>
      <c r="E43" s="14">
        <f t="shared" si="7"/>
        <v>9659.43</v>
      </c>
      <c r="F43" s="14">
        <f t="shared" si="7"/>
        <v>10363.6</v>
      </c>
      <c r="G43" s="14">
        <f>SUM(G41:G42)</f>
        <v>12059.699999999999</v>
      </c>
      <c r="H43" s="14">
        <f>SUM(H41:H42)</f>
        <v>12781.3</v>
      </c>
      <c r="I43" s="14">
        <f>SUM(I41:I42)</f>
        <v>11564.289999999999</v>
      </c>
    </row>
  </sheetData>
  <conditionalFormatting sqref="B7:I7">
    <cfRule type="cellIs" dxfId="16" priority="7" operator="greaterThan">
      <formula>0</formula>
    </cfRule>
  </conditionalFormatting>
  <conditionalFormatting sqref="B18:I18">
    <cfRule type="cellIs" dxfId="15" priority="6" operator="greaterThan">
      <formula>0</formula>
    </cfRule>
  </conditionalFormatting>
  <conditionalFormatting sqref="B23:I23">
    <cfRule type="cellIs" dxfId="14" priority="5" operator="greaterThan">
      <formula>0</formula>
    </cfRule>
  </conditionalFormatting>
  <conditionalFormatting sqref="B34:I34">
    <cfRule type="cellIs" dxfId="13" priority="4" operator="greaterThan">
      <formula>0</formula>
    </cfRule>
  </conditionalFormatting>
  <conditionalFormatting sqref="B36:I40 B41:C42">
    <cfRule type="cellIs" dxfId="12" priority="3" operator="greaterThan">
      <formula>0</formula>
    </cfRule>
  </conditionalFormatting>
  <conditionalFormatting sqref="B37:I40 B41:C42">
    <cfRule type="cellIs" dxfId="11" priority="2" operator="greaterThan">
      <formula>0</formula>
    </cfRule>
  </conditionalFormatting>
  <conditionalFormatting sqref="B38:I40 B41:C42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2FAD-CD4A-4610-80D2-E3E574272CFC}">
  <sheetPr>
    <tabColor theme="2"/>
  </sheetPr>
  <dimension ref="A1:L37"/>
  <sheetViews>
    <sheetView zoomScale="85" zoomScaleNormal="85" workbookViewId="0">
      <selection activeCell="B3" sqref="B3"/>
    </sheetView>
  </sheetViews>
  <sheetFormatPr defaultRowHeight="15"/>
  <cols>
    <col min="1" max="1" width="55" customWidth="1"/>
    <col min="2" max="12" width="12.7109375" customWidth="1"/>
  </cols>
  <sheetData>
    <row r="1" spans="1:12" s="1" customFormat="1" ht="45.75" customHeight="1">
      <c r="A1" s="2" t="s">
        <v>58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59</v>
      </c>
      <c r="K1" s="1" t="s">
        <v>60</v>
      </c>
      <c r="L1" s="1" t="s">
        <v>61</v>
      </c>
    </row>
    <row r="2" spans="1:12">
      <c r="A2" s="11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6" t="s">
        <v>21</v>
      </c>
      <c r="B3" s="7">
        <v>1740</v>
      </c>
      <c r="C3" s="7">
        <v>500</v>
      </c>
      <c r="D3" s="7">
        <v>500</v>
      </c>
      <c r="E3" s="7">
        <v>500</v>
      </c>
      <c r="F3" s="7">
        <v>500</v>
      </c>
      <c r="G3" s="7">
        <v>500</v>
      </c>
      <c r="H3" s="7">
        <v>500</v>
      </c>
      <c r="I3" s="7">
        <v>500</v>
      </c>
      <c r="J3" s="7">
        <v>500</v>
      </c>
      <c r="K3" s="7">
        <v>500</v>
      </c>
      <c r="L3" s="7">
        <v>500</v>
      </c>
    </row>
    <row r="4" spans="1:12" s="1" customFormat="1">
      <c r="A4" s="6" t="s">
        <v>22</v>
      </c>
      <c r="B4" s="7">
        <v>39</v>
      </c>
      <c r="C4" s="7">
        <v>39</v>
      </c>
      <c r="D4" s="7">
        <v>39</v>
      </c>
      <c r="E4" s="7">
        <v>39</v>
      </c>
      <c r="F4" s="7">
        <v>39</v>
      </c>
      <c r="G4" s="7">
        <v>80</v>
      </c>
      <c r="H4" s="7">
        <v>80</v>
      </c>
      <c r="I4" s="7">
        <v>80</v>
      </c>
      <c r="J4" s="7">
        <v>80</v>
      </c>
      <c r="K4" s="7">
        <v>80</v>
      </c>
      <c r="L4" s="7">
        <v>80</v>
      </c>
    </row>
    <row r="5" spans="1:12">
      <c r="A5" s="13" t="s">
        <v>25</v>
      </c>
      <c r="B5" s="18">
        <f t="shared" ref="B5:L5" si="0">SUM(B3:B4)</f>
        <v>1779</v>
      </c>
      <c r="C5" s="18">
        <f t="shared" si="0"/>
        <v>539</v>
      </c>
      <c r="D5" s="18">
        <f t="shared" si="0"/>
        <v>539</v>
      </c>
      <c r="E5" s="18">
        <f t="shared" si="0"/>
        <v>539</v>
      </c>
      <c r="F5" s="18">
        <f t="shared" si="0"/>
        <v>539</v>
      </c>
      <c r="G5" s="18">
        <f t="shared" si="0"/>
        <v>580</v>
      </c>
      <c r="H5" s="18">
        <f t="shared" si="0"/>
        <v>580</v>
      </c>
      <c r="I5" s="18">
        <f t="shared" si="0"/>
        <v>580</v>
      </c>
      <c r="J5" s="18">
        <f t="shared" si="0"/>
        <v>580</v>
      </c>
      <c r="K5" s="18">
        <f t="shared" si="0"/>
        <v>580</v>
      </c>
      <c r="L5" s="18">
        <f t="shared" si="0"/>
        <v>580</v>
      </c>
    </row>
    <row r="6" spans="1:12" s="1" customFormat="1">
      <c r="A6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11" t="s">
        <v>26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6" t="s">
        <v>27</v>
      </c>
      <c r="B8" s="7">
        <v>900</v>
      </c>
      <c r="C8" s="7">
        <v>900</v>
      </c>
      <c r="D8" s="7">
        <v>900</v>
      </c>
      <c r="E8" s="7">
        <v>900</v>
      </c>
      <c r="F8" s="7">
        <v>900</v>
      </c>
      <c r="G8" s="7">
        <v>900</v>
      </c>
      <c r="H8" s="7">
        <v>900</v>
      </c>
      <c r="I8" s="7">
        <v>900</v>
      </c>
      <c r="J8" s="7">
        <v>900</v>
      </c>
      <c r="K8" s="7">
        <v>900</v>
      </c>
      <c r="L8" s="7">
        <v>900</v>
      </c>
    </row>
    <row r="9" spans="1:12">
      <c r="A9" s="6" t="s">
        <v>29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6" t="s">
        <v>30</v>
      </c>
      <c r="B10" s="7">
        <v>0</v>
      </c>
      <c r="C10" s="7">
        <v>0</v>
      </c>
      <c r="D10" s="7">
        <v>0</v>
      </c>
      <c r="E10" s="7">
        <v>0</v>
      </c>
      <c r="F10" s="7">
        <v>1300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>
      <c r="A11" s="6" t="s">
        <v>31</v>
      </c>
      <c r="B11" s="7">
        <v>0</v>
      </c>
      <c r="C11" s="7">
        <v>2100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6" t="s">
        <v>32</v>
      </c>
      <c r="B12" s="7" t="e">
        <f>AVERAGE(#REF!)</f>
        <v>#REF!</v>
      </c>
      <c r="C12" s="7" t="e">
        <f>AVERAGE(#REF!)</f>
        <v>#REF!</v>
      </c>
      <c r="D12" s="7" t="e">
        <f>AVERAGE(#REF!)</f>
        <v>#REF!</v>
      </c>
      <c r="E12" s="7" t="e">
        <f>AVERAGE(#REF!)</f>
        <v>#REF!</v>
      </c>
      <c r="F12" s="7" t="e">
        <f>AVERAGE(#REF!)</f>
        <v>#REF!</v>
      </c>
      <c r="G12" s="7" t="e">
        <f>AVERAGE(#REF!)</f>
        <v>#REF!</v>
      </c>
      <c r="H12" s="7" t="e">
        <f>AVERAGE(#REF!)</f>
        <v>#REF!</v>
      </c>
      <c r="I12" s="7" t="e">
        <f>AVERAGE(#REF!)</f>
        <v>#REF!</v>
      </c>
      <c r="J12" s="7" t="e">
        <f>AVERAGE(#REF!)</f>
        <v>#REF!</v>
      </c>
      <c r="K12" s="7" t="e">
        <f>AVERAGE(#REF!)</f>
        <v>#REF!</v>
      </c>
      <c r="L12" s="7" t="e">
        <f>AVERAGE(#REF!)</f>
        <v>#REF!</v>
      </c>
    </row>
    <row r="13" spans="1:12">
      <c r="A13" s="6" t="s">
        <v>33</v>
      </c>
      <c r="B13" s="7" t="e">
        <f>AVERAGE(#REF!)</f>
        <v>#REF!</v>
      </c>
      <c r="C13" s="7" t="e">
        <f>AVERAGE(#REF!)</f>
        <v>#REF!</v>
      </c>
      <c r="D13" s="7" t="e">
        <f>AVERAGE(#REF!)</f>
        <v>#REF!</v>
      </c>
      <c r="E13" s="7" t="e">
        <f>AVERAGE(#REF!)</f>
        <v>#REF!</v>
      </c>
      <c r="F13" s="7" t="e">
        <f>AVERAGE(#REF!)</f>
        <v>#REF!</v>
      </c>
      <c r="G13" s="7" t="e">
        <f>AVERAGE(#REF!)</f>
        <v>#REF!</v>
      </c>
      <c r="H13" s="7" t="e">
        <f>AVERAGE(#REF!)</f>
        <v>#REF!</v>
      </c>
      <c r="I13" s="7" t="e">
        <f>AVERAGE(#REF!)</f>
        <v>#REF!</v>
      </c>
      <c r="J13" s="7" t="e">
        <f>AVERAGE(#REF!)</f>
        <v>#REF!</v>
      </c>
      <c r="K13" s="7" t="e">
        <f>AVERAGE(#REF!)</f>
        <v>#REF!</v>
      </c>
      <c r="L13" s="7" t="e">
        <f>AVERAGE(#REF!)</f>
        <v>#REF!</v>
      </c>
    </row>
    <row r="14" spans="1:12" s="1" customFormat="1">
      <c r="A14" s="6" t="s">
        <v>34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3" t="s">
        <v>35</v>
      </c>
      <c r="B15" s="18" t="e">
        <f t="shared" ref="B15" si="1">SUM(B8:B14)</f>
        <v>#REF!</v>
      </c>
      <c r="C15" s="18" t="e">
        <f t="shared" ref="C15:L15" si="2">SUM(C8:C14)</f>
        <v>#REF!</v>
      </c>
      <c r="D15" s="18" t="e">
        <f t="shared" si="2"/>
        <v>#REF!</v>
      </c>
      <c r="E15" s="18" t="e">
        <f t="shared" si="2"/>
        <v>#REF!</v>
      </c>
      <c r="F15" s="18" t="e">
        <f t="shared" si="2"/>
        <v>#REF!</v>
      </c>
      <c r="G15" s="18" t="e">
        <f t="shared" si="2"/>
        <v>#REF!</v>
      </c>
      <c r="H15" s="18" t="e">
        <f t="shared" si="2"/>
        <v>#REF!</v>
      </c>
      <c r="I15" s="18" t="e">
        <f t="shared" si="2"/>
        <v>#REF!</v>
      </c>
      <c r="J15" s="18" t="e">
        <f t="shared" si="2"/>
        <v>#REF!</v>
      </c>
      <c r="K15" s="18" t="e">
        <f t="shared" si="2"/>
        <v>#REF!</v>
      </c>
      <c r="L15" s="18" t="e">
        <f t="shared" si="2"/>
        <v>#REF!</v>
      </c>
    </row>
    <row r="16" spans="1:12" s="1" customFormat="1">
      <c r="A1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11" t="s">
        <v>36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A18" s="6" t="s">
        <v>37</v>
      </c>
      <c r="B18" s="7">
        <f>300</f>
        <v>300</v>
      </c>
      <c r="C18" s="7">
        <f>300</f>
        <v>300</v>
      </c>
      <c r="D18" s="7">
        <f>300</f>
        <v>300</v>
      </c>
      <c r="E18" s="7">
        <f>300</f>
        <v>300</v>
      </c>
      <c r="F18" s="7">
        <f>300</f>
        <v>300</v>
      </c>
      <c r="G18" s="7">
        <f>300</f>
        <v>300</v>
      </c>
      <c r="H18" s="7">
        <f>300</f>
        <v>300</v>
      </c>
      <c r="I18" s="7">
        <f>300</f>
        <v>300</v>
      </c>
      <c r="J18" s="7">
        <f>300</f>
        <v>300</v>
      </c>
      <c r="K18" s="7">
        <f>300</f>
        <v>300</v>
      </c>
      <c r="L18" s="7">
        <f>300</f>
        <v>300</v>
      </c>
    </row>
    <row r="19" spans="1:12" s="1" customFormat="1">
      <c r="A19" s="6" t="s">
        <v>38</v>
      </c>
      <c r="B19" s="7">
        <v>30</v>
      </c>
      <c r="C19" s="7">
        <v>30</v>
      </c>
      <c r="D19" s="7">
        <v>30</v>
      </c>
      <c r="E19" s="7">
        <v>30</v>
      </c>
      <c r="F19" s="7">
        <v>30</v>
      </c>
      <c r="G19" s="7">
        <v>30</v>
      </c>
      <c r="H19" s="7">
        <v>30</v>
      </c>
      <c r="I19" s="7">
        <v>30</v>
      </c>
      <c r="J19" s="7">
        <v>30</v>
      </c>
      <c r="K19" s="7">
        <v>30</v>
      </c>
      <c r="L19" s="7">
        <v>30</v>
      </c>
    </row>
    <row r="20" spans="1:12">
      <c r="A20" s="13" t="s">
        <v>39</v>
      </c>
      <c r="B20" s="18">
        <f t="shared" ref="B20" si="3">SUM(B18:B19)</f>
        <v>330</v>
      </c>
      <c r="C20" s="18">
        <f t="shared" ref="C20:L20" si="4">SUM(C18:C19)</f>
        <v>330</v>
      </c>
      <c r="D20" s="18">
        <f t="shared" si="4"/>
        <v>330</v>
      </c>
      <c r="E20" s="18">
        <f t="shared" si="4"/>
        <v>330</v>
      </c>
      <c r="F20" s="18">
        <f t="shared" si="4"/>
        <v>330</v>
      </c>
      <c r="G20" s="18">
        <f t="shared" si="4"/>
        <v>330</v>
      </c>
      <c r="H20" s="18">
        <f t="shared" si="4"/>
        <v>330</v>
      </c>
      <c r="I20" s="18">
        <f t="shared" si="4"/>
        <v>330</v>
      </c>
      <c r="J20" s="18">
        <f t="shared" si="4"/>
        <v>330</v>
      </c>
      <c r="K20" s="18">
        <f t="shared" si="4"/>
        <v>330</v>
      </c>
      <c r="L20" s="18">
        <f t="shared" si="4"/>
        <v>330</v>
      </c>
    </row>
    <row r="21" spans="1:12" s="1" customFormat="1">
      <c r="A2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11" t="s">
        <v>40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>
      <c r="A23" s="6" t="s">
        <v>41</v>
      </c>
      <c r="B23" s="7">
        <v>30</v>
      </c>
      <c r="C23" s="7">
        <v>30</v>
      </c>
      <c r="D23" s="7">
        <v>30</v>
      </c>
      <c r="E23" s="7">
        <v>30</v>
      </c>
      <c r="F23" s="7">
        <v>30</v>
      </c>
      <c r="G23" s="7">
        <v>30</v>
      </c>
      <c r="H23" s="7">
        <v>30</v>
      </c>
      <c r="I23" s="7">
        <v>30</v>
      </c>
      <c r="J23" s="7">
        <v>30</v>
      </c>
      <c r="K23" s="7">
        <v>30</v>
      </c>
      <c r="L23" s="7">
        <v>30</v>
      </c>
    </row>
    <row r="24" spans="1:12">
      <c r="A24" s="6" t="s">
        <v>42</v>
      </c>
      <c r="B24" s="7">
        <v>100</v>
      </c>
      <c r="C24" s="7">
        <v>100</v>
      </c>
      <c r="D24" s="7">
        <v>100</v>
      </c>
      <c r="E24" s="7">
        <v>100</v>
      </c>
      <c r="F24" s="7">
        <v>100</v>
      </c>
      <c r="G24" s="7">
        <v>100</v>
      </c>
      <c r="H24" s="7">
        <v>100</v>
      </c>
      <c r="I24" s="7">
        <v>100</v>
      </c>
      <c r="J24" s="7">
        <v>100</v>
      </c>
      <c r="K24" s="7">
        <v>100</v>
      </c>
      <c r="L24" s="7">
        <v>100</v>
      </c>
    </row>
    <row r="25" spans="1:12">
      <c r="A25" s="6" t="s">
        <v>43</v>
      </c>
      <c r="B25" s="7">
        <v>10</v>
      </c>
      <c r="C25" s="7">
        <v>10</v>
      </c>
      <c r="D25" s="7">
        <v>10</v>
      </c>
      <c r="E25" s="7">
        <v>10</v>
      </c>
      <c r="F25" s="7">
        <v>10</v>
      </c>
      <c r="G25" s="7">
        <v>10</v>
      </c>
      <c r="H25" s="7">
        <v>10</v>
      </c>
      <c r="I25" s="7">
        <v>10</v>
      </c>
      <c r="J25" s="7">
        <v>10</v>
      </c>
      <c r="K25" s="7">
        <v>10</v>
      </c>
      <c r="L25" s="7">
        <v>10</v>
      </c>
    </row>
    <row r="26" spans="1:12">
      <c r="A26" s="6" t="s">
        <v>44</v>
      </c>
      <c r="B26" s="7">
        <v>40</v>
      </c>
      <c r="C26" s="7">
        <v>40</v>
      </c>
      <c r="D26" s="7">
        <v>40</v>
      </c>
      <c r="E26" s="7">
        <v>40</v>
      </c>
      <c r="F26" s="7">
        <v>40</v>
      </c>
      <c r="G26" s="7">
        <v>40</v>
      </c>
      <c r="H26" s="7">
        <v>40</v>
      </c>
      <c r="I26" s="7">
        <v>40</v>
      </c>
      <c r="J26" s="7">
        <v>40</v>
      </c>
      <c r="K26" s="7">
        <v>40</v>
      </c>
      <c r="L26" s="7">
        <v>40</v>
      </c>
    </row>
    <row r="27" spans="1:12">
      <c r="A27" s="6" t="s">
        <v>45</v>
      </c>
      <c r="B27" s="7">
        <v>40</v>
      </c>
      <c r="C27" s="7">
        <v>40</v>
      </c>
      <c r="D27" s="7">
        <v>40</v>
      </c>
      <c r="E27" s="7">
        <v>40</v>
      </c>
      <c r="F27" s="7">
        <v>40</v>
      </c>
      <c r="G27" s="7">
        <v>40</v>
      </c>
      <c r="H27" s="7">
        <v>40</v>
      </c>
      <c r="I27" s="7">
        <v>40</v>
      </c>
      <c r="J27" s="7">
        <v>40</v>
      </c>
      <c r="K27" s="7">
        <v>40</v>
      </c>
      <c r="L27" s="7">
        <v>40</v>
      </c>
    </row>
    <row r="28" spans="1:12">
      <c r="A28" s="6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</row>
    <row r="30" spans="1:12" s="1" customFormat="1">
      <c r="A30" s="6" t="s">
        <v>48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s="1" customFormat="1">
      <c r="A31" s="13" t="s">
        <v>49</v>
      </c>
      <c r="B31" s="18">
        <f t="shared" ref="B31" si="5">SUM(B23:B30)</f>
        <v>220</v>
      </c>
      <c r="C31" s="18">
        <f t="shared" ref="C31:L31" si="6">SUM(C23:C30)</f>
        <v>220</v>
      </c>
      <c r="D31" s="18">
        <f t="shared" si="6"/>
        <v>220</v>
      </c>
      <c r="E31" s="18">
        <f t="shared" si="6"/>
        <v>220</v>
      </c>
      <c r="F31" s="18">
        <f t="shared" si="6"/>
        <v>220</v>
      </c>
      <c r="G31" s="18">
        <f t="shared" si="6"/>
        <v>220</v>
      </c>
      <c r="H31" s="18">
        <f t="shared" si="6"/>
        <v>220</v>
      </c>
      <c r="I31" s="18">
        <f t="shared" si="6"/>
        <v>220</v>
      </c>
      <c r="J31" s="18">
        <f t="shared" si="6"/>
        <v>220</v>
      </c>
      <c r="K31" s="18">
        <f t="shared" si="6"/>
        <v>220</v>
      </c>
      <c r="L31" s="18">
        <f t="shared" si="6"/>
        <v>220</v>
      </c>
    </row>
    <row r="32" spans="1:12" s="1" customForma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11" t="s">
        <v>50</v>
      </c>
      <c r="B33" s="20" t="e">
        <f t="shared" ref="B33" si="7">B15+B20+B31</f>
        <v>#REF!</v>
      </c>
      <c r="C33" s="20" t="e">
        <f t="shared" ref="C33:L33" si="8">C15+C20+C31</f>
        <v>#REF!</v>
      </c>
      <c r="D33" s="20" t="e">
        <f t="shared" si="8"/>
        <v>#REF!</v>
      </c>
      <c r="E33" s="20" t="e">
        <f t="shared" si="8"/>
        <v>#REF!</v>
      </c>
      <c r="F33" s="20" t="e">
        <f t="shared" si="8"/>
        <v>#REF!</v>
      </c>
      <c r="G33" s="20" t="e">
        <f t="shared" si="8"/>
        <v>#REF!</v>
      </c>
      <c r="H33" s="20" t="e">
        <f t="shared" si="8"/>
        <v>#REF!</v>
      </c>
      <c r="I33" s="20" t="e">
        <f t="shared" si="8"/>
        <v>#REF!</v>
      </c>
      <c r="J33" s="20" t="e">
        <f t="shared" si="8"/>
        <v>#REF!</v>
      </c>
      <c r="K33" s="20" t="e">
        <f t="shared" si="8"/>
        <v>#REF!</v>
      </c>
      <c r="L33" s="20" t="e">
        <f t="shared" si="8"/>
        <v>#REF!</v>
      </c>
    </row>
    <row r="34" spans="1:12">
      <c r="A34" s="12" t="s">
        <v>51</v>
      </c>
      <c r="B34" s="22">
        <f t="shared" ref="B34" si="9">B5</f>
        <v>1779</v>
      </c>
      <c r="C34" s="22">
        <f t="shared" ref="C34:L34" si="10">C5</f>
        <v>539</v>
      </c>
      <c r="D34" s="22">
        <f t="shared" si="10"/>
        <v>539</v>
      </c>
      <c r="E34" s="22">
        <f t="shared" si="10"/>
        <v>539</v>
      </c>
      <c r="F34" s="22">
        <f t="shared" si="10"/>
        <v>539</v>
      </c>
      <c r="G34" s="22">
        <f t="shared" si="10"/>
        <v>580</v>
      </c>
      <c r="H34" s="22">
        <f t="shared" si="10"/>
        <v>580</v>
      </c>
      <c r="I34" s="22">
        <f t="shared" si="10"/>
        <v>580</v>
      </c>
      <c r="J34" s="22">
        <f t="shared" si="10"/>
        <v>580</v>
      </c>
      <c r="K34" s="22">
        <f t="shared" si="10"/>
        <v>580</v>
      </c>
      <c r="L34" s="22">
        <f t="shared" si="10"/>
        <v>580</v>
      </c>
    </row>
    <row r="35" spans="1:12">
      <c r="A35" s="13" t="s">
        <v>52</v>
      </c>
      <c r="B35" s="18" t="e">
        <f t="shared" ref="B35" si="11">B5-B33</f>
        <v>#REF!</v>
      </c>
      <c r="C35" s="18" t="e">
        <f t="shared" ref="C35:L35" si="12">C5-C33</f>
        <v>#REF!</v>
      </c>
      <c r="D35" s="18" t="e">
        <f t="shared" si="12"/>
        <v>#REF!</v>
      </c>
      <c r="E35" s="18" t="e">
        <f t="shared" si="12"/>
        <v>#REF!</v>
      </c>
      <c r="F35" s="18" t="e">
        <f t="shared" si="12"/>
        <v>#REF!</v>
      </c>
      <c r="G35" s="18" t="e">
        <f t="shared" si="12"/>
        <v>#REF!</v>
      </c>
      <c r="H35" s="18" t="e">
        <f t="shared" si="12"/>
        <v>#REF!</v>
      </c>
      <c r="I35" s="18" t="e">
        <f t="shared" si="12"/>
        <v>#REF!</v>
      </c>
      <c r="J35" s="18" t="e">
        <f t="shared" si="12"/>
        <v>#REF!</v>
      </c>
      <c r="K35" s="18" t="e">
        <f t="shared" si="12"/>
        <v>#REF!</v>
      </c>
      <c r="L35" s="18" t="e">
        <f t="shared" si="12"/>
        <v>#REF!</v>
      </c>
    </row>
    <row r="36" spans="1:12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13" t="s">
        <v>57</v>
      </c>
      <c r="B37" s="23" t="e">
        <f>#REF!+B35</f>
        <v>#REF!</v>
      </c>
      <c r="C37" s="23" t="e">
        <f>Table22[[#This Row],[Aug''23]]+C35</f>
        <v>#REF!</v>
      </c>
      <c r="D37" s="23" t="e">
        <f>Table22[[#This Row],[Sep''23]]+D35</f>
        <v>#REF!</v>
      </c>
      <c r="E37" s="23" t="e">
        <f>Table22[[#This Row],[Okt''23]]+E35</f>
        <v>#REF!</v>
      </c>
      <c r="F37" s="23" t="e">
        <f>Table22[[#This Row],[Nov''23]]+F35</f>
        <v>#REF!</v>
      </c>
      <c r="G37" s="23" t="e">
        <f>Table22[[#This Row],[Dec''23]]+G35</f>
        <v>#REF!</v>
      </c>
      <c r="H37" s="23" t="e">
        <f>Table22[[#This Row],[Jan''24]]+H35</f>
        <v>#REF!</v>
      </c>
      <c r="I37" s="23" t="e">
        <f>Table22[[#This Row],[Feb''24]]+I35</f>
        <v>#REF!</v>
      </c>
      <c r="J37" s="23" t="e">
        <f>Table22[[#This Row],[Mar''24]]+J35</f>
        <v>#REF!</v>
      </c>
      <c r="K37" s="23" t="e">
        <f>Table22[[#This Row],[Apr''24]]+K35</f>
        <v>#REF!</v>
      </c>
      <c r="L37" s="23" t="e">
        <f>Table22[[#This Row],[Mei''24]]+L35</f>
        <v>#REF!</v>
      </c>
    </row>
  </sheetData>
  <phoneticPr fontId="10" type="noConversion"/>
  <conditionalFormatting sqref="B5:L5 B34:L36">
    <cfRule type="cellIs" dxfId="5" priority="9" operator="greaterThan">
      <formula>0</formula>
    </cfRule>
  </conditionalFormatting>
  <conditionalFormatting sqref="B15:L15 B20:L20 B31:L31 B33:L34">
    <cfRule type="cellIs" dxfId="4" priority="8" operator="greaterThan">
      <formula>0</formula>
    </cfRule>
  </conditionalFormatting>
  <conditionalFormatting sqref="B35:L36">
    <cfRule type="cellIs" dxfId="3" priority="1" operator="lessThan">
      <formula>0</formula>
    </cfRule>
    <cfRule type="cellIs" dxfId="2" priority="3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Hanen</dc:creator>
  <cp:keywords/>
  <dc:description/>
  <cp:lastModifiedBy>Lars Hanen</cp:lastModifiedBy>
  <cp:revision/>
  <dcterms:created xsi:type="dcterms:W3CDTF">2022-10-19T11:46:21Z</dcterms:created>
  <dcterms:modified xsi:type="dcterms:W3CDTF">2023-08-11T13:39:48Z</dcterms:modified>
  <cp:category/>
  <cp:contentStatus/>
</cp:coreProperties>
</file>