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mech\Dropbox (MIT)\Personal\Classes\2.720\Mathcad\"/>
    </mc:Choice>
  </mc:AlternateContent>
  <xr:revisionPtr revIDLastSave="0" documentId="13_ncr:1_{5973F185-A7D1-4159-9359-26CD7F362A35}" xr6:coauthVersionLast="47" xr6:coauthVersionMax="47" xr10:uidLastSave="{00000000-0000-0000-0000-000000000000}"/>
  <bookViews>
    <workbookView xWindow="3130" yWindow="1350" windowWidth="28800" windowHeight="15460" activeTab="2" xr2:uid="{AB006D65-B89A-457F-B707-811E39590ABE}"/>
  </bookViews>
  <sheets>
    <sheet name="Threaded" sheetId="1" r:id="rId1"/>
    <sheet name="Clamped" sheetId="2" r:id="rId2"/>
    <sheet name="Member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C26" i="2" s="1"/>
  <c r="C26" i="1"/>
  <c r="C25" i="1"/>
  <c r="C27" i="4"/>
  <c r="C26" i="4"/>
  <c r="C23" i="4"/>
  <c r="C22" i="4"/>
  <c r="C21" i="4"/>
  <c r="C20" i="4"/>
  <c r="C19" i="4"/>
  <c r="C18" i="4"/>
  <c r="C17" i="4"/>
  <c r="C16" i="4"/>
  <c r="C15" i="4"/>
  <c r="C14" i="4"/>
  <c r="C13" i="4"/>
  <c r="C12" i="4"/>
  <c r="C9" i="4"/>
  <c r="C5" i="4"/>
  <c r="C4" i="4"/>
  <c r="C6" i="4"/>
  <c r="C7" i="4"/>
  <c r="C8" i="4"/>
  <c r="C2" i="4"/>
  <c r="C3" i="4"/>
  <c r="C4" i="2"/>
  <c r="B11" i="2"/>
  <c r="B12" i="2" s="1"/>
  <c r="B10" i="2"/>
  <c r="C16" i="2"/>
  <c r="B15" i="2"/>
  <c r="C15" i="2" s="1"/>
  <c r="C7" i="2"/>
  <c r="C6" i="2"/>
  <c r="C5" i="2"/>
  <c r="C3" i="2"/>
  <c r="C2" i="2"/>
  <c r="C20" i="1"/>
  <c r="C16" i="1"/>
  <c r="C19" i="1" s="1"/>
  <c r="C15" i="1"/>
  <c r="C10" i="1"/>
  <c r="C11" i="1"/>
  <c r="C12" i="1"/>
  <c r="C13" i="1"/>
  <c r="C14" i="1"/>
  <c r="C9" i="1"/>
  <c r="B15" i="1"/>
  <c r="B14" i="1"/>
  <c r="B13" i="1"/>
  <c r="B12" i="1"/>
  <c r="B11" i="1"/>
  <c r="B10" i="1"/>
  <c r="B9" i="1"/>
  <c r="C5" i="1"/>
  <c r="C6" i="1"/>
  <c r="C4" i="1"/>
  <c r="C3" i="1"/>
  <c r="C2" i="1"/>
  <c r="B13" i="2" l="1"/>
  <c r="C13" i="2" s="1"/>
  <c r="C12" i="2"/>
  <c r="C10" i="2"/>
  <c r="C11" i="2"/>
  <c r="B14" i="2" l="1"/>
  <c r="C14" i="2" s="1"/>
  <c r="C19" i="2" s="1"/>
  <c r="C20" i="2" s="1"/>
</calcChain>
</file>

<file path=xl/sharedStrings.xml><?xml version="1.0" encoding="utf-8"?>
<sst xmlns="http://schemas.openxmlformats.org/spreadsheetml/2006/main" count="93" uniqueCount="53">
  <si>
    <t>Characteristic</t>
  </si>
  <si>
    <t>https://www.tribology-abc.com/calculators/e3_6h.htm</t>
  </si>
  <si>
    <t>Value (SI)</t>
  </si>
  <si>
    <t>Value</t>
  </si>
  <si>
    <t>Washer thickness (t) [in]</t>
  </si>
  <si>
    <t>Diameter [in]</t>
  </si>
  <si>
    <t>E_bolt [GPa]</t>
  </si>
  <si>
    <t>Material thickness (t_1) [in]</t>
  </si>
  <si>
    <t>Threaded material thickness (t_2) [in]</t>
  </si>
  <si>
    <t>Derived Values</t>
  </si>
  <si>
    <t>h [in]</t>
  </si>
  <si>
    <t>l [in]</t>
  </si>
  <si>
    <t>L [in]</t>
  </si>
  <si>
    <t>L_T [in]</t>
  </si>
  <si>
    <t>l_d [in]</t>
  </si>
  <si>
    <t>l_t [in]</t>
  </si>
  <si>
    <t>A_d [in^2]</t>
  </si>
  <si>
    <t>A_t [in^2]</t>
  </si>
  <si>
    <t>Note</t>
  </si>
  <si>
    <t>1/4-20</t>
  </si>
  <si>
    <t>1/4-20 coarse UNC; Fine UNF is 0.0364</t>
  </si>
  <si>
    <t>Steel</t>
  </si>
  <si>
    <t>Single Bolt Stiffness (N/m)</t>
  </si>
  <si>
    <t>Single Bolt Stiffness (N/μm)</t>
  </si>
  <si>
    <t>Number of bolts in parallel</t>
  </si>
  <si>
    <t>Number of bolts in series</t>
  </si>
  <si>
    <t>Nut thickness (H) [in]</t>
  </si>
  <si>
    <t>Material 1 thickness (t_1) [in]</t>
  </si>
  <si>
    <t>Material 2 thickness (t_2) [in]</t>
  </si>
  <si>
    <t>1/4-20 coarse UNC; Fine UNF is 0.0364 in^2</t>
  </si>
  <si>
    <t>1/4-20 nut</t>
  </si>
  <si>
    <t>1/4 in washer</t>
  </si>
  <si>
    <t>Cross slide</t>
  </si>
  <si>
    <t>Carriage</t>
  </si>
  <si>
    <t>E_1 [GPa]</t>
  </si>
  <si>
    <t>Aluminum 6061 T6</t>
  </si>
  <si>
    <t>E_2 [GPa]</t>
  </si>
  <si>
    <t>Waher OD (D) [in]</t>
  </si>
  <si>
    <t>angle alpha (deg)</t>
  </si>
  <si>
    <t>Material 1 numerator</t>
  </si>
  <si>
    <t>Material 1 log numerator</t>
  </si>
  <si>
    <t>Material 1 log denominator</t>
  </si>
  <si>
    <t>Material 1 denominator</t>
  </si>
  <si>
    <t>Material 1 stiffness k_1 (N/m)</t>
  </si>
  <si>
    <t>Material 1 stiffness k_1 (N/μm)</t>
  </si>
  <si>
    <t>Material 2 numerator</t>
  </si>
  <si>
    <t>Material 2 log numerator</t>
  </si>
  <si>
    <t>Material 2 log denominator</t>
  </si>
  <si>
    <t>Material 2 denominator</t>
  </si>
  <si>
    <t>Material 2 stiffness k_2 (N/m)</t>
  </si>
  <si>
    <t>Material 2 stiffness k_2 (N/μm)</t>
  </si>
  <si>
    <t>Total Stiffness (N/m)</t>
  </si>
  <si>
    <t>Total Stiffness (N/μm)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</si>
</sst>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7C-2520-4A00-874C-472C3A3CC93F}">
  <dimension ref="A1:F26"/>
  <sheetViews>
    <sheetView workbookViewId="0">
      <selection activeCell="C25" sqref="C25:C26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6</v>
      </c>
      <c r="B3">
        <v>200</v>
      </c>
      <c r="C3">
        <f>B3*10^9</f>
        <v>200000000000</v>
      </c>
      <c r="D3" t="s">
        <v>21</v>
      </c>
    </row>
    <row r="4" spans="1:6" x14ac:dyDescent="0.35">
      <c r="A4" t="s">
        <v>4</v>
      </c>
      <c r="B4">
        <v>0.05</v>
      </c>
      <c r="C4">
        <f>B4*0.0254</f>
        <v>1.2700000000000001E-3</v>
      </c>
      <c r="D4" t="s">
        <v>31</v>
      </c>
    </row>
    <row r="5" spans="1:6" x14ac:dyDescent="0.35">
      <c r="A5" t="s">
        <v>7</v>
      </c>
      <c r="B5">
        <v>0.5</v>
      </c>
      <c r="C5">
        <f t="shared" ref="C5:C6" si="0">B5*0.0254</f>
        <v>1.2699999999999999E-2</v>
      </c>
      <c r="D5" t="s">
        <v>32</v>
      </c>
    </row>
    <row r="6" spans="1:6" x14ac:dyDescent="0.35">
      <c r="A6" t="s">
        <v>8</v>
      </c>
      <c r="B6">
        <v>0.75</v>
      </c>
      <c r="C6">
        <f t="shared" si="0"/>
        <v>1.9049999999999997E-2</v>
      </c>
      <c r="D6" t="s">
        <v>33</v>
      </c>
    </row>
    <row r="8" spans="1:6" s="1" customFormat="1" x14ac:dyDescent="0.35">
      <c r="A8" s="1" t="s">
        <v>9</v>
      </c>
    </row>
    <row r="9" spans="1:6" x14ac:dyDescent="0.35">
      <c r="A9" t="s">
        <v>10</v>
      </c>
      <c r="B9">
        <f>B4+B5</f>
        <v>0.55000000000000004</v>
      </c>
      <c r="C9">
        <f t="shared" ref="C9:C14" si="1">B9*0.0254</f>
        <v>1.397E-2</v>
      </c>
    </row>
    <row r="10" spans="1:6" x14ac:dyDescent="0.35">
      <c r="A10" t="s">
        <v>11</v>
      </c>
      <c r="B10">
        <f>IF(B6&gt;=B2,B9+B2/2,B9+B6/2)</f>
        <v>0.67500000000000004</v>
      </c>
      <c r="C10">
        <f t="shared" si="1"/>
        <v>1.7145000000000001E-2</v>
      </c>
    </row>
    <row r="11" spans="1:6" x14ac:dyDescent="0.35">
      <c r="A11" t="s">
        <v>12</v>
      </c>
      <c r="B11">
        <f>B9+1.5*B2</f>
        <v>0.92500000000000004</v>
      </c>
      <c r="C11">
        <f t="shared" si="1"/>
        <v>2.3494999999999999E-2</v>
      </c>
    </row>
    <row r="12" spans="1:6" x14ac:dyDescent="0.35">
      <c r="A12" t="s">
        <v>13</v>
      </c>
      <c r="B12">
        <f>IF(B11&gt;6,2*B2+0.5,2*B2+0.25)</f>
        <v>0.75</v>
      </c>
      <c r="C12">
        <f t="shared" si="1"/>
        <v>1.9049999999999997E-2</v>
      </c>
    </row>
    <row r="13" spans="1:6" x14ac:dyDescent="0.35">
      <c r="A13" t="s">
        <v>14</v>
      </c>
      <c r="B13">
        <f>B11-B12</f>
        <v>0.17500000000000004</v>
      </c>
      <c r="C13">
        <f t="shared" si="1"/>
        <v>4.445000000000001E-3</v>
      </c>
    </row>
    <row r="14" spans="1:6" x14ac:dyDescent="0.35">
      <c r="A14" t="s">
        <v>15</v>
      </c>
      <c r="B14">
        <f>B10-B13</f>
        <v>0.5</v>
      </c>
      <c r="C14">
        <f t="shared" si="1"/>
        <v>1.2699999999999999E-2</v>
      </c>
    </row>
    <row r="15" spans="1:6" x14ac:dyDescent="0.35">
      <c r="A15" t="s">
        <v>16</v>
      </c>
      <c r="B15">
        <f>(PI()*B2^2)/4</f>
        <v>4.9087385212340517E-2</v>
      </c>
      <c r="C15">
        <f>B15*0.00064516</f>
        <v>3.1669217443593606E-5</v>
      </c>
    </row>
    <row r="16" spans="1:6" x14ac:dyDescent="0.35">
      <c r="A16" t="s">
        <v>17</v>
      </c>
      <c r="B16">
        <v>3.1800000000000002E-2</v>
      </c>
      <c r="C16">
        <f>B16*0.00064516</f>
        <v>2.0516088000000002E-5</v>
      </c>
      <c r="D16" t="s">
        <v>20</v>
      </c>
    </row>
    <row r="19" spans="1:3" x14ac:dyDescent="0.35">
      <c r="A19" s="1" t="s">
        <v>22</v>
      </c>
      <c r="C19">
        <f>(C15*C16*C3)/(C15*C14+C16*C13)</f>
        <v>263371533.94422936</v>
      </c>
    </row>
    <row r="20" spans="1:3" x14ac:dyDescent="0.35">
      <c r="A20" s="1" t="s">
        <v>23</v>
      </c>
      <c r="C20">
        <f>C19*10^-6</f>
        <v>263.37153394422933</v>
      </c>
    </row>
    <row r="22" spans="1:3" x14ac:dyDescent="0.35">
      <c r="A22" t="s">
        <v>24</v>
      </c>
      <c r="B22">
        <v>8</v>
      </c>
    </row>
    <row r="23" spans="1:3" x14ac:dyDescent="0.35">
      <c r="A23" t="s">
        <v>25</v>
      </c>
      <c r="B23">
        <v>0</v>
      </c>
    </row>
    <row r="25" spans="1:3" s="1" customFormat="1" x14ac:dyDescent="0.35">
      <c r="A25" s="1" t="s">
        <v>51</v>
      </c>
      <c r="C25" s="1">
        <f>IF(B23=0,B22*C19,B22*C19+C19/B23)</f>
        <v>2106972271.5538349</v>
      </c>
    </row>
    <row r="26" spans="1:3" s="1" customFormat="1" x14ac:dyDescent="0.35">
      <c r="A26" s="1" t="s">
        <v>52</v>
      </c>
      <c r="C26" s="1">
        <f>C25*10^-6</f>
        <v>2106.9722715538346</v>
      </c>
    </row>
  </sheetData>
  <pageMargins left="0.7" right="0.7" top="0.75" bottom="0.75" header="0.3" footer="0.3"/>
  <pageSetup orientation="portrait" horizontalDpi="4294967295" verticalDpi="4294967295" r:id="rId1"/>
  <ignoredErrors>
    <ignoredError sqref="C3" formula="1"/>
    <ignoredError sqref="D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0DB3-2A3F-444F-995F-F786C2AEDBC9}">
  <dimension ref="A1:F26"/>
  <sheetViews>
    <sheetView workbookViewId="0">
      <selection activeCell="D29" sqref="D29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6</v>
      </c>
      <c r="B3">
        <v>200</v>
      </c>
      <c r="C3">
        <f>B3*10^9</f>
        <v>200000000000</v>
      </c>
      <c r="D3" t="s">
        <v>21</v>
      </c>
    </row>
    <row r="4" spans="1:6" x14ac:dyDescent="0.35">
      <c r="A4" t="s">
        <v>26</v>
      </c>
      <c r="B4">
        <v>0.21875</v>
      </c>
      <c r="C4">
        <f>B4*0.0254</f>
        <v>5.5562499999999996E-3</v>
      </c>
      <c r="D4" t="s">
        <v>30</v>
      </c>
    </row>
    <row r="5" spans="1:6" x14ac:dyDescent="0.35">
      <c r="A5" t="s">
        <v>4</v>
      </c>
      <c r="B5">
        <v>0.05</v>
      </c>
      <c r="C5">
        <f>B5*0.0254</f>
        <v>1.2700000000000001E-3</v>
      </c>
      <c r="D5" t="s">
        <v>31</v>
      </c>
    </row>
    <row r="6" spans="1:6" x14ac:dyDescent="0.35">
      <c r="A6" t="s">
        <v>27</v>
      </c>
      <c r="B6">
        <v>0.5</v>
      </c>
      <c r="C6">
        <f t="shared" ref="C6:C7" si="0">B6*0.0254</f>
        <v>1.2699999999999999E-2</v>
      </c>
    </row>
    <row r="7" spans="1:6" x14ac:dyDescent="0.35">
      <c r="A7" t="s">
        <v>28</v>
      </c>
      <c r="B7">
        <v>0.75</v>
      </c>
      <c r="C7">
        <f t="shared" si="0"/>
        <v>1.9049999999999997E-2</v>
      </c>
    </row>
    <row r="9" spans="1:6" s="1" customFormat="1" x14ac:dyDescent="0.35">
      <c r="A9" s="1" t="s">
        <v>9</v>
      </c>
    </row>
    <row r="10" spans="1:6" x14ac:dyDescent="0.35">
      <c r="A10" t="s">
        <v>11</v>
      </c>
      <c r="B10">
        <f>B5+B6+B7</f>
        <v>1.3</v>
      </c>
      <c r="C10">
        <f t="shared" ref="C10:C14" si="1">B10*0.0254</f>
        <v>3.3020000000000001E-2</v>
      </c>
    </row>
    <row r="11" spans="1:6" x14ac:dyDescent="0.35">
      <c r="A11" t="s">
        <v>12</v>
      </c>
      <c r="B11">
        <f>B10+B4</f>
        <v>1.51875</v>
      </c>
      <c r="C11">
        <f t="shared" si="1"/>
        <v>3.8576249999999999E-2</v>
      </c>
    </row>
    <row r="12" spans="1:6" x14ac:dyDescent="0.35">
      <c r="A12" t="s">
        <v>13</v>
      </c>
      <c r="B12">
        <f>IF(B11&gt;6,2*B2+0.5,2*B2+0.25)</f>
        <v>0.75</v>
      </c>
      <c r="C12">
        <f t="shared" si="1"/>
        <v>1.9049999999999997E-2</v>
      </c>
    </row>
    <row r="13" spans="1:6" x14ac:dyDescent="0.35">
      <c r="A13" t="s">
        <v>14</v>
      </c>
      <c r="B13">
        <f>B11-B12</f>
        <v>0.76875000000000004</v>
      </c>
      <c r="C13">
        <f t="shared" si="1"/>
        <v>1.9526250000000002E-2</v>
      </c>
    </row>
    <row r="14" spans="1:6" x14ac:dyDescent="0.35">
      <c r="A14" t="s">
        <v>15</v>
      </c>
      <c r="B14">
        <f>B10-B13</f>
        <v>0.53125</v>
      </c>
      <c r="C14">
        <f t="shared" si="1"/>
        <v>1.3493749999999999E-2</v>
      </c>
    </row>
    <row r="15" spans="1:6" x14ac:dyDescent="0.35">
      <c r="A15" t="s">
        <v>16</v>
      </c>
      <c r="B15">
        <f>(PI()*B2^2)/4</f>
        <v>4.9087385212340517E-2</v>
      </c>
      <c r="C15">
        <f>B15*0.00064516</f>
        <v>3.1669217443593606E-5</v>
      </c>
    </row>
    <row r="16" spans="1:6" x14ac:dyDescent="0.35">
      <c r="A16" t="s">
        <v>17</v>
      </c>
      <c r="B16">
        <v>3.1800000000000002E-2</v>
      </c>
      <c r="C16">
        <f>B16*0.00064516</f>
        <v>2.0516088000000002E-5</v>
      </c>
      <c r="D16" t="s">
        <v>29</v>
      </c>
    </row>
    <row r="19" spans="1:3" x14ac:dyDescent="0.35">
      <c r="A19" s="1" t="s">
        <v>22</v>
      </c>
      <c r="C19">
        <f>(C15*C16*C3)/(C15*C14+C16*C13)</f>
        <v>156950846.72848803</v>
      </c>
    </row>
    <row r="20" spans="1:3" x14ac:dyDescent="0.35">
      <c r="A20" s="1" t="s">
        <v>23</v>
      </c>
      <c r="C20">
        <f>C19*10^-6</f>
        <v>156.95084672848802</v>
      </c>
    </row>
    <row r="22" spans="1:3" x14ac:dyDescent="0.35">
      <c r="A22" t="s">
        <v>24</v>
      </c>
      <c r="B22">
        <v>8</v>
      </c>
    </row>
    <row r="23" spans="1:3" x14ac:dyDescent="0.35">
      <c r="A23" t="s">
        <v>25</v>
      </c>
      <c r="B23">
        <v>0</v>
      </c>
    </row>
    <row r="25" spans="1:3" x14ac:dyDescent="0.35">
      <c r="A25" s="1" t="s">
        <v>51</v>
      </c>
      <c r="C25" s="1">
        <f>IF(B23=0,B22*C19,B22*C19+C19/B23)</f>
        <v>1255606773.8279042</v>
      </c>
    </row>
    <row r="26" spans="1:3" x14ac:dyDescent="0.35">
      <c r="A26" s="1" t="s">
        <v>52</v>
      </c>
      <c r="C26" s="1">
        <f>C25*10^-6</f>
        <v>1255.6067738279041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001B-6455-47C6-ADCD-B71212D004B0}">
  <dimension ref="A1:F27"/>
  <sheetViews>
    <sheetView tabSelected="1" workbookViewId="0">
      <selection activeCell="D22" sqref="D22"/>
    </sheetView>
  </sheetViews>
  <sheetFormatPr defaultRowHeight="14.5" x14ac:dyDescent="0.35"/>
  <cols>
    <col min="1" max="1" width="37.36328125" customWidth="1"/>
    <col min="2" max="2" width="14.08984375" customWidth="1"/>
    <col min="3" max="3" width="13.81640625" customWidth="1"/>
    <col min="4" max="4" width="46" customWidth="1"/>
  </cols>
  <sheetData>
    <row r="1" spans="1:6" s="1" customFormat="1" x14ac:dyDescent="0.35">
      <c r="A1" s="1" t="s">
        <v>0</v>
      </c>
      <c r="B1" s="1" t="s">
        <v>3</v>
      </c>
      <c r="C1" s="1" t="s">
        <v>2</v>
      </c>
      <c r="D1" s="1" t="s">
        <v>18</v>
      </c>
    </row>
    <row r="2" spans="1:6" x14ac:dyDescent="0.35">
      <c r="A2" t="s">
        <v>5</v>
      </c>
      <c r="B2">
        <v>0.25</v>
      </c>
      <c r="C2">
        <f>B2*0.0254</f>
        <v>6.3499999999999997E-3</v>
      </c>
      <c r="D2" s="2" t="s">
        <v>19</v>
      </c>
      <c r="F2" t="s">
        <v>1</v>
      </c>
    </row>
    <row r="3" spans="1:6" x14ac:dyDescent="0.35">
      <c r="A3" t="s">
        <v>34</v>
      </c>
      <c r="B3">
        <v>69</v>
      </c>
      <c r="C3">
        <f>B3*10^9</f>
        <v>69000000000</v>
      </c>
      <c r="D3" t="s">
        <v>35</v>
      </c>
    </row>
    <row r="4" spans="1:6" x14ac:dyDescent="0.35">
      <c r="A4" t="s">
        <v>36</v>
      </c>
      <c r="B4">
        <v>69</v>
      </c>
      <c r="C4">
        <f>B4*10^9</f>
        <v>69000000000</v>
      </c>
    </row>
    <row r="5" spans="1:6" x14ac:dyDescent="0.35">
      <c r="A5" t="s">
        <v>37</v>
      </c>
      <c r="B5">
        <v>0.625</v>
      </c>
      <c r="C5">
        <f>B5*0.0254</f>
        <v>1.5875E-2</v>
      </c>
      <c r="D5" t="s">
        <v>31</v>
      </c>
    </row>
    <row r="6" spans="1:6" x14ac:dyDescent="0.35">
      <c r="A6" t="s">
        <v>4</v>
      </c>
      <c r="B6">
        <v>0.05</v>
      </c>
      <c r="C6">
        <f>B6*0.0254</f>
        <v>1.2700000000000001E-3</v>
      </c>
      <c r="D6" t="s">
        <v>31</v>
      </c>
    </row>
    <row r="7" spans="1:6" x14ac:dyDescent="0.35">
      <c r="A7" t="s">
        <v>27</v>
      </c>
      <c r="B7">
        <v>0.5</v>
      </c>
      <c r="C7">
        <f t="shared" ref="C7:C8" si="0">B7*0.0254</f>
        <v>1.2699999999999999E-2</v>
      </c>
    </row>
    <row r="8" spans="1:6" x14ac:dyDescent="0.35">
      <c r="A8" t="s">
        <v>28</v>
      </c>
      <c r="B8">
        <v>0.75</v>
      </c>
      <c r="C8">
        <f t="shared" si="0"/>
        <v>1.9049999999999997E-2</v>
      </c>
    </row>
    <row r="9" spans="1:6" x14ac:dyDescent="0.35">
      <c r="A9" t="s">
        <v>38</v>
      </c>
      <c r="B9">
        <v>30</v>
      </c>
      <c r="C9">
        <f>B9*PI()/180</f>
        <v>0.52359877559829882</v>
      </c>
    </row>
    <row r="11" spans="1:6" s="1" customFormat="1" x14ac:dyDescent="0.35">
      <c r="A11" s="1" t="s">
        <v>9</v>
      </c>
    </row>
    <row r="12" spans="1:6" x14ac:dyDescent="0.35">
      <c r="A12" t="s">
        <v>39</v>
      </c>
      <c r="C12">
        <f>PI()*C3*C2*TAN(C9)</f>
        <v>794716191.43922257</v>
      </c>
    </row>
    <row r="13" spans="1:6" x14ac:dyDescent="0.35">
      <c r="A13" t="s">
        <v>40</v>
      </c>
      <c r="C13">
        <f>(2*C7*TAN(C9)+C5-C2)*(C5+C2)</f>
        <v>5.3761601221158166E-4</v>
      </c>
    </row>
    <row r="14" spans="1:6" x14ac:dyDescent="0.35">
      <c r="A14" t="s">
        <v>41</v>
      </c>
      <c r="C14">
        <f>(2*C7*TAN(C9)+C5+C2)*(C5-C2)</f>
        <v>3.5137436237639213E-4</v>
      </c>
    </row>
    <row r="15" spans="1:6" x14ac:dyDescent="0.35">
      <c r="A15" t="s">
        <v>42</v>
      </c>
      <c r="C15">
        <f>LN(C13/C14)</f>
        <v>0.42529235881283878</v>
      </c>
    </row>
    <row r="16" spans="1:6" s="1" customFormat="1" x14ac:dyDescent="0.35">
      <c r="A16" s="1" t="s">
        <v>43</v>
      </c>
      <c r="C16" s="1">
        <f>C12/C15</f>
        <v>1868635010.6491299</v>
      </c>
    </row>
    <row r="17" spans="1:3" s="1" customFormat="1" x14ac:dyDescent="0.35">
      <c r="A17" s="1" t="s">
        <v>44</v>
      </c>
      <c r="C17" s="1">
        <f>C16*10^-6</f>
        <v>1868.6350106491298</v>
      </c>
    </row>
    <row r="18" spans="1:3" x14ac:dyDescent="0.35">
      <c r="A18" t="s">
        <v>45</v>
      </c>
      <c r="C18">
        <f>PI()*C4*C2*TAN(C9)</f>
        <v>794716191.43922257</v>
      </c>
    </row>
    <row r="19" spans="1:3" x14ac:dyDescent="0.35">
      <c r="A19" t="s">
        <v>46</v>
      </c>
      <c r="C19">
        <f>(2*C8*TAN(C9)+C5-C2)*(C5+C2)</f>
        <v>7.0057745581737232E-4</v>
      </c>
    </row>
    <row r="20" spans="1:3" x14ac:dyDescent="0.35">
      <c r="A20" t="s">
        <v>47</v>
      </c>
      <c r="C20">
        <f>(2*C8*TAN(C9)+C5+C2)*(C5-C2)</f>
        <v>4.2121498106458818E-4</v>
      </c>
    </row>
    <row r="21" spans="1:3" x14ac:dyDescent="0.35">
      <c r="A21" t="s">
        <v>48</v>
      </c>
      <c r="C21">
        <f>LN(C19/C20)</f>
        <v>0.50876158464489563</v>
      </c>
    </row>
    <row r="22" spans="1:3" x14ac:dyDescent="0.35">
      <c r="A22" s="1" t="s">
        <v>49</v>
      </c>
      <c r="C22">
        <f>C18/C21</f>
        <v>1562060138.6284244</v>
      </c>
    </row>
    <row r="23" spans="1:3" x14ac:dyDescent="0.35">
      <c r="A23" s="1" t="s">
        <v>50</v>
      </c>
      <c r="C23">
        <f>C22*10^-6</f>
        <v>1562.0601386284243</v>
      </c>
    </row>
    <row r="26" spans="1:3" s="1" customFormat="1" x14ac:dyDescent="0.35">
      <c r="A26" s="1" t="s">
        <v>51</v>
      </c>
      <c r="C26" s="1">
        <f>1/(1/C16+1/C22)</f>
        <v>850824726.99306488</v>
      </c>
    </row>
    <row r="27" spans="1:3" s="1" customFormat="1" x14ac:dyDescent="0.35">
      <c r="A27" s="1" t="s">
        <v>52</v>
      </c>
      <c r="C27" s="1">
        <f>C26*10^-6</f>
        <v>850.82472699306481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Threaded</vt:lpstr>
      <vt:lpstr>Clamped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Biomech</dc:creator>
  <cp:lastModifiedBy>Biomech</cp:lastModifiedBy>
  <dcterms:created xsi:type="dcterms:W3CDTF">2023-04-23T16:49:06Z</dcterms:created>
  <dcterms:modified xsi:type="dcterms:W3CDTF">2023-04-23T18:07:21Z</dcterms:modified>
</cp:coreProperties>
</file>