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40" yWindow="480" windowWidth="26920" windowHeight="16900" tabRatio="500" firstSheet="4" activeTab="7"/>
  </bookViews>
  <sheets>
    <sheet name="GradeComplexity" sheetId="3" r:id="rId1"/>
    <sheet name="AveGradeComplexityScaled" sheetId="5" r:id="rId2"/>
    <sheet name="AveGradeComplexity" sheetId="4" r:id="rId3"/>
    <sheet name="AveGradeComplexityTrendline" sheetId="9" r:id="rId4"/>
    <sheet name="AveComplexityOverGrade" sheetId="6" r:id="rId5"/>
    <sheet name="AllPiecesLinearRegression" sheetId="7" r:id="rId6"/>
    <sheet name="AverageLinearRegression" sheetId="8" r:id="rId7"/>
    <sheet name="Datasheet" sheetId="1" r:id="rId8"/>
    <sheet name="Sheet2" sheetId="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20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Q22" i="1"/>
  <c r="O2" i="1"/>
  <c r="O3" i="1"/>
  <c r="O4" i="1"/>
  <c r="O5" i="1"/>
  <c r="O6" i="1"/>
  <c r="O7" i="1"/>
  <c r="O8" i="1"/>
  <c r="O9" i="1"/>
  <c r="O10" i="1"/>
  <c r="O11" i="1"/>
  <c r="R19" i="1"/>
  <c r="R20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R22" i="1"/>
  <c r="F38" i="1"/>
  <c r="R11" i="1"/>
  <c r="R10" i="1"/>
  <c r="R9" i="1"/>
  <c r="R8" i="1"/>
  <c r="R7" i="1"/>
  <c r="R6" i="1"/>
  <c r="R5" i="1"/>
  <c r="R4" i="1"/>
  <c r="R2" i="1"/>
  <c r="P11" i="1"/>
  <c r="P10" i="1"/>
  <c r="P9" i="1"/>
  <c r="P8" i="1"/>
  <c r="P7" i="1"/>
  <c r="P6" i="1"/>
  <c r="P5" i="1"/>
  <c r="P4" i="1"/>
  <c r="P3" i="1"/>
  <c r="P2" i="1"/>
  <c r="R3" i="1"/>
  <c r="F37" i="1"/>
  <c r="G37" i="1"/>
  <c r="F36" i="1"/>
  <c r="G36" i="1"/>
  <c r="F35" i="1"/>
  <c r="G35" i="1"/>
  <c r="Q11" i="1"/>
  <c r="Q10" i="1"/>
  <c r="Q9" i="1"/>
  <c r="Q8" i="1"/>
  <c r="Q7" i="1"/>
  <c r="Q6" i="1"/>
  <c r="Q5" i="1"/>
  <c r="Q4" i="1"/>
  <c r="Q3" i="1"/>
  <c r="Q2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<sst xmlns="http://schemas.openxmlformats.org/spreadsheetml/2006/main" count="186" uniqueCount="108">
  <si>
    <t>Grade</t>
  </si>
  <si>
    <t>Name</t>
  </si>
  <si>
    <t>Complexity Score</t>
  </si>
  <si>
    <t>From</t>
  </si>
  <si>
    <t>Standard of Excellence</t>
  </si>
  <si>
    <t>Bingo</t>
  </si>
  <si>
    <t>Go for Excellence no. 61</t>
  </si>
  <si>
    <t>Clarinet Solos by Jay Arnold</t>
  </si>
  <si>
    <t>Concert and Contest Collection</t>
  </si>
  <si>
    <t>IMSLP</t>
  </si>
  <si>
    <t>Alouette</t>
  </si>
  <si>
    <t>Grandfather's Whiskers</t>
  </si>
  <si>
    <t>Ming Court</t>
  </si>
  <si>
    <t>Just Fine</t>
  </si>
  <si>
    <t>Loch Lomond</t>
  </si>
  <si>
    <t>Minuet in G</t>
  </si>
  <si>
    <t>Gavotte</t>
  </si>
  <si>
    <t>Composer</t>
  </si>
  <si>
    <t>Variations on a Theme</t>
  </si>
  <si>
    <t>Mozart</t>
  </si>
  <si>
    <t>Theme from Symphony 9</t>
  </si>
  <si>
    <t>Beethoven</t>
  </si>
  <si>
    <t>Gossec</t>
  </si>
  <si>
    <t>Song without Words</t>
  </si>
  <si>
    <t>Humoresque</t>
  </si>
  <si>
    <t>The Dancing Doll</t>
  </si>
  <si>
    <t>Hymn to the Sun</t>
  </si>
  <si>
    <t>Serenade</t>
  </si>
  <si>
    <t>Drdla</t>
  </si>
  <si>
    <t>Promenade</t>
  </si>
  <si>
    <t>Delmas</t>
  </si>
  <si>
    <t>Scherzo</t>
  </si>
  <si>
    <t>Koepke</t>
  </si>
  <si>
    <t>Nocturne</t>
  </si>
  <si>
    <t>Bassi</t>
  </si>
  <si>
    <t>Sonata 2nd Movement</t>
  </si>
  <si>
    <t>Hindemith</t>
  </si>
  <si>
    <t>Scene and Air</t>
  </si>
  <si>
    <t>Bergsen</t>
  </si>
  <si>
    <t>Canzonetta</t>
  </si>
  <si>
    <t>Pierné</t>
  </si>
  <si>
    <t>Concerto Opus 36 1st Movement</t>
  </si>
  <si>
    <t>Krommer</t>
  </si>
  <si>
    <t>Sonata 1st Movement</t>
  </si>
  <si>
    <t>Sonata 3rd and 4th Movements</t>
  </si>
  <si>
    <t>Sonata Movements 2, 3, and 4</t>
  </si>
  <si>
    <t>Solo de Concours</t>
  </si>
  <si>
    <t>Rabaud</t>
  </si>
  <si>
    <t>Concerto no. 3 1st and 2nd Movements</t>
  </si>
  <si>
    <t>Concerto no. 3 2nd and 3rd Movements</t>
  </si>
  <si>
    <t>Messager</t>
  </si>
  <si>
    <t>Eerie Canal Capers</t>
  </si>
  <si>
    <t>Sonata no. 2 1st Movement</t>
  </si>
  <si>
    <t>Ready?</t>
  </si>
  <si>
    <t>Yes</t>
  </si>
  <si>
    <t>Alouette.xml</t>
  </si>
  <si>
    <t>Bingo.xml</t>
  </si>
  <si>
    <t>Charles Villiers Stanford Sonata op 129 1st Movement.xml</t>
  </si>
  <si>
    <t>Crussell Concerto no 3 1st and 2nd Movements.xml</t>
  </si>
  <si>
    <t>Crussell Concerto no 3 2nd and 3rd Movements.xml</t>
  </si>
  <si>
    <t>ErieCanalCapers.xml</t>
  </si>
  <si>
    <t>Gavotte.xml</t>
  </si>
  <si>
    <t>Go for Excellence no. 61.xml</t>
  </si>
  <si>
    <t>Grandfathers Whiskers.xml</t>
  </si>
  <si>
    <t>Hindemith Clarinet Sonata 2nd Movement.xml</t>
  </si>
  <si>
    <t>Hindemith Clarinet Sonata 3rd and 4th Movement.xml</t>
  </si>
  <si>
    <t>Hymn to the Sun.xml</t>
  </si>
  <si>
    <t>Just Fine.xml</t>
  </si>
  <si>
    <t>Krommer concerto op 36 1st Movement.xml</t>
  </si>
  <si>
    <t>Loch Lomond.xml</t>
  </si>
  <si>
    <t>Messager Solo de Concours.xml</t>
  </si>
  <si>
    <t>Ming Court.xml</t>
  </si>
  <si>
    <t>Minuet in G.xml</t>
  </si>
  <si>
    <t>Nocturne.xml</t>
  </si>
  <si>
    <t>pierne canzonetta.xml</t>
  </si>
  <si>
    <t>Promenade.xml</t>
  </si>
  <si>
    <t>Rabaud Solo de Concors.xml</t>
  </si>
  <si>
    <t>Saint Saens Clarinet Sonata 1st Movement.xml</t>
  </si>
  <si>
    <t>Saint Saens Clarinet Sonata 2nd 3rd and 4th Movements.xml</t>
  </si>
  <si>
    <t>Scene and Air.xml</t>
  </si>
  <si>
    <t>Scherzo.xml</t>
  </si>
  <si>
    <t>Serenade.xml</t>
  </si>
  <si>
    <t>Song without Words.xml</t>
  </si>
  <si>
    <t>Theme from Symphony 9 by Beethoven.xml</t>
  </si>
  <si>
    <t>Variations on a Theme by Mozart.xml</t>
  </si>
  <si>
    <t>Average</t>
  </si>
  <si>
    <t>Korsakoff</t>
  </si>
  <si>
    <t>Stanford</t>
  </si>
  <si>
    <t>Saint-Saens</t>
  </si>
  <si>
    <t>Poldini</t>
  </si>
  <si>
    <t>Dvorak</t>
  </si>
  <si>
    <t>Tschaikowsky</t>
  </si>
  <si>
    <t>Better Names</t>
  </si>
  <si>
    <t>Ave / Grade</t>
  </si>
  <si>
    <t>Standard Deviation</t>
  </si>
  <si>
    <t>Min</t>
  </si>
  <si>
    <t>Max</t>
  </si>
  <si>
    <t>2nd Max</t>
  </si>
  <si>
    <t>Crussell</t>
  </si>
  <si>
    <t>All Pieces</t>
  </si>
  <si>
    <t>Averages</t>
  </si>
  <si>
    <t>e</t>
  </si>
  <si>
    <t>e^2</t>
  </si>
  <si>
    <t>predicted</t>
  </si>
  <si>
    <t>Slope</t>
  </si>
  <si>
    <t>y-intercept</t>
  </si>
  <si>
    <t>R-squared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</si>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</sst>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Datasheet!$D$2:$D$33</c:f>
              <c:numCache>
                <c:formatCode>General</c:formatCode>
                <c:ptCount val="32"/>
                <c:pt idx="0">
                  <c:v>1.0</c:v>
                </c:pt>
                <c:pt idx="3">
                  <c:v>2.0</c:v>
                </c:pt>
                <c:pt idx="6">
                  <c:v>3.0</c:v>
                </c:pt>
                <c:pt idx="10">
                  <c:v>4.0</c:v>
                </c:pt>
                <c:pt idx="13">
                  <c:v>5.0</c:v>
                </c:pt>
                <c:pt idx="16">
                  <c:v>6.0</c:v>
                </c:pt>
                <c:pt idx="20">
                  <c:v>7.0</c:v>
                </c:pt>
                <c:pt idx="22">
                  <c:v>8.0</c:v>
                </c:pt>
                <c:pt idx="25">
                  <c:v>9.0</c:v>
                </c:pt>
                <c:pt idx="28">
                  <c:v>10.0</c:v>
                </c:pt>
              </c:numCache>
            </c:numRef>
          </c:cat>
          <c:val>
            <c:numRef>
              <c:f>Datasheet!$F$2:$F$33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2111778584"/>
        <c:axId val="2097216008"/>
      </c:barChart>
      <c:catAx>
        <c:axId val="2111778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97216008"/>
        <c:crossesAt val="0.0"/>
        <c:auto val="0"/>
        <c:lblAlgn val="ctr"/>
        <c:lblOffset val="100"/>
        <c:noMultiLvlLbl val="0"/>
      </c:catAx>
      <c:valAx>
        <c:axId val="209721600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17785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Datasheet!$O$2:$O$11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94744"/>
        <c:axId val="2086797688"/>
      </c:barChart>
      <c:catAx>
        <c:axId val="20867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97688"/>
        <c:crosses val="autoZero"/>
        <c:auto val="1"/>
        <c:lblAlgn val="ctr"/>
        <c:lblOffset val="100"/>
        <c:noMultiLvlLbl val="0"/>
      </c:catAx>
      <c:valAx>
        <c:axId val="2086797688"/>
        <c:scaling>
          <c:orientation val="minMax"/>
          <c:max val="25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9474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Datasheet!$P$2:$P$11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plus>
            <c:minus>
              <c:numRef>
                <c:f>Datasheet!$P$2:$P$11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minus>
          </c:errBars>
          <c:val>
            <c:numRef>
              <c:f>Datasheet!$O$2:$O$11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98440"/>
        <c:axId val="2097401448"/>
      </c:barChart>
      <c:catAx>
        <c:axId val="209739844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lIns="0" anchor="t" anchorCtr="1">
            <a:noAutofit/>
          </a:bodyPr>
          <a:lstStyle/>
          <a:p>
            <a:pPr>
              <a:defRPr sz="2400"/>
            </a:pPr>
            <a:endParaRPr lang="en-US"/>
          </a:p>
        </c:txPr>
        <c:crossAx val="2097401448"/>
        <c:crosses val="autoZero"/>
        <c:auto val="1"/>
        <c:lblAlgn val="ctr"/>
        <c:lblOffset val="100"/>
        <c:noMultiLvlLbl val="0"/>
      </c:catAx>
      <c:valAx>
        <c:axId val="209740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9739844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Datasheet!$P$2:$P$11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plus>
            <c:minus>
              <c:numRef>
                <c:f>Datasheet!$P$2:$P$11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minus>
          </c:errBars>
          <c:val>
            <c:numRef>
              <c:f>Datasheet!$O$2:$O$11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54104"/>
        <c:axId val="2109557912"/>
      </c:barChart>
      <c:catAx>
        <c:axId val="210955410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lIns="0" anchor="t" anchorCtr="1">
            <a:noAutofit/>
          </a:bodyPr>
          <a:lstStyle/>
          <a:p>
            <a:pPr>
              <a:defRPr sz="2400"/>
            </a:pPr>
            <a:endParaRPr lang="en-US"/>
          </a:p>
        </c:txPr>
        <c:crossAx val="2109557912"/>
        <c:crosses val="autoZero"/>
        <c:auto val="1"/>
        <c:lblAlgn val="ctr"/>
        <c:lblOffset val="100"/>
        <c:noMultiLvlLbl val="0"/>
      </c:catAx>
      <c:valAx>
        <c:axId val="210955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0955410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Datasheet!$Q$2:$Q$11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534.2843580133115</c:v>
                </c:pt>
                <c:pt idx="2">
                  <c:v>395.8085668906196</c:v>
                </c:pt>
                <c:pt idx="3">
                  <c:v>3429.01550956915</c:v>
                </c:pt>
                <c:pt idx="4">
                  <c:v>3497.057521543286</c:v>
                </c:pt>
                <c:pt idx="5">
                  <c:v>2077.566367883932</c:v>
                </c:pt>
                <c:pt idx="6">
                  <c:v>4018.45930652105</c:v>
                </c:pt>
                <c:pt idx="7">
                  <c:v>5605.1247320221</c:v>
                </c:pt>
                <c:pt idx="8">
                  <c:v>4145.791015722812</c:v>
                </c:pt>
                <c:pt idx="9">
                  <c:v>8377.69723691148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28152"/>
        <c:axId val="2097331096"/>
      </c:barChart>
      <c:catAx>
        <c:axId val="209732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31096"/>
        <c:crosses val="autoZero"/>
        <c:auto val="1"/>
        <c:lblAlgn val="ctr"/>
        <c:lblOffset val="100"/>
        <c:noMultiLvlLbl val="0"/>
      </c:catAx>
      <c:valAx>
        <c:axId val="209733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2815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Datasheet!$F$1</c:f>
              <c:strCache>
                <c:ptCount val="1"/>
                <c:pt idx="0">
                  <c:v>Complexity Score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8009382010063"/>
                  <c:y val="-0.289283863793816"/>
                </c:manualLayout>
              </c:layout>
              <c:numFmt formatCode="General" sourceLinked="0"/>
            </c:trendlineLbl>
          </c:trendline>
          <c:xVal>
            <c:numRef>
              <c:f>Datasheet!$E$2:$E$33</c:f>
              <c:numCache>
                <c:formatCode>General</c:formatCode>
                <c:ptCount val="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</c:numCache>
            </c:numRef>
          </c:xVal>
          <c:yVal>
            <c:numRef>
              <c:f>Datasheet!$F$2:$F$33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55080"/>
        <c:axId val="2106506072"/>
      </c:scatterChart>
      <c:valAx>
        <c:axId val="208415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06072"/>
        <c:crosses val="autoZero"/>
        <c:crossBetween val="midCat"/>
      </c:valAx>
      <c:valAx>
        <c:axId val="21065060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8415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Datasheet!$O$1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1025557985892"/>
                  <c:y val="-0.00702037243589458"/>
                </c:manualLayout>
              </c:layout>
              <c:numFmt formatCode="General" sourceLinked="0"/>
            </c:trendlineLbl>
          </c:trendline>
          <c:xVal>
            <c:numRef>
              <c:f>Datasheet!$N$2:$N$11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Datasheet!$O$2:$O$11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11864"/>
        <c:axId val="2108940872"/>
      </c:scatterChart>
      <c:valAx>
        <c:axId val="210891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940872"/>
        <c:crosses val="autoZero"/>
        <c:crossBetween val="midCat"/>
      </c:valAx>
      <c:valAx>
        <c:axId val="210894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1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R21" sqref="R21"/>
    </sheetView>
  </sheetViews>
  <sheetFormatPr baseColWidth="10" defaultRowHeight="15" x14ac:dyDescent="0"/>
  <cols>
    <col min="2" max="2" width="12.33203125" customWidth="1"/>
    <col min="3" max="3" width="20.1640625" customWidth="1"/>
    <col min="6" max="6" width="11.83203125" style="1" bestFit="1" customWidth="1"/>
    <col min="17" max="17" width="17.6640625" bestFit="1" customWidth="1"/>
    <col min="18" max="18" width="15" bestFit="1" customWidth="1"/>
    <col min="19" max="19" width="17" bestFit="1" customWidth="1"/>
    <col min="21" max="21" width="12" customWidth="1"/>
  </cols>
  <sheetData>
    <row r="1" spans="1:21">
      <c r="A1" t="s">
        <v>103</v>
      </c>
      <c r="B1" t="s">
        <v>101</v>
      </c>
      <c r="C1" t="s">
        <v>102</v>
      </c>
      <c r="D1" t="s">
        <v>0</v>
      </c>
      <c r="E1" t="s">
        <v>0</v>
      </c>
      <c r="F1" s="1" t="s">
        <v>2</v>
      </c>
      <c r="G1" t="s">
        <v>1</v>
      </c>
      <c r="H1" t="s">
        <v>17</v>
      </c>
      <c r="I1" t="s">
        <v>3</v>
      </c>
      <c r="J1" t="s">
        <v>53</v>
      </c>
      <c r="K1" t="s">
        <v>92</v>
      </c>
      <c r="N1" t="s">
        <v>0</v>
      </c>
      <c r="O1" t="s">
        <v>85</v>
      </c>
      <c r="P1" t="s">
        <v>94</v>
      </c>
      <c r="Q1" t="s">
        <v>93</v>
      </c>
      <c r="S1" t="s">
        <v>103</v>
      </c>
      <c r="T1" t="s">
        <v>101</v>
      </c>
      <c r="U1" t="s">
        <v>102</v>
      </c>
    </row>
    <row r="2" spans="1:21">
      <c r="A2">
        <f>E2*$Q$19+$Q$20</f>
        <v>-11966.326815008662</v>
      </c>
      <c r="B2" s="1">
        <f>F2-A2</f>
        <v>12501.543031224879</v>
      </c>
      <c r="C2" s="3">
        <f>B2^2</f>
        <v>156288578.16156733</v>
      </c>
      <c r="D2" s="2">
        <v>1</v>
      </c>
      <c r="E2">
        <v>1</v>
      </c>
      <c r="F2" s="1">
        <v>535.21621621621603</v>
      </c>
      <c r="G2" t="s">
        <v>5</v>
      </c>
      <c r="H2" t="s">
        <v>4</v>
      </c>
      <c r="I2" t="s">
        <v>4</v>
      </c>
      <c r="J2" t="s">
        <v>54</v>
      </c>
      <c r="K2" t="str">
        <f>G2 &amp; " by " &amp; H2</f>
        <v>Bingo by Standard of Excellence</v>
      </c>
      <c r="N2">
        <v>1</v>
      </c>
      <c r="O2">
        <f>SUMIF(E$2:E$33,N2,F$2:F$33)/COUNTIF(E$2:E$33,N2)</f>
        <v>577.77326254826232</v>
      </c>
      <c r="P2">
        <f>_xlfn.STDEV.P(F2:F4)</f>
        <v>49.249153034040155</v>
      </c>
      <c r="Q2">
        <f>O2/N2</f>
        <v>577.77326254826232</v>
      </c>
      <c r="R2">
        <f t="shared" ref="R2:R11" si="0">(O3-O2)/O2</f>
        <v>0.84946030786144922</v>
      </c>
      <c r="S2">
        <f>N2*$R$19+$R$20</f>
        <v>-10279.974603774157</v>
      </c>
      <c r="T2">
        <f>O2-S2</f>
        <v>10857.747866322419</v>
      </c>
      <c r="U2">
        <f>T2^2</f>
        <v>117890688.72862905</v>
      </c>
    </row>
    <row r="3" spans="1:21">
      <c r="A3">
        <f>E3*$Q$19+$Q$20</f>
        <v>-11966.326815008662</v>
      </c>
      <c r="B3" s="1">
        <f t="shared" ref="B3:B33" si="1">F3-A3</f>
        <v>12613.126815008662</v>
      </c>
      <c r="C3" s="3">
        <f t="shared" ref="C3:C33" si="2">B3^2</f>
        <v>159090968.05149055</v>
      </c>
      <c r="D3" s="2"/>
      <c r="E3">
        <v>1</v>
      </c>
      <c r="F3" s="1">
        <v>646.79999999999995</v>
      </c>
      <c r="G3" t="s">
        <v>51</v>
      </c>
      <c r="H3" t="s">
        <v>4</v>
      </c>
      <c r="I3" t="s">
        <v>4</v>
      </c>
      <c r="J3" t="s">
        <v>54</v>
      </c>
      <c r="K3" t="str">
        <f t="shared" ref="K3:K33" si="3">G3 &amp; " by " &amp; H3</f>
        <v>Eerie Canal Capers by Standard of Excellence</v>
      </c>
      <c r="N3">
        <v>2</v>
      </c>
      <c r="O3">
        <f t="shared" ref="O3:O11" si="4">SUMIF(E$2:E$33,N3,F$2:F$33)/COUNTIF(E$2:E$33,N3)</f>
        <v>1068.5687160266232</v>
      </c>
      <c r="P3">
        <f>_xlfn.STDEV.P(F5:F7)</f>
        <v>371.96070977873819</v>
      </c>
      <c r="Q3">
        <f t="shared" ref="Q3:Q11" si="5">O3/N3</f>
        <v>534.28435801331159</v>
      </c>
      <c r="R3">
        <f t="shared" si="0"/>
        <v>0.11123008081987895</v>
      </c>
      <c r="S3">
        <f>N3*$R$19+$R$20</f>
        <v>-2649.7620241579516</v>
      </c>
      <c r="T3">
        <f t="shared" ref="T3:T11" si="6">O3-S3</f>
        <v>3718.330740184575</v>
      </c>
      <c r="U3">
        <f t="shared" ref="U3:U11" si="7">T3^2</f>
        <v>13825983.49340157</v>
      </c>
    </row>
    <row r="4" spans="1:21">
      <c r="A4">
        <f>E4*$Q$19+$Q$20</f>
        <v>-11966.326815008662</v>
      </c>
      <c r="B4" s="1">
        <f t="shared" si="1"/>
        <v>12517.630386437233</v>
      </c>
      <c r="C4" s="3">
        <f t="shared" si="2"/>
        <v>156691070.49145675</v>
      </c>
      <c r="D4" s="2"/>
      <c r="E4">
        <v>1</v>
      </c>
      <c r="F4" s="1">
        <v>551.30357142857099</v>
      </c>
      <c r="G4" t="s">
        <v>6</v>
      </c>
      <c r="H4" t="s">
        <v>4</v>
      </c>
      <c r="I4" t="s">
        <v>4</v>
      </c>
      <c r="J4" t="s">
        <v>54</v>
      </c>
      <c r="K4" t="str">
        <f t="shared" si="3"/>
        <v>Go for Excellence no. 61 by Standard of Excellence</v>
      </c>
      <c r="N4">
        <v>3</v>
      </c>
      <c r="O4">
        <f t="shared" si="4"/>
        <v>1187.4257006718587</v>
      </c>
      <c r="P4">
        <f>_xlfn.STDEV.P(F8:F11)</f>
        <v>683.57574834376362</v>
      </c>
      <c r="Q4">
        <f t="shared" si="5"/>
        <v>395.8085668906196</v>
      </c>
      <c r="R4">
        <f t="shared" si="0"/>
        <v>10.551090759207838</v>
      </c>
      <c r="S4">
        <f>N4*$R$19+$R$20</f>
        <v>4980.4505554582538</v>
      </c>
      <c r="T4">
        <f t="shared" si="6"/>
        <v>-3793.0248547863948</v>
      </c>
      <c r="U4">
        <f t="shared" si="7"/>
        <v>14387037.549027352</v>
      </c>
    </row>
    <row r="5" spans="1:21">
      <c r="A5">
        <f>E5*$Q$19+$Q$20</f>
        <v>-3870.4475091694694</v>
      </c>
      <c r="B5" s="1">
        <f t="shared" si="1"/>
        <v>4890.4232425027994</v>
      </c>
      <c r="C5" s="3">
        <f t="shared" si="2"/>
        <v>23916239.490811594</v>
      </c>
      <c r="D5" s="2">
        <v>2</v>
      </c>
      <c r="E5">
        <v>2</v>
      </c>
      <c r="F5" s="1">
        <v>1019.97573333333</v>
      </c>
      <c r="G5" t="s">
        <v>10</v>
      </c>
      <c r="H5" t="s">
        <v>4</v>
      </c>
      <c r="I5" t="s">
        <v>4</v>
      </c>
      <c r="J5" t="s">
        <v>54</v>
      </c>
      <c r="K5" t="str">
        <f t="shared" si="3"/>
        <v>Alouette by Standard of Excellence</v>
      </c>
      <c r="N5">
        <v>4</v>
      </c>
      <c r="O5">
        <f t="shared" si="4"/>
        <v>13716.062038276599</v>
      </c>
      <c r="P5">
        <f>_xlfn.STDEV.P(F12:F14)</f>
        <v>3034.4122961041539</v>
      </c>
      <c r="Q5">
        <f t="shared" si="5"/>
        <v>3429.0155095691498</v>
      </c>
      <c r="R5">
        <f t="shared" si="0"/>
        <v>0.27480377085793839</v>
      </c>
      <c r="S5">
        <f>N5*$R$19+$R$20</f>
        <v>12610.663135074457</v>
      </c>
      <c r="T5">
        <f t="shared" si="6"/>
        <v>1105.3989032021418</v>
      </c>
      <c r="U5">
        <f t="shared" si="7"/>
        <v>1221906.735200498</v>
      </c>
    </row>
    <row r="6" spans="1:21">
      <c r="A6">
        <f>E6*$Q$19+$Q$20</f>
        <v>-3870.4475091694694</v>
      </c>
      <c r="B6" s="1">
        <f t="shared" si="1"/>
        <v>5416.9217948837495</v>
      </c>
      <c r="C6" s="3">
        <f t="shared" si="2"/>
        <v>29343041.731886581</v>
      </c>
      <c r="D6" s="2"/>
      <c r="E6">
        <v>2</v>
      </c>
      <c r="F6" s="1">
        <v>1546.4742857142801</v>
      </c>
      <c r="G6" t="s">
        <v>11</v>
      </c>
      <c r="H6" t="s">
        <v>4</v>
      </c>
      <c r="I6" t="s">
        <v>4</v>
      </c>
      <c r="J6" t="s">
        <v>54</v>
      </c>
      <c r="K6" t="str">
        <f t="shared" si="3"/>
        <v>Grandfather's Whiskers by Standard of Excellence</v>
      </c>
      <c r="N6">
        <v>5</v>
      </c>
      <c r="O6">
        <f t="shared" si="4"/>
        <v>17485.287607716429</v>
      </c>
      <c r="P6">
        <f>_xlfn.STDEV.P(F15:F17)</f>
        <v>12836.812731201913</v>
      </c>
      <c r="Q6">
        <f t="shared" si="5"/>
        <v>3497.0575215432859</v>
      </c>
      <c r="R6">
        <f t="shared" si="0"/>
        <v>-0.28709218361369748</v>
      </c>
      <c r="S6">
        <f>N6*$R$19+$R$20</f>
        <v>20240.875714690661</v>
      </c>
      <c r="T6">
        <f t="shared" si="6"/>
        <v>-2755.5881069742318</v>
      </c>
      <c r="U6">
        <f t="shared" si="7"/>
        <v>7593265.8152978299</v>
      </c>
    </row>
    <row r="7" spans="1:21">
      <c r="A7">
        <f>E7*$Q$19+$Q$20</f>
        <v>-3870.4475091694694</v>
      </c>
      <c r="B7" s="1">
        <f t="shared" si="1"/>
        <v>4509.7036382017286</v>
      </c>
      <c r="C7" s="3">
        <f t="shared" si="2"/>
        <v>20337426.904409908</v>
      </c>
      <c r="D7" s="2"/>
      <c r="E7">
        <v>2</v>
      </c>
      <c r="F7" s="1">
        <v>639.25612903225897</v>
      </c>
      <c r="G7" t="s">
        <v>12</v>
      </c>
      <c r="H7" t="s">
        <v>4</v>
      </c>
      <c r="I7" t="s">
        <v>4</v>
      </c>
      <c r="J7" t="s">
        <v>54</v>
      </c>
      <c r="K7" t="str">
        <f t="shared" si="3"/>
        <v>Ming Court by Standard of Excellence</v>
      </c>
      <c r="N7">
        <v>6</v>
      </c>
      <c r="O7">
        <f t="shared" si="4"/>
        <v>12465.398207303595</v>
      </c>
      <c r="P7">
        <f>_xlfn.STDEV.P(F18:F21)</f>
        <v>8454.5904287906887</v>
      </c>
      <c r="Q7">
        <f t="shared" si="5"/>
        <v>2077.5663678839323</v>
      </c>
      <c r="R7">
        <f t="shared" si="0"/>
        <v>1.256583759126618</v>
      </c>
      <c r="S7">
        <f>N7*$R$19+$R$20</f>
        <v>27871.088294306868</v>
      </c>
      <c r="T7">
        <f t="shared" si="6"/>
        <v>-15405.690087003273</v>
      </c>
      <c r="U7">
        <f t="shared" si="7"/>
        <v>237335287.05679092</v>
      </c>
    </row>
    <row r="8" spans="1:21">
      <c r="A8">
        <f>E8*$Q$19+$Q$20</f>
        <v>4225.4317966697236</v>
      </c>
      <c r="B8" s="1">
        <f t="shared" si="1"/>
        <v>-3337.5883184088557</v>
      </c>
      <c r="C8" s="3">
        <f t="shared" si="2"/>
        <v>11139495.783179253</v>
      </c>
      <c r="D8" s="2">
        <v>3</v>
      </c>
      <c r="E8">
        <v>3</v>
      </c>
      <c r="F8" s="1">
        <v>887.84347826086798</v>
      </c>
      <c r="G8" t="s">
        <v>13</v>
      </c>
      <c r="H8" t="s">
        <v>4</v>
      </c>
      <c r="I8" t="s">
        <v>4</v>
      </c>
      <c r="J8" t="s">
        <v>54</v>
      </c>
      <c r="K8" t="str">
        <f t="shared" si="3"/>
        <v>Just Fine by Standard of Excellence</v>
      </c>
      <c r="N8">
        <v>7</v>
      </c>
      <c r="O8">
        <f t="shared" si="4"/>
        <v>28129.215145647351</v>
      </c>
      <c r="P8">
        <f>_xlfn.STDEV.P(F22:F23)</f>
        <v>13006.015280167654</v>
      </c>
      <c r="Q8">
        <f t="shared" si="5"/>
        <v>4018.4593065210502</v>
      </c>
      <c r="R8">
        <f t="shared" si="0"/>
        <v>0.59410767858254276</v>
      </c>
      <c r="S8">
        <f>N8*$R$19+$R$20</f>
        <v>35501.300873923072</v>
      </c>
      <c r="T8">
        <f t="shared" si="6"/>
        <v>-7372.0857282757206</v>
      </c>
      <c r="U8">
        <f t="shared" si="7"/>
        <v>54347647.985046566</v>
      </c>
    </row>
    <row r="9" spans="1:21">
      <c r="A9">
        <f>E9*$Q$19+$Q$20</f>
        <v>4225.4317966697236</v>
      </c>
      <c r="B9" s="1">
        <f t="shared" si="1"/>
        <v>-3711.2400158478067</v>
      </c>
      <c r="C9" s="3">
        <f t="shared" si="2"/>
        <v>13773302.455230029</v>
      </c>
      <c r="D9" s="2"/>
      <c r="E9">
        <v>3</v>
      </c>
      <c r="F9" s="1">
        <v>514.19178082191695</v>
      </c>
      <c r="G9" t="s">
        <v>18</v>
      </c>
      <c r="H9" t="s">
        <v>19</v>
      </c>
      <c r="I9" t="s">
        <v>4</v>
      </c>
      <c r="J9" t="s">
        <v>54</v>
      </c>
      <c r="K9" t="str">
        <f t="shared" si="3"/>
        <v>Variations on a Theme by Mozart</v>
      </c>
      <c r="N9">
        <v>8</v>
      </c>
      <c r="O9">
        <f t="shared" si="4"/>
        <v>44840.9978561768</v>
      </c>
      <c r="P9">
        <f>_xlfn.STDEV.P(F24:F26)</f>
        <v>45674.063655208105</v>
      </c>
      <c r="Q9">
        <f t="shared" si="5"/>
        <v>5605.1247320221</v>
      </c>
      <c r="R9">
        <f t="shared" si="0"/>
        <v>-0.16790167647070775</v>
      </c>
      <c r="S9">
        <f>N9*$R$19+$R$20</f>
        <v>43131.513453539272</v>
      </c>
      <c r="T9">
        <f t="shared" si="6"/>
        <v>1709.4844026375285</v>
      </c>
      <c r="U9">
        <f t="shared" si="7"/>
        <v>2922336.922860988</v>
      </c>
    </row>
    <row r="10" spans="1:21">
      <c r="A10">
        <f>E10*$Q$19+$Q$20</f>
        <v>4225.4317966697236</v>
      </c>
      <c r="B10" s="1">
        <f t="shared" si="1"/>
        <v>-3204.6386716697234</v>
      </c>
      <c r="C10" s="3">
        <f t="shared" si="2"/>
        <v>10269709.01596109</v>
      </c>
      <c r="D10" s="2"/>
      <c r="E10">
        <v>3</v>
      </c>
      <c r="F10" s="1">
        <v>1020.793125</v>
      </c>
      <c r="G10" t="s">
        <v>14</v>
      </c>
      <c r="H10" t="s">
        <v>4</v>
      </c>
      <c r="I10" t="s">
        <v>4</v>
      </c>
      <c r="J10" t="s">
        <v>54</v>
      </c>
      <c r="K10" t="str">
        <f t="shared" si="3"/>
        <v>Loch Lomond by Standard of Excellence</v>
      </c>
      <c r="N10">
        <v>9</v>
      </c>
      <c r="O10">
        <f t="shared" si="4"/>
        <v>37312.119141505304</v>
      </c>
      <c r="P10">
        <f>_xlfn.STDEV.P(F27:F29)</f>
        <v>16462.238482914483</v>
      </c>
      <c r="Q10">
        <f t="shared" si="5"/>
        <v>4145.7910157228116</v>
      </c>
      <c r="R10">
        <f t="shared" si="0"/>
        <v>1.245301909853811</v>
      </c>
      <c r="S10">
        <f>N10*$R$19+$R$20</f>
        <v>50761.726033155486</v>
      </c>
      <c r="T10">
        <f t="shared" si="6"/>
        <v>-13449.606891650183</v>
      </c>
      <c r="U10">
        <f t="shared" si="7"/>
        <v>180891925.53992409</v>
      </c>
    </row>
    <row r="11" spans="1:21">
      <c r="A11">
        <f>E11*$Q$19+$Q$20</f>
        <v>4225.4317966697236</v>
      </c>
      <c r="B11" s="1">
        <f t="shared" si="1"/>
        <v>-1898.5573780650734</v>
      </c>
      <c r="C11" s="3">
        <f t="shared" si="2"/>
        <v>3604520.1178053259</v>
      </c>
      <c r="D11" s="2"/>
      <c r="E11">
        <v>3</v>
      </c>
      <c r="F11" s="1">
        <v>2326.8744186046501</v>
      </c>
      <c r="G11" t="s">
        <v>20</v>
      </c>
      <c r="H11" t="s">
        <v>21</v>
      </c>
      <c r="I11" t="s">
        <v>4</v>
      </c>
      <c r="J11" t="s">
        <v>54</v>
      </c>
      <c r="K11" t="str">
        <f t="shared" si="3"/>
        <v>Theme from Symphony 9 by Beethoven</v>
      </c>
      <c r="N11">
        <v>10</v>
      </c>
      <c r="O11">
        <f t="shared" si="4"/>
        <v>83776.972369114796</v>
      </c>
      <c r="P11">
        <f>_xlfn.STDEV.P(F13:F15)</f>
        <v>9197.6216453278303</v>
      </c>
      <c r="Q11">
        <f t="shared" si="5"/>
        <v>8377.6972369114792</v>
      </c>
      <c r="R11">
        <f t="shared" si="0"/>
        <v>-1</v>
      </c>
      <c r="S11">
        <f>N11*$R$19+$R$20</f>
        <v>58391.938612771686</v>
      </c>
      <c r="T11">
        <f t="shared" si="6"/>
        <v>25385.033756343109</v>
      </c>
      <c r="U11">
        <f t="shared" si="7"/>
        <v>644399938.8106792</v>
      </c>
    </row>
    <row r="12" spans="1:21">
      <c r="A12">
        <f>E12*$Q$19+$Q$20</f>
        <v>12321.311102508917</v>
      </c>
      <c r="B12" s="1">
        <f t="shared" si="1"/>
        <v>-2857.1118717397167</v>
      </c>
      <c r="C12" s="3">
        <f t="shared" si="2"/>
        <v>8163088.2476360267</v>
      </c>
      <c r="D12" s="2">
        <v>4</v>
      </c>
      <c r="E12">
        <v>4</v>
      </c>
      <c r="F12" s="1">
        <v>9464.1992307691999</v>
      </c>
      <c r="G12" t="s">
        <v>15</v>
      </c>
      <c r="H12" t="s">
        <v>21</v>
      </c>
      <c r="I12" t="s">
        <v>7</v>
      </c>
      <c r="J12" t="s">
        <v>54</v>
      </c>
      <c r="K12" t="str">
        <f t="shared" si="3"/>
        <v>Minuet in G by Beethoven</v>
      </c>
    </row>
    <row r="13" spans="1:21">
      <c r="A13">
        <f>E13*$Q$19+$Q$20</f>
        <v>12321.311102508917</v>
      </c>
      <c r="B13" s="1">
        <f t="shared" si="1"/>
        <v>4023.4088792261828</v>
      </c>
      <c r="C13" s="3">
        <f t="shared" si="2"/>
        <v>16187819.009436088</v>
      </c>
      <c r="D13" s="2"/>
      <c r="E13">
        <v>4</v>
      </c>
      <c r="F13" s="1">
        <v>16344.719981735099</v>
      </c>
      <c r="G13" t="s">
        <v>16</v>
      </c>
      <c r="H13" t="s">
        <v>22</v>
      </c>
      <c r="I13" t="s">
        <v>7</v>
      </c>
      <c r="J13" t="s">
        <v>54</v>
      </c>
      <c r="K13" t="str">
        <f t="shared" si="3"/>
        <v>Gavotte by Gossec</v>
      </c>
    </row>
    <row r="14" spans="1:21">
      <c r="A14">
        <f>E14*$Q$19+$Q$20</f>
        <v>12321.311102508917</v>
      </c>
      <c r="B14" s="1">
        <f t="shared" si="1"/>
        <v>3017.9557998165837</v>
      </c>
      <c r="C14" s="3">
        <f t="shared" si="2"/>
        <v>9108057.2096465565</v>
      </c>
      <c r="D14" s="2"/>
      <c r="E14">
        <v>4</v>
      </c>
      <c r="F14" s="1">
        <v>15339.2669023255</v>
      </c>
      <c r="G14" t="s">
        <v>23</v>
      </c>
      <c r="H14" t="s">
        <v>91</v>
      </c>
      <c r="I14" t="s">
        <v>7</v>
      </c>
      <c r="J14" t="s">
        <v>54</v>
      </c>
      <c r="K14" t="str">
        <f t="shared" si="3"/>
        <v>Song without Words by Tschaikowsky</v>
      </c>
    </row>
    <row r="15" spans="1:21">
      <c r="A15">
        <f>E15*$Q$19+$Q$20</f>
        <v>20417.190408348106</v>
      </c>
      <c r="B15" s="1">
        <f t="shared" si="1"/>
        <v>14916.465245164894</v>
      </c>
      <c r="C15" s="3">
        <f t="shared" si="2"/>
        <v>222500935.41021219</v>
      </c>
      <c r="D15" s="2">
        <v>5</v>
      </c>
      <c r="E15">
        <v>5</v>
      </c>
      <c r="F15" s="1">
        <v>35333.655653513</v>
      </c>
      <c r="G15" t="s">
        <v>24</v>
      </c>
      <c r="H15" t="s">
        <v>90</v>
      </c>
      <c r="I15" t="s">
        <v>7</v>
      </c>
      <c r="J15" t="s">
        <v>54</v>
      </c>
      <c r="K15" t="str">
        <f t="shared" si="3"/>
        <v>Humoresque by Dvorak</v>
      </c>
    </row>
    <row r="16" spans="1:21">
      <c r="A16">
        <f>E16*$Q$19+$Q$20</f>
        <v>20417.190408348106</v>
      </c>
      <c r="B16" s="1">
        <f t="shared" si="1"/>
        <v>-14728.796384251717</v>
      </c>
      <c r="C16" s="3">
        <f t="shared" si="2"/>
        <v>216937442.92874643</v>
      </c>
      <c r="D16" s="2"/>
      <c r="E16">
        <v>5</v>
      </c>
      <c r="F16" s="1">
        <v>5688.3940240963902</v>
      </c>
      <c r="G16" t="s">
        <v>25</v>
      </c>
      <c r="H16" t="s">
        <v>89</v>
      </c>
      <c r="I16" t="s">
        <v>7</v>
      </c>
      <c r="J16" t="s">
        <v>54</v>
      </c>
      <c r="K16" t="str">
        <f t="shared" si="3"/>
        <v>The Dancing Doll by Poldini</v>
      </c>
    </row>
    <row r="17" spans="1:18">
      <c r="A17">
        <f>E17*$Q$19+$Q$20</f>
        <v>20417.190408348106</v>
      </c>
      <c r="B17" s="1">
        <f t="shared" si="1"/>
        <v>-8983.3772628082061</v>
      </c>
      <c r="C17" s="3">
        <f t="shared" si="2"/>
        <v>80701067.04593946</v>
      </c>
      <c r="D17" s="2"/>
      <c r="E17">
        <v>5</v>
      </c>
      <c r="F17" s="1">
        <v>11433.8131455399</v>
      </c>
      <c r="G17" t="s">
        <v>26</v>
      </c>
      <c r="H17" t="s">
        <v>86</v>
      </c>
      <c r="I17" t="s">
        <v>7</v>
      </c>
      <c r="J17" t="s">
        <v>54</v>
      </c>
      <c r="K17" t="str">
        <f t="shared" si="3"/>
        <v>Hymn to the Sun by Korsakoff</v>
      </c>
    </row>
    <row r="18" spans="1:18">
      <c r="A18">
        <f>E18*$Q$19+$Q$20</f>
        <v>28513.069714187302</v>
      </c>
      <c r="B18" s="1">
        <f t="shared" si="1"/>
        <v>-20336.236860068591</v>
      </c>
      <c r="C18" s="3">
        <f t="shared" si="2"/>
        <v>413562529.62881243</v>
      </c>
      <c r="D18" s="2">
        <v>6</v>
      </c>
      <c r="E18">
        <v>6</v>
      </c>
      <c r="F18" s="1">
        <v>8176.8328541187102</v>
      </c>
      <c r="G18" t="s">
        <v>27</v>
      </c>
      <c r="H18" t="s">
        <v>28</v>
      </c>
      <c r="I18" t="s">
        <v>7</v>
      </c>
      <c r="J18" t="s">
        <v>54</v>
      </c>
      <c r="K18" t="str">
        <f t="shared" si="3"/>
        <v>Serenade by Drdla</v>
      </c>
      <c r="P18" s="4"/>
      <c r="Q18" s="5" t="s">
        <v>99</v>
      </c>
      <c r="R18" s="6" t="s">
        <v>100</v>
      </c>
    </row>
    <row r="19" spans="1:18">
      <c r="A19">
        <f>E19*$Q$19+$Q$20</f>
        <v>28513.069714187302</v>
      </c>
      <c r="B19" s="1">
        <f t="shared" si="1"/>
        <v>-23634.842546413231</v>
      </c>
      <c r="C19" s="3">
        <f t="shared" si="2"/>
        <v>558605782.19374502</v>
      </c>
      <c r="D19" s="2"/>
      <c r="E19">
        <v>6</v>
      </c>
      <c r="F19" s="1">
        <v>4878.22716777407</v>
      </c>
      <c r="G19" t="s">
        <v>29</v>
      </c>
      <c r="H19" t="s">
        <v>30</v>
      </c>
      <c r="I19" t="s">
        <v>8</v>
      </c>
      <c r="J19" t="s">
        <v>54</v>
      </c>
      <c r="K19" t="str">
        <f t="shared" si="3"/>
        <v>Promenade by Delmas</v>
      </c>
      <c r="P19" s="7" t="s">
        <v>104</v>
      </c>
      <c r="Q19" s="8">
        <f>SLOPE(F2:F33, E2:E33)</f>
        <v>8095.879305839193</v>
      </c>
      <c r="R19" s="9">
        <f>SLOPE(O2:O11,N2:N11)</f>
        <v>7630.2125796162045</v>
      </c>
    </row>
    <row r="20" spans="1:18">
      <c r="A20">
        <f>E20*$Q$19+$Q$20</f>
        <v>28513.069714187302</v>
      </c>
      <c r="B20" s="1">
        <f t="shared" si="1"/>
        <v>-1759.7469434065024</v>
      </c>
      <c r="C20" s="3">
        <f t="shared" si="2"/>
        <v>3096709.3048285278</v>
      </c>
      <c r="D20" s="2"/>
      <c r="E20">
        <v>6</v>
      </c>
      <c r="F20" s="1">
        <v>26753.3227707808</v>
      </c>
      <c r="G20" t="s">
        <v>31</v>
      </c>
      <c r="H20" t="s">
        <v>32</v>
      </c>
      <c r="I20" t="s">
        <v>8</v>
      </c>
      <c r="J20" t="s">
        <v>54</v>
      </c>
      <c r="K20" t="str">
        <f t="shared" si="3"/>
        <v>Scherzo by Koepke</v>
      </c>
      <c r="P20" s="7" t="s">
        <v>105</v>
      </c>
      <c r="Q20" s="8">
        <f>INTERCEPT(F2:F33,E2:E33)</f>
        <v>-20062.206120847855</v>
      </c>
      <c r="R20" s="9">
        <f>INTERCEPT(O2:O11,N2:N11)</f>
        <v>-17910.187183390361</v>
      </c>
    </row>
    <row r="21" spans="1:18">
      <c r="A21">
        <f>E21*$Q$19+$Q$20</f>
        <v>28513.069714187302</v>
      </c>
      <c r="B21" s="1">
        <f t="shared" si="1"/>
        <v>-18459.859677646502</v>
      </c>
      <c r="C21" s="3">
        <f t="shared" si="2"/>
        <v>340766419.31839919</v>
      </c>
      <c r="D21" s="2"/>
      <c r="E21">
        <v>6</v>
      </c>
      <c r="F21" s="1">
        <v>10053.210036540801</v>
      </c>
      <c r="G21" t="s">
        <v>33</v>
      </c>
      <c r="H21" t="s">
        <v>34</v>
      </c>
      <c r="I21" t="s">
        <v>8</v>
      </c>
      <c r="J21" t="s">
        <v>54</v>
      </c>
      <c r="K21" t="str">
        <f t="shared" si="3"/>
        <v>Nocturne by Bassi</v>
      </c>
      <c r="P21" s="7" t="s">
        <v>106</v>
      </c>
      <c r="Q21" s="8">
        <v>0.35876999999999998</v>
      </c>
      <c r="R21" s="9">
        <v>0.79025999999999996</v>
      </c>
    </row>
    <row r="22" spans="1:18">
      <c r="A22">
        <f>E22*$Q$19+$Q$20</f>
        <v>36608.949020026499</v>
      </c>
      <c r="B22" s="1">
        <f t="shared" si="1"/>
        <v>-21485.7491545468</v>
      </c>
      <c r="C22" s="3">
        <f t="shared" si="2"/>
        <v>461637416.73210853</v>
      </c>
      <c r="D22" s="2">
        <v>7</v>
      </c>
      <c r="E22">
        <v>7</v>
      </c>
      <c r="F22" s="1">
        <v>15123.199865479701</v>
      </c>
      <c r="G22" t="s">
        <v>35</v>
      </c>
      <c r="H22" t="s">
        <v>36</v>
      </c>
      <c r="I22" t="s">
        <v>9</v>
      </c>
      <c r="J22" t="s">
        <v>54</v>
      </c>
      <c r="K22" t="str">
        <f t="shared" si="3"/>
        <v>Sonata 2nd Movement by Hindemith</v>
      </c>
      <c r="P22" s="10" t="s">
        <v>107</v>
      </c>
      <c r="Q22" s="11">
        <f>AVERAGE(C2:C33)</f>
        <v>995616123.9525491</v>
      </c>
      <c r="R22" s="12">
        <f>AVERAGE(U2:U11)</f>
        <v>127481601.8636858</v>
      </c>
    </row>
    <row r="23" spans="1:18">
      <c r="A23">
        <f>E23*$Q$19+$Q$20</f>
        <v>36608.949020026499</v>
      </c>
      <c r="B23" s="1">
        <f t="shared" si="1"/>
        <v>4526.2814057885043</v>
      </c>
      <c r="C23" s="3">
        <f t="shared" si="2"/>
        <v>20487223.36438676</v>
      </c>
      <c r="D23" s="2"/>
      <c r="E23">
        <v>7</v>
      </c>
      <c r="F23" s="1">
        <v>41135.230425815003</v>
      </c>
      <c r="G23" t="s">
        <v>37</v>
      </c>
      <c r="H23" t="s">
        <v>38</v>
      </c>
      <c r="I23" t="s">
        <v>8</v>
      </c>
      <c r="J23" t="s">
        <v>54</v>
      </c>
      <c r="K23" t="str">
        <f t="shared" si="3"/>
        <v>Scene and Air by Bergsen</v>
      </c>
    </row>
    <row r="24" spans="1:18">
      <c r="A24">
        <f>E24*$Q$19+$Q$20</f>
        <v>44704.828325865688</v>
      </c>
      <c r="B24" s="1">
        <f t="shared" si="1"/>
        <v>-30632.138665527491</v>
      </c>
      <c r="C24" s="3">
        <f t="shared" si="2"/>
        <v>938327919.22410429</v>
      </c>
      <c r="D24" s="2">
        <v>8</v>
      </c>
      <c r="E24">
        <v>8</v>
      </c>
      <c r="F24" s="1">
        <v>14072.689660338199</v>
      </c>
      <c r="G24" t="s">
        <v>39</v>
      </c>
      <c r="H24" t="s">
        <v>40</v>
      </c>
      <c r="I24" t="s">
        <v>9</v>
      </c>
      <c r="J24" t="s">
        <v>54</v>
      </c>
      <c r="K24" t="str">
        <f t="shared" si="3"/>
        <v>Canzonetta by Pierné</v>
      </c>
    </row>
    <row r="25" spans="1:18">
      <c r="A25">
        <f>E25*$Q$19+$Q$20</f>
        <v>44704.828325865688</v>
      </c>
      <c r="B25" s="1">
        <f t="shared" si="1"/>
        <v>64705.316707872305</v>
      </c>
      <c r="C25" s="3">
        <f t="shared" si="2"/>
        <v>4186778010.2660589</v>
      </c>
      <c r="D25" s="2"/>
      <c r="E25">
        <v>8</v>
      </c>
      <c r="F25" s="1">
        <v>109410.14503373799</v>
      </c>
      <c r="G25" t="s">
        <v>41</v>
      </c>
      <c r="H25" t="s">
        <v>42</v>
      </c>
      <c r="I25" t="s">
        <v>9</v>
      </c>
      <c r="J25" t="s">
        <v>54</v>
      </c>
      <c r="K25" t="str">
        <f t="shared" si="3"/>
        <v>Concerto Opus 36 1st Movement by Krommer</v>
      </c>
    </row>
    <row r="26" spans="1:18">
      <c r="A26">
        <f>E26*$Q$19+$Q$20</f>
        <v>44704.828325865688</v>
      </c>
      <c r="B26" s="1">
        <f t="shared" si="1"/>
        <v>-33664.669451411486</v>
      </c>
      <c r="C26" s="3">
        <f t="shared" si="2"/>
        <v>1133309969.2727978</v>
      </c>
      <c r="D26" s="2"/>
      <c r="E26">
        <v>8</v>
      </c>
      <c r="F26" s="1">
        <v>11040.1588744542</v>
      </c>
      <c r="G26" t="s">
        <v>43</v>
      </c>
      <c r="H26" t="s">
        <v>88</v>
      </c>
      <c r="I26" t="s">
        <v>9</v>
      </c>
      <c r="J26" t="s">
        <v>54</v>
      </c>
      <c r="K26" t="str">
        <f t="shared" si="3"/>
        <v>Sonata 1st Movement by Saint-Saens</v>
      </c>
    </row>
    <row r="27" spans="1:18">
      <c r="A27">
        <f>E27*$Q$19+$Q$20</f>
        <v>52800.707631704878</v>
      </c>
      <c r="B27" s="1">
        <f t="shared" si="1"/>
        <v>-38549.975261015279</v>
      </c>
      <c r="C27" s="3">
        <f t="shared" si="2"/>
        <v>1486100592.6248901</v>
      </c>
      <c r="D27" s="2">
        <v>9</v>
      </c>
      <c r="E27">
        <v>9</v>
      </c>
      <c r="F27" s="1">
        <v>14250.7323706896</v>
      </c>
      <c r="G27" t="s">
        <v>44</v>
      </c>
      <c r="H27" t="s">
        <v>36</v>
      </c>
      <c r="I27" t="s">
        <v>9</v>
      </c>
      <c r="J27" t="s">
        <v>54</v>
      </c>
      <c r="K27" t="str">
        <f t="shared" si="3"/>
        <v>Sonata 3rd and 4th Movements by Hindemith</v>
      </c>
    </row>
    <row r="28" spans="1:18">
      <c r="A28">
        <f>E28*$Q$19+$Q$20</f>
        <v>52800.707631704878</v>
      </c>
      <c r="B28" s="1">
        <f t="shared" si="1"/>
        <v>-1194.3332803228768</v>
      </c>
      <c r="C28" s="3">
        <f t="shared" si="2"/>
        <v>1426431.9844868034</v>
      </c>
      <c r="D28" s="2"/>
      <c r="E28">
        <v>9</v>
      </c>
      <c r="F28" s="1">
        <v>51606.374351382001</v>
      </c>
      <c r="G28" t="s">
        <v>45</v>
      </c>
      <c r="H28" t="s">
        <v>88</v>
      </c>
      <c r="I28" t="s">
        <v>9</v>
      </c>
      <c r="J28" t="s">
        <v>54</v>
      </c>
      <c r="K28" t="str">
        <f t="shared" si="3"/>
        <v>Sonata Movements 2, 3, and 4 by Saint-Saens</v>
      </c>
    </row>
    <row r="29" spans="1:18">
      <c r="A29">
        <f>E29*$Q$19+$Q$20</f>
        <v>52800.707631704878</v>
      </c>
      <c r="B29" s="1">
        <f t="shared" si="1"/>
        <v>-6721.4569292605811</v>
      </c>
      <c r="C29" s="3">
        <f t="shared" si="2"/>
        <v>45177983.251905084</v>
      </c>
      <c r="D29" s="2"/>
      <c r="E29">
        <v>9</v>
      </c>
      <c r="F29" s="1">
        <v>46079.250702444297</v>
      </c>
      <c r="G29" t="s">
        <v>46</v>
      </c>
      <c r="H29" t="s">
        <v>47</v>
      </c>
      <c r="I29" t="s">
        <v>9</v>
      </c>
      <c r="J29" t="s">
        <v>54</v>
      </c>
      <c r="K29" t="str">
        <f t="shared" si="3"/>
        <v>Solo de Concours by Rabaud</v>
      </c>
    </row>
    <row r="30" spans="1:18">
      <c r="A30">
        <f>E30*$Q$19+$Q$20</f>
        <v>60896.586937544067</v>
      </c>
      <c r="B30" s="1">
        <f t="shared" si="1"/>
        <v>-1681.3251081803683</v>
      </c>
      <c r="C30" s="3">
        <f t="shared" si="2"/>
        <v>2826854.1193977268</v>
      </c>
      <c r="D30" s="2">
        <v>10</v>
      </c>
      <c r="E30">
        <v>10</v>
      </c>
      <c r="F30" s="1">
        <v>59215.261829363699</v>
      </c>
      <c r="G30" t="s">
        <v>48</v>
      </c>
      <c r="H30" t="s">
        <v>98</v>
      </c>
      <c r="I30" t="s">
        <v>9</v>
      </c>
      <c r="J30" t="s">
        <v>54</v>
      </c>
      <c r="K30" t="str">
        <f t="shared" si="3"/>
        <v>Concerto no. 3 1st and 2nd Movements by Crussell</v>
      </c>
    </row>
    <row r="31" spans="1:18">
      <c r="A31">
        <f>E31*$Q$19+$Q$20</f>
        <v>60896.586937544067</v>
      </c>
      <c r="B31" s="1">
        <f t="shared" si="1"/>
        <v>141318.2612560339</v>
      </c>
      <c r="C31" s="3">
        <f t="shared" si="2"/>
        <v>19970850964.428654</v>
      </c>
      <c r="D31" s="2"/>
      <c r="E31">
        <v>10</v>
      </c>
      <c r="F31" s="1">
        <v>202214.84819357799</v>
      </c>
      <c r="G31" t="s">
        <v>49</v>
      </c>
      <c r="H31" t="s">
        <v>98</v>
      </c>
      <c r="I31" t="s">
        <v>9</v>
      </c>
      <c r="J31" t="s">
        <v>54</v>
      </c>
      <c r="K31" t="str">
        <f t="shared" si="3"/>
        <v>Concerto no. 3 2nd and 3rd Movements by Crussell</v>
      </c>
    </row>
    <row r="32" spans="1:18">
      <c r="A32">
        <f>E32*$Q$19+$Q$20</f>
        <v>60896.586937544067</v>
      </c>
      <c r="B32" s="1">
        <f t="shared" si="1"/>
        <v>-24820.195912399067</v>
      </c>
      <c r="C32" s="3">
        <f t="shared" si="2"/>
        <v>616042125.12987137</v>
      </c>
      <c r="D32" s="2"/>
      <c r="E32">
        <v>10</v>
      </c>
      <c r="F32" s="1">
        <v>36076.391025145</v>
      </c>
      <c r="G32" t="s">
        <v>46</v>
      </c>
      <c r="H32" t="s">
        <v>50</v>
      </c>
      <c r="I32" t="s">
        <v>9</v>
      </c>
      <c r="J32" t="s">
        <v>54</v>
      </c>
      <c r="K32" t="str">
        <f t="shared" si="3"/>
        <v>Solo de Concours by Messager</v>
      </c>
    </row>
    <row r="33" spans="1:11">
      <c r="A33">
        <f>E33*$Q$19+$Q$20</f>
        <v>60896.586937544067</v>
      </c>
      <c r="B33" s="1">
        <f t="shared" si="1"/>
        <v>-23295.198509171569</v>
      </c>
      <c r="C33" s="3">
        <f t="shared" si="2"/>
        <v>542666273.58170927</v>
      </c>
      <c r="D33" s="2"/>
      <c r="E33">
        <v>10</v>
      </c>
      <c r="F33" s="1">
        <v>37601.388428372498</v>
      </c>
      <c r="G33" t="s">
        <v>52</v>
      </c>
      <c r="H33" t="s">
        <v>87</v>
      </c>
      <c r="I33" t="s">
        <v>9</v>
      </c>
      <c r="J33" t="s">
        <v>54</v>
      </c>
      <c r="K33" t="str">
        <f t="shared" si="3"/>
        <v>Sonata no. 2 1st Movement by Stanford</v>
      </c>
    </row>
    <row r="35" spans="1:11">
      <c r="E35" t="s">
        <v>95</v>
      </c>
      <c r="F35" s="1">
        <f>MIN(F$2:F$33)</f>
        <v>514.19178082191695</v>
      </c>
      <c r="G35" t="str">
        <f>INDEX(G$2:G$33,MATCH(F35,F$2:F$33))</f>
        <v>Variations on a Theme</v>
      </c>
    </row>
    <row r="36" spans="1:11">
      <c r="E36" t="s">
        <v>96</v>
      </c>
      <c r="F36" s="1">
        <f>MAX(F$2:F$33)</f>
        <v>202214.84819357799</v>
      </c>
      <c r="G36" t="str">
        <f>INDEX(G$2:G$33,MATCH(F36,F$2:F$33))</f>
        <v>Concerto no. 3 2nd and 3rd Movements</v>
      </c>
    </row>
    <row r="37" spans="1:11">
      <c r="E37" t="s">
        <v>97</v>
      </c>
      <c r="F37" s="1">
        <f>LARGE(F2:F33,2)</f>
        <v>109410.14503373799</v>
      </c>
      <c r="G37" t="str">
        <f>INDEX(G$2:G$33,MATCH(F37,F$2:F$33))</f>
        <v>Concerto Opus 36 1st Movement</v>
      </c>
    </row>
    <row r="38" spans="1:11">
      <c r="F38" s="1">
        <f>SMALL(F2:F33,2)</f>
        <v>535.21621621621603</v>
      </c>
      <c r="G38" t="s">
        <v>5</v>
      </c>
    </row>
  </sheetData>
  <mergeCells count="10">
    <mergeCell ref="D22:D23"/>
    <mergeCell ref="D24:D26"/>
    <mergeCell ref="D27:D29"/>
    <mergeCell ref="D30:D33"/>
    <mergeCell ref="D2:D4"/>
    <mergeCell ref="D5:D7"/>
    <mergeCell ref="D8:D11"/>
    <mergeCell ref="D12:D14"/>
    <mergeCell ref="D15:D17"/>
    <mergeCell ref="D18:D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F15" sqref="F15"/>
    </sheetView>
  </sheetViews>
  <sheetFormatPr baseColWidth="10" defaultRowHeight="15" x14ac:dyDescent="0"/>
  <sheetData>
    <row r="2" spans="2:4">
      <c r="B2" t="s">
        <v>55</v>
      </c>
      <c r="D2">
        <v>1019.97573333333</v>
      </c>
    </row>
    <row r="3" spans="2:4">
      <c r="B3" t="s">
        <v>56</v>
      </c>
      <c r="D3">
        <v>535.21621621621603</v>
      </c>
    </row>
    <row r="4" spans="2:4">
      <c r="B4" t="s">
        <v>57</v>
      </c>
      <c r="D4">
        <v>37601.388428372498</v>
      </c>
    </row>
    <row r="5" spans="2:4">
      <c r="B5" t="s">
        <v>58</v>
      </c>
      <c r="D5">
        <v>59215.261829363699</v>
      </c>
    </row>
    <row r="6" spans="2:4">
      <c r="B6" t="s">
        <v>59</v>
      </c>
      <c r="D6">
        <v>202214.84819357799</v>
      </c>
    </row>
    <row r="7" spans="2:4">
      <c r="B7" t="s">
        <v>60</v>
      </c>
      <c r="D7">
        <v>646.79999999999995</v>
      </c>
    </row>
    <row r="8" spans="2:4">
      <c r="B8" t="s">
        <v>61</v>
      </c>
      <c r="D8">
        <v>16344.719981735099</v>
      </c>
    </row>
    <row r="9" spans="2:4">
      <c r="B9" t="s">
        <v>62</v>
      </c>
      <c r="D9">
        <v>551.30357142857099</v>
      </c>
    </row>
    <row r="10" spans="2:4">
      <c r="B10" t="s">
        <v>63</v>
      </c>
      <c r="D10">
        <v>1546.4742857142801</v>
      </c>
    </row>
    <row r="11" spans="2:4">
      <c r="B11" t="s">
        <v>64</v>
      </c>
      <c r="D11">
        <v>15123.199865479701</v>
      </c>
    </row>
    <row r="12" spans="2:4">
      <c r="B12" t="s">
        <v>65</v>
      </c>
      <c r="D12">
        <v>14250.7323706896</v>
      </c>
    </row>
    <row r="13" spans="2:4">
      <c r="B13" t="s">
        <v>66</v>
      </c>
      <c r="D13">
        <v>11433.8131455399</v>
      </c>
    </row>
    <row r="14" spans="2:4">
      <c r="B14" t="s">
        <v>67</v>
      </c>
      <c r="D14">
        <v>887.84347826086798</v>
      </c>
    </row>
    <row r="15" spans="2:4">
      <c r="B15" t="s">
        <v>68</v>
      </c>
      <c r="D15">
        <v>109410.14503373799</v>
      </c>
    </row>
    <row r="16" spans="2:4">
      <c r="B16" t="s">
        <v>69</v>
      </c>
      <c r="D16">
        <v>1020.793125</v>
      </c>
    </row>
    <row r="17" spans="2:4">
      <c r="B17" t="s">
        <v>70</v>
      </c>
      <c r="D17">
        <v>36076.391025145</v>
      </c>
    </row>
    <row r="18" spans="2:4">
      <c r="B18" t="s">
        <v>71</v>
      </c>
      <c r="D18">
        <v>639.25612903225897</v>
      </c>
    </row>
    <row r="19" spans="2:4">
      <c r="B19" t="s">
        <v>72</v>
      </c>
      <c r="D19">
        <v>9464.1992307691999</v>
      </c>
    </row>
    <row r="20" spans="2:4">
      <c r="B20" t="s">
        <v>73</v>
      </c>
      <c r="D20">
        <v>10053.210036540801</v>
      </c>
    </row>
    <row r="21" spans="2:4">
      <c r="B21" t="s">
        <v>74</v>
      </c>
      <c r="D21">
        <v>14072.689660338199</v>
      </c>
    </row>
    <row r="22" spans="2:4">
      <c r="B22" t="s">
        <v>75</v>
      </c>
      <c r="D22">
        <v>4878.22716777407</v>
      </c>
    </row>
    <row r="23" spans="2:4">
      <c r="B23" t="s">
        <v>76</v>
      </c>
      <c r="D23">
        <v>46079.250702444297</v>
      </c>
    </row>
    <row r="24" spans="2:4">
      <c r="B24" t="s">
        <v>77</v>
      </c>
      <c r="D24">
        <v>11040.1588744542</v>
      </c>
    </row>
    <row r="25" spans="2:4">
      <c r="B25" t="s">
        <v>78</v>
      </c>
      <c r="D25">
        <v>51606.374351382001</v>
      </c>
    </row>
    <row r="26" spans="2:4">
      <c r="B26" t="s">
        <v>79</v>
      </c>
      <c r="D26">
        <v>41135.230425815003</v>
      </c>
    </row>
    <row r="27" spans="2:4">
      <c r="B27" t="s">
        <v>80</v>
      </c>
      <c r="D27">
        <v>26753.3227707808</v>
      </c>
    </row>
    <row r="28" spans="2:4">
      <c r="B28" t="s">
        <v>81</v>
      </c>
      <c r="D28">
        <v>8176.8328541187102</v>
      </c>
    </row>
    <row r="29" spans="2:4">
      <c r="B29" t="s">
        <v>82</v>
      </c>
      <c r="D29">
        <v>15339.2669023255</v>
      </c>
    </row>
    <row r="30" spans="2:4">
      <c r="B30" t="s">
        <v>83</v>
      </c>
      <c r="D30">
        <v>2326.8744186046501</v>
      </c>
    </row>
    <row r="31" spans="2:4">
      <c r="B31" t="s">
        <v>84</v>
      </c>
      <c r="D31">
        <v>514.19178082191695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Datasheet</vt:lpstr>
      <vt:lpstr>Sheet2</vt:lpstr>
      <vt:lpstr>GradeComplexity</vt:lpstr>
      <vt:lpstr>AveGradeComplexityScaled</vt:lpstr>
      <vt:lpstr>AveGradeComplexity</vt:lpstr>
      <vt:lpstr>AveGradeComplexityTrendline</vt:lpstr>
      <vt:lpstr>AveComplexityOverGrade</vt:lpstr>
      <vt:lpstr>AllPiecesLinearRegression</vt:lpstr>
      <vt:lpstr>AverageLinearRegression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2015-03-31T21:55:03Z</dcterms:created>
  <dcterms:modified xsi:type="dcterms:W3CDTF">2015-06-25T18:00:21Z</dcterms:modified>
</cp:coreProperties>
</file>