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i_Tserakhau\Desktop\"/>
    </mc:Choice>
  </mc:AlternateContent>
  <bookViews>
    <workbookView xWindow="0" yWindow="0" windowWidth="28800" windowHeight="12615" activeTab="4"/>
  </bookViews>
  <sheets>
    <sheet name="new costs" sheetId="2" r:id="rId1"/>
    <sheet name="costs" sheetId="4" r:id="rId2"/>
    <sheet name="price" sheetId="3" r:id="rId3"/>
    <sheet name="npv" sheetId="5" r:id="rId4"/>
    <sheet name="результ показатели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" i="6" l="1"/>
  <c r="D32" i="6"/>
  <c r="D33" i="6"/>
  <c r="D34" i="6"/>
  <c r="D35" i="6"/>
  <c r="D36" i="6"/>
  <c r="D30" i="6"/>
  <c r="C35" i="6"/>
  <c r="C34" i="6"/>
  <c r="C31" i="6"/>
  <c r="C32" i="6"/>
  <c r="C33" i="6"/>
  <c r="C36" i="6"/>
  <c r="F24" i="6"/>
  <c r="B2" i="6"/>
  <c r="C30" i="6"/>
  <c r="F23" i="6"/>
  <c r="B20" i="6"/>
  <c r="F20" i="6" s="1"/>
  <c r="B19" i="6"/>
  <c r="F19" i="6" s="1"/>
  <c r="B18" i="6"/>
  <c r="F18" i="6" s="1"/>
  <c r="B17" i="6"/>
  <c r="B21" i="6"/>
  <c r="F21" i="6" s="1"/>
  <c r="B16" i="6"/>
  <c r="F16" i="6" s="1"/>
  <c r="C11" i="5" l="1"/>
  <c r="B5" i="2"/>
  <c r="C10" i="2" s="1"/>
  <c r="E10" i="2" s="1"/>
  <c r="F22" i="6"/>
  <c r="F25" i="6"/>
  <c r="F17" i="6"/>
  <c r="C12" i="5"/>
  <c r="C14" i="5"/>
  <c r="C10" i="5"/>
  <c r="T3" i="2"/>
  <c r="T4" i="2" s="1"/>
  <c r="B6" i="2" s="1"/>
  <c r="D2" i="5"/>
  <c r="D3" i="5"/>
  <c r="K5" i="5" s="1"/>
  <c r="J5" i="5" s="1"/>
  <c r="C15" i="5"/>
  <c r="C13" i="5"/>
  <c r="D4" i="5"/>
  <c r="J62" i="3"/>
  <c r="C55" i="3"/>
  <c r="C56" i="3"/>
  <c r="C57" i="3"/>
  <c r="C58" i="3"/>
  <c r="C59" i="3"/>
  <c r="C54" i="3"/>
  <c r="D55" i="3"/>
  <c r="D56" i="3"/>
  <c r="D57" i="3"/>
  <c r="D58" i="3"/>
  <c r="D59" i="3"/>
  <c r="D54" i="3"/>
  <c r="X2" i="5"/>
  <c r="P3" i="5"/>
  <c r="P4" i="5"/>
  <c r="P2" i="5"/>
  <c r="B11" i="5"/>
  <c r="B12" i="5"/>
  <c r="B13" i="5"/>
  <c r="B14" i="5"/>
  <c r="B10" i="5"/>
  <c r="E4" i="2"/>
  <c r="V17" i="2"/>
  <c r="Z19" i="2"/>
  <c r="Y11" i="2" s="1"/>
  <c r="Y19" i="2"/>
  <c r="Y12" i="2" s="1"/>
  <c r="X19" i="2"/>
  <c r="Y13" i="2" s="1"/>
  <c r="W19" i="2"/>
  <c r="Y14" i="2" s="1"/>
  <c r="V19" i="2"/>
  <c r="Y15" i="2" s="1"/>
  <c r="U19" i="2"/>
  <c r="AB19" i="2"/>
  <c r="E37" i="4"/>
  <c r="C11" i="4"/>
  <c r="C9" i="4" s="1"/>
  <c r="C10" i="4"/>
  <c r="B10" i="4"/>
  <c r="C8" i="4"/>
  <c r="T6" i="2"/>
  <c r="B8" i="2" s="1"/>
  <c r="O4" i="2"/>
  <c r="M4" i="2"/>
  <c r="K4" i="2"/>
  <c r="I4" i="2"/>
  <c r="G4" i="2"/>
  <c r="F4" i="2"/>
  <c r="G19" i="6" l="1"/>
  <c r="B12" i="2"/>
  <c r="D12" i="2" s="1"/>
  <c r="E16" i="2"/>
  <c r="G17" i="6"/>
  <c r="G16" i="6"/>
  <c r="G21" i="6"/>
  <c r="G23" i="6"/>
  <c r="G25" i="6"/>
  <c r="G20" i="6"/>
  <c r="G18" i="6"/>
  <c r="G22" i="6"/>
  <c r="G24" i="6"/>
  <c r="B16" i="2"/>
  <c r="D5" i="5"/>
  <c r="D6" i="5" s="1"/>
  <c r="L2" i="5" s="1"/>
  <c r="K9" i="5" s="1"/>
  <c r="C16" i="2"/>
  <c r="J2" i="5"/>
  <c r="I2" i="5" s="1"/>
  <c r="F16" i="2"/>
  <c r="B11" i="2"/>
  <c r="D16" i="2"/>
  <c r="K4" i="5"/>
  <c r="J4" i="5" s="1"/>
  <c r="U3" i="2"/>
  <c r="O4" i="5"/>
  <c r="O10" i="2"/>
  <c r="K10" i="2"/>
  <c r="M10" i="2"/>
  <c r="I10" i="2"/>
  <c r="G10" i="2"/>
  <c r="B10" i="2"/>
  <c r="D10" i="2" s="1"/>
  <c r="G16" i="2"/>
  <c r="I16" i="2"/>
  <c r="K16" i="2"/>
  <c r="Y16" i="2"/>
  <c r="M16" i="2"/>
  <c r="B7" i="2"/>
  <c r="F7" i="2" s="1"/>
  <c r="O16" i="2"/>
  <c r="F6" i="2"/>
  <c r="D6" i="2"/>
  <c r="F8" i="2"/>
  <c r="D8" i="2"/>
  <c r="U6" i="2"/>
  <c r="C8" i="2" s="1"/>
  <c r="E8" i="2" s="1"/>
  <c r="F12" i="2" l="1"/>
  <c r="K14" i="5"/>
  <c r="K6" i="5"/>
  <c r="K11" i="5"/>
  <c r="K3" i="5"/>
  <c r="J3" i="5" s="1"/>
  <c r="I3" i="5" s="1"/>
  <c r="I4" i="5" s="1"/>
  <c r="I5" i="5" s="1"/>
  <c r="K12" i="5"/>
  <c r="F10" i="2"/>
  <c r="O3" i="5"/>
  <c r="K10" i="5"/>
  <c r="K8" i="5"/>
  <c r="K13" i="5"/>
  <c r="K7" i="5"/>
  <c r="C11" i="2"/>
  <c r="C12" i="2"/>
  <c r="U4" i="2"/>
  <c r="C6" i="2" s="1"/>
  <c r="U7" i="2" s="1"/>
  <c r="D7" i="2"/>
  <c r="O8" i="2"/>
  <c r="G8" i="2"/>
  <c r="K8" i="2"/>
  <c r="M8" i="2"/>
  <c r="I8" i="2"/>
  <c r="T7" i="2"/>
  <c r="O2" i="5" l="1"/>
  <c r="Q2" i="5" s="1"/>
  <c r="Q3" i="5" s="1"/>
  <c r="Q4" i="5" s="1"/>
  <c r="E6" i="2"/>
  <c r="K6" i="2"/>
  <c r="G6" i="2"/>
  <c r="C7" i="2"/>
  <c r="M6" i="2"/>
  <c r="O6" i="2"/>
  <c r="I6" i="2"/>
  <c r="E12" i="2"/>
  <c r="I12" i="2"/>
  <c r="K12" i="2"/>
  <c r="M12" i="2"/>
  <c r="C13" i="2"/>
  <c r="G12" i="2"/>
  <c r="O12" i="2"/>
  <c r="B13" i="2"/>
  <c r="U2" i="5" l="1"/>
  <c r="W2" i="5" s="1"/>
  <c r="V3" i="5" s="1"/>
  <c r="X3" i="5" s="1"/>
  <c r="E7" i="2"/>
  <c r="I7" i="2"/>
  <c r="M7" i="2"/>
  <c r="K7" i="2"/>
  <c r="G7" i="2"/>
  <c r="O7" i="2"/>
  <c r="E13" i="2"/>
  <c r="I13" i="2"/>
  <c r="K13" i="2"/>
  <c r="M13" i="2"/>
  <c r="G13" i="2"/>
  <c r="O13" i="2"/>
  <c r="F13" i="2"/>
  <c r="D13" i="2"/>
  <c r="F11" i="2"/>
  <c r="F9" i="2" s="1"/>
  <c r="B9" i="2"/>
  <c r="B14" i="2" s="1"/>
  <c r="B15" i="2" s="1"/>
  <c r="D11" i="2"/>
  <c r="D9" i="2" s="1"/>
  <c r="C9" i="2"/>
  <c r="C14" i="2" s="1"/>
  <c r="C15" i="2" s="1"/>
  <c r="W3" i="5" l="1"/>
  <c r="V4" i="5" s="1"/>
  <c r="X4" i="5" s="1"/>
  <c r="D14" i="2"/>
  <c r="D15" i="2" s="1"/>
  <c r="D17" i="2" s="1"/>
  <c r="D18" i="2" s="1"/>
  <c r="D19" i="2" s="1"/>
  <c r="F14" i="2"/>
  <c r="F15" i="2" s="1"/>
  <c r="F17" i="2" s="1"/>
  <c r="F18" i="2" s="1"/>
  <c r="F19" i="2" s="1"/>
  <c r="AC19" i="2"/>
  <c r="W4" i="5" l="1"/>
  <c r="V5" i="5" s="1"/>
  <c r="X5" i="5" s="1"/>
  <c r="O11" i="2"/>
  <c r="O9" i="2" s="1"/>
  <c r="O14" i="2" s="1"/>
  <c r="O15" i="2" s="1"/>
  <c r="O17" i="2" s="1"/>
  <c r="O18" i="2" s="1"/>
  <c r="O19" i="2" s="1"/>
  <c r="E11" i="2"/>
  <c r="E9" i="2" s="1"/>
  <c r="E14" i="2" s="1"/>
  <c r="E15" i="2" s="1"/>
  <c r="E17" i="2" s="1"/>
  <c r="E18" i="2" s="1"/>
  <c r="E19" i="2" s="1"/>
  <c r="I11" i="2"/>
  <c r="G11" i="2"/>
  <c r="G9" i="2" s="1"/>
  <c r="G14" i="2" s="1"/>
  <c r="G15" i="2" s="1"/>
  <c r="G17" i="2" s="1"/>
  <c r="G18" i="2" s="1"/>
  <c r="G19" i="2" s="1"/>
  <c r="M11" i="2"/>
  <c r="M9" i="2" s="1"/>
  <c r="M14" i="2" s="1"/>
  <c r="M15" i="2" s="1"/>
  <c r="M17" i="2" s="1"/>
  <c r="M18" i="2" s="1"/>
  <c r="M19" i="2" s="1"/>
  <c r="K11" i="2"/>
  <c r="K9" i="2" s="1"/>
  <c r="K14" i="2" s="1"/>
  <c r="K15" i="2" s="1"/>
  <c r="K17" i="2" s="1"/>
  <c r="K18" i="2" s="1"/>
  <c r="K19" i="2" s="1"/>
  <c r="I9" i="2"/>
  <c r="I14" i="2" s="1"/>
  <c r="I15" i="2" s="1"/>
  <c r="I17" i="2" s="1"/>
  <c r="I18" i="2" s="1"/>
  <c r="I19" i="2" s="1"/>
  <c r="D11" i="5" l="1"/>
  <c r="E11" i="5" s="1"/>
  <c r="D13" i="5"/>
  <c r="E13" i="5" s="1"/>
  <c r="D12" i="5"/>
  <c r="E12" i="5" s="1"/>
  <c r="D10" i="5"/>
  <c r="E10" i="5" s="1"/>
  <c r="D14" i="5"/>
  <c r="E14" i="5" s="1"/>
  <c r="D15" i="5"/>
  <c r="E15" i="5" s="1"/>
  <c r="W5" i="5"/>
  <c r="V6" i="5" s="1"/>
  <c r="X6" i="5" s="1"/>
  <c r="F12" i="5" l="1"/>
  <c r="G12" i="5"/>
  <c r="F15" i="5"/>
  <c r="G15" i="5"/>
  <c r="F13" i="5"/>
  <c r="G13" i="5"/>
  <c r="F14" i="5"/>
  <c r="G14" i="5"/>
  <c r="F11" i="5"/>
  <c r="G11" i="5"/>
  <c r="F10" i="5"/>
  <c r="G10" i="5"/>
  <c r="W6" i="5"/>
  <c r="V7" i="5" s="1"/>
  <c r="X7" i="5" s="1"/>
  <c r="F16" i="5" l="1"/>
  <c r="L24" i="5" s="1"/>
  <c r="W7" i="5"/>
  <c r="V8" i="5" s="1"/>
  <c r="X8" i="5" s="1"/>
  <c r="L16" i="5" l="1"/>
  <c r="P15" i="5" s="1"/>
  <c r="L18" i="5"/>
  <c r="P17" i="5" s="1"/>
  <c r="L15" i="5"/>
  <c r="L12" i="5"/>
  <c r="L13" i="5"/>
  <c r="J13" i="5" s="1"/>
  <c r="L25" i="5"/>
  <c r="P24" i="5" s="1"/>
  <c r="L19" i="5"/>
  <c r="P18" i="5" s="1"/>
  <c r="L11" i="5"/>
  <c r="P10" i="5" s="1"/>
  <c r="L17" i="5"/>
  <c r="L8" i="5"/>
  <c r="L9" i="5"/>
  <c r="L28" i="5"/>
  <c r="L27" i="5"/>
  <c r="P26" i="5" s="1"/>
  <c r="L23" i="5"/>
  <c r="L14" i="5"/>
  <c r="L6" i="5"/>
  <c r="L22" i="5"/>
  <c r="L26" i="5"/>
  <c r="P25" i="5" s="1"/>
  <c r="L21" i="5"/>
  <c r="L20" i="5"/>
  <c r="P19" i="5" s="1"/>
  <c r="L7" i="5"/>
  <c r="L10" i="5"/>
  <c r="J10" i="5" s="1"/>
  <c r="P23" i="5"/>
  <c r="J24" i="5"/>
  <c r="W8" i="5"/>
  <c r="V9" i="5" s="1"/>
  <c r="X9" i="5" s="1"/>
  <c r="J16" i="5" l="1"/>
  <c r="J18" i="5"/>
  <c r="P12" i="5"/>
  <c r="J19" i="5"/>
  <c r="P22" i="5"/>
  <c r="J23" i="5"/>
  <c r="P9" i="5"/>
  <c r="P6" i="5"/>
  <c r="J7" i="5"/>
  <c r="P21" i="5"/>
  <c r="J22" i="5"/>
  <c r="P16" i="5"/>
  <c r="J17" i="5"/>
  <c r="J11" i="5"/>
  <c r="J6" i="5"/>
  <c r="I6" i="5" s="1"/>
  <c r="P5" i="5"/>
  <c r="Q5" i="5" s="1"/>
  <c r="Q6" i="5" s="1"/>
  <c r="J25" i="5"/>
  <c r="J20" i="5"/>
  <c r="P20" i="5"/>
  <c r="J21" i="5"/>
  <c r="J14" i="5"/>
  <c r="P13" i="5"/>
  <c r="P8" i="5"/>
  <c r="J9" i="5"/>
  <c r="P7" i="5"/>
  <c r="J8" i="5"/>
  <c r="P11" i="5"/>
  <c r="J12" i="5"/>
  <c r="J15" i="5"/>
  <c r="P14" i="5"/>
  <c r="W9" i="5"/>
  <c r="V10" i="5" s="1"/>
  <c r="X10" i="5" s="1"/>
  <c r="Q7" i="5" l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R25" i="5" s="1"/>
  <c r="I7" i="5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W10" i="5"/>
  <c r="V11" i="5" s="1"/>
  <c r="X11" i="5" s="1"/>
  <c r="Q26" i="5" l="1"/>
  <c r="W11" i="5"/>
  <c r="V12" i="5" s="1"/>
  <c r="X12" i="5" s="1"/>
  <c r="R26" i="5" l="1"/>
  <c r="B3" i="6"/>
  <c r="W12" i="5"/>
  <c r="V13" i="5" s="1"/>
  <c r="X13" i="5" s="1"/>
  <c r="B6" i="6" l="1"/>
  <c r="B28" i="6"/>
  <c r="W13" i="5"/>
  <c r="V14" i="5" s="1"/>
  <c r="X14" i="5" s="1"/>
  <c r="W14" i="5" l="1"/>
  <c r="V15" i="5" s="1"/>
  <c r="X15" i="5" s="1"/>
  <c r="W15" i="5" l="1"/>
  <c r="V16" i="5" s="1"/>
  <c r="X16" i="5" s="1"/>
  <c r="W16" i="5" l="1"/>
  <c r="V17" i="5" s="1"/>
  <c r="X17" i="5" s="1"/>
  <c r="W17" i="5" l="1"/>
  <c r="V18" i="5" s="1"/>
  <c r="X18" i="5" s="1"/>
  <c r="W18" i="5" l="1"/>
  <c r="V19" i="5" s="1"/>
  <c r="X19" i="5" s="1"/>
  <c r="W19" i="5" l="1"/>
  <c r="V20" i="5" s="1"/>
  <c r="X20" i="5" s="1"/>
  <c r="W20" i="5" l="1"/>
  <c r="V21" i="5" s="1"/>
  <c r="X21" i="5" s="1"/>
  <c r="W21" i="5" l="1"/>
  <c r="V22" i="5" s="1"/>
  <c r="X22" i="5" s="1"/>
  <c r="W22" i="5" l="1"/>
  <c r="V23" i="5" s="1"/>
  <c r="X23" i="5" s="1"/>
  <c r="W23" i="5" l="1"/>
  <c r="V24" i="5" s="1"/>
  <c r="X24" i="5" s="1"/>
  <c r="W24" i="5" l="1"/>
  <c r="V25" i="5" s="1"/>
  <c r="X25" i="5" s="1"/>
  <c r="W25" i="5" l="1"/>
  <c r="V26" i="5" s="1"/>
  <c r="X26" i="5" s="1"/>
  <c r="W26" i="5" l="1"/>
</calcChain>
</file>

<file path=xl/sharedStrings.xml><?xml version="1.0" encoding="utf-8"?>
<sst xmlns="http://schemas.openxmlformats.org/spreadsheetml/2006/main" count="493" uniqueCount="191">
  <si>
    <t>Сорт</t>
  </si>
  <si>
    <r>
      <t>Цена за м</t>
    </r>
    <r>
      <rPr>
        <b/>
        <vertAlign val="superscript"/>
        <sz val="12"/>
        <color rgb="FF333333"/>
        <rFont val="Times New Roman"/>
        <family val="1"/>
        <charset val="204"/>
      </rPr>
      <t>3</t>
    </r>
    <r>
      <rPr>
        <b/>
        <sz val="12"/>
        <color rgb="FF333333"/>
        <rFont val="Times New Roman"/>
        <family val="1"/>
        <charset val="204"/>
      </rPr>
      <t>, долл. (ОПТ)</t>
    </r>
  </si>
  <si>
    <t>Объем производства</t>
  </si>
  <si>
    <t>Примерная прибыль, долл.</t>
  </si>
  <si>
    <t>Время сушки</t>
  </si>
  <si>
    <t>«Экспорт» 16%</t>
  </si>
  <si>
    <t>118946,15</t>
  </si>
  <si>
    <t>«Экстра» 18%</t>
  </si>
  <si>
    <t>856386,50</t>
  </si>
  <si>
    <t>Сорт A 20%</t>
  </si>
  <si>
    <t>243548,23</t>
  </si>
  <si>
    <t>Сорт AB 22%</t>
  </si>
  <si>
    <t>298553,63</t>
  </si>
  <si>
    <t>Сорт B 24%</t>
  </si>
  <si>
    <t>440295,55</t>
  </si>
  <si>
    <t>Сорт C 26%</t>
  </si>
  <si>
    <t>322688,07</t>
  </si>
  <si>
    <t>Статьи затрат</t>
  </si>
  <si>
    <t>Отчисления на социальные нужды</t>
  </si>
  <si>
    <t>Амортизация</t>
  </si>
  <si>
    <t>Расходы по содержанию и эксплуатации машин и оборудования</t>
  </si>
  <si>
    <t>Цеховые расходы</t>
  </si>
  <si>
    <t>Цеховая себестоимость</t>
  </si>
  <si>
    <t>До</t>
  </si>
  <si>
    <t>После</t>
  </si>
  <si>
    <t>Затраты по сортам</t>
  </si>
  <si>
    <r>
      <t>Израсходовано сырья,  м</t>
    </r>
    <r>
      <rPr>
        <vertAlign val="superscript"/>
        <sz val="10"/>
        <color rgb="FF000000"/>
        <rFont val="Verdana"/>
        <family val="2"/>
        <charset val="204"/>
      </rPr>
      <t>3</t>
    </r>
  </si>
  <si>
    <t>Затраты итого</t>
  </si>
  <si>
    <t>Оплата труда производственных рабочих, тыс. руб.</t>
  </si>
  <si>
    <t>Стоимость сырья, тыс. руб.</t>
  </si>
  <si>
    <t>Приложение 1</t>
  </si>
  <si>
    <t>Сведения о выполнении планов за январь-декабрь 2012 г.</t>
  </si>
  <si>
    <t>по ГЛХУ "Горецкий лесхоз"</t>
  </si>
  <si>
    <t>Наименование показателя</t>
  </si>
  <si>
    <t>Ед.изм.</t>
  </si>
  <si>
    <t>2012  г.</t>
  </si>
  <si>
    <t>2011  г.</t>
  </si>
  <si>
    <t>% / откл. к</t>
  </si>
  <si>
    <t>план</t>
  </si>
  <si>
    <t>факт.вып.</t>
  </si>
  <si>
    <t>факт</t>
  </si>
  <si>
    <t>плану</t>
  </si>
  <si>
    <t>пр.году</t>
  </si>
  <si>
    <t>Объем производства продукции в фактических ценах</t>
  </si>
  <si>
    <t>млн.руб.</t>
  </si>
  <si>
    <t>Объем производства продукции в сопоставимых ценах</t>
  </si>
  <si>
    <t>Себестоимость товарной продукции</t>
  </si>
  <si>
    <t>в т.ч. материальные затраты</t>
  </si>
  <si>
    <t>х</t>
  </si>
  <si>
    <t>удельный вес материальных затрат</t>
  </si>
  <si>
    <t>%</t>
  </si>
  <si>
    <t>Объем производства продукции в сопоставимых ценах по лесозаготовкам</t>
  </si>
  <si>
    <t>Объем производства продукции в сопоставимых ценах по лесопилению</t>
  </si>
  <si>
    <t>Выручка от реализации продукции, работ, услуг (без налогов)</t>
  </si>
  <si>
    <t>Себестоимость реализованной продукции, работ, услуг</t>
  </si>
  <si>
    <t>Прибыль от реализации продукции работ, услуг</t>
  </si>
  <si>
    <t>Рентабельность реализованной продукции, работ, услуг</t>
  </si>
  <si>
    <t>Чистая прибыль</t>
  </si>
  <si>
    <t>Выручка от реализации продукции на внутренний рынок</t>
  </si>
  <si>
    <t>Себестоимость реализованной  на внутренний рынок  продукции</t>
  </si>
  <si>
    <t>Рентабельность реализованной  на внутренний рынок  продукции</t>
  </si>
  <si>
    <t>Выручка от реализации продукции на экспорт</t>
  </si>
  <si>
    <t>Себестоимость реализованной  на экспорт  продукции</t>
  </si>
  <si>
    <t>Рентабельность реализованной  на экспорт  продукции</t>
  </si>
  <si>
    <t>Выручка от реализации продукции лесозаготовок</t>
  </si>
  <si>
    <t>Себестоимость реализованной продукции лесозаготовок</t>
  </si>
  <si>
    <t>Рентабельность реализованной  продукции лесозаготовок</t>
  </si>
  <si>
    <t>Выручка от реализации продукции лесопиления</t>
  </si>
  <si>
    <t>Себестоимость реализованной продукции лесопиления</t>
  </si>
  <si>
    <t>Рентабельность реализованной  продукции лесопиления</t>
  </si>
  <si>
    <t>Выручка от реализации  прочей продукции</t>
  </si>
  <si>
    <t>*</t>
  </si>
  <si>
    <t>Себестоимость реализованной  прочей продукции</t>
  </si>
  <si>
    <t>Рентабельность реализованной прочей  продукции</t>
  </si>
  <si>
    <t>Стоимость запасов готовой продукции в фактических ценах на конец периода</t>
  </si>
  <si>
    <t>Отношение запасов  готовой продукции к среднемесячному объему производства</t>
  </si>
  <si>
    <t>Численность ППП</t>
  </si>
  <si>
    <t>чел.</t>
  </si>
  <si>
    <t>Выработка на 1 работника ППП  в сопоставимых ценах</t>
  </si>
  <si>
    <t>Рост производительности труда в сопоставимых ценах</t>
  </si>
  <si>
    <t>Выработка на 1 работника ППП  в действующих ценах</t>
  </si>
  <si>
    <t>Рост производительности труда в действующих ценах</t>
  </si>
  <si>
    <t>Объем производства продукции в действующих ценах по лесопилению</t>
  </si>
  <si>
    <t>Себестоимость товарной продукции  по лесопилению</t>
  </si>
  <si>
    <t>Рентабельность товарной продукции по лесопилению</t>
  </si>
  <si>
    <t>Среднемесячная заработная плата в деревообрабатывающих проризводствах</t>
  </si>
  <si>
    <t>тыс.руб.</t>
  </si>
  <si>
    <t>Директор лесхоза</t>
  </si>
  <si>
    <t>Ракицкий А.А.</t>
  </si>
  <si>
    <t xml:space="preserve"> </t>
  </si>
  <si>
    <t>Начальник ПЭО</t>
  </si>
  <si>
    <t>Терехова С.В.</t>
  </si>
  <si>
    <t>Израсходовано сырья,  тыс.руб</t>
  </si>
  <si>
    <t>Итого на м3, тыс. руб.</t>
  </si>
  <si>
    <t>Материальные затраты в том числе:</t>
  </si>
  <si>
    <t>ТЭР</t>
  </si>
  <si>
    <t>Итого на м3,долл.</t>
  </si>
  <si>
    <t>-----</t>
  </si>
  <si>
    <t>Коэф расходования</t>
  </si>
  <si>
    <t>Маркетинговые расходы</t>
  </si>
  <si>
    <t>Трансортные расходы</t>
  </si>
  <si>
    <t>Себестоимость</t>
  </si>
  <si>
    <t>Технико-экономический параметр</t>
  </si>
  <si>
    <t>Текущая сушилка</t>
  </si>
  <si>
    <t>VACUUM-E</t>
  </si>
  <si>
    <t>Цена камеры, долл (все затраты)</t>
  </si>
  <si>
    <t>-</t>
  </si>
  <si>
    <t>130 000</t>
  </si>
  <si>
    <t>Годовая амортизация, долл (при нормативе 7,5% в год)</t>
  </si>
  <si>
    <t>Объём загрузки, м³</t>
  </si>
  <si>
    <t>Время цикла, час</t>
  </si>
  <si>
    <t>2,72</t>
  </si>
  <si>
    <t>в том числе: </t>
  </si>
  <si>
    <t>-прогрев</t>
  </si>
  <si>
    <t>1,2</t>
  </si>
  <si>
    <t>- сушка</t>
  </si>
  <si>
    <t>-охлаждение</t>
  </si>
  <si>
    <t>0,24</t>
  </si>
  <si>
    <t>-загрузка, выгрузка, техническое обслуживание</t>
  </si>
  <si>
    <t>0,08</t>
  </si>
  <si>
    <t>Количество часов работы в год (365дн*24 часа)</t>
  </si>
  <si>
    <t>Годовое количество циклов сушки</t>
  </si>
  <si>
    <t>Годовая производительность камеры, м³</t>
  </si>
  <si>
    <t>Часовое потребление электроэнергии, кВт</t>
  </si>
  <si>
    <t>16,1</t>
  </si>
  <si>
    <t>Время работы вентиляторов во время цикла сушки, час</t>
  </si>
  <si>
    <t>Годовой расход электроэнергии, кВт*час</t>
  </si>
  <si>
    <t>Затраты на электроэнергию, долл в год (при цене 0,13 долл/кВт*час)</t>
  </si>
  <si>
    <t>6105,84</t>
  </si>
  <si>
    <t>Годовой расход тепловой энергии, кВт</t>
  </si>
  <si>
    <t>Стоимость тепловой энергии (по тарифам энергокомпаний), долл/мВт</t>
  </si>
  <si>
    <t>1,31</t>
  </si>
  <si>
    <t>Затраты на тепловую энергию, долл в год</t>
  </si>
  <si>
    <t>ФОТ операторов (2 чел*550 долл/мес), долл/год</t>
  </si>
  <si>
    <t>Статья затрат</t>
  </si>
  <si>
    <t>Кол-во</t>
  </si>
  <si>
    <t>Цена за штуку</t>
  </si>
  <si>
    <t>Итоговая стоимость</t>
  </si>
  <si>
    <t>4 шт</t>
  </si>
  <si>
    <t>ФОТ</t>
  </si>
  <si>
    <t> -</t>
  </si>
  <si>
    <t>Аренда строительного оборудования для монтажа/демонтажа</t>
  </si>
  <si>
    <t>20 дней</t>
  </si>
  <si>
    <t>Непредвиденные расходы</t>
  </si>
  <si>
    <t>5% суммы</t>
  </si>
  <si>
    <t>Итого</t>
  </si>
  <si>
    <t>месяц</t>
  </si>
  <si>
    <t>итог</t>
  </si>
  <si>
    <t>расход</t>
  </si>
  <si>
    <t>доход</t>
  </si>
  <si>
    <t>Объем выпуска</t>
  </si>
  <si>
    <t>Цена</t>
  </si>
  <si>
    <t>Прибыль с куба</t>
  </si>
  <si>
    <t>Итого прибыль</t>
  </si>
  <si>
    <t>Cash flow</t>
  </si>
  <si>
    <t>Вложения</t>
  </si>
  <si>
    <t>NPV</t>
  </si>
  <si>
    <r>
      <t>Цена за м</t>
    </r>
    <r>
      <rPr>
        <b/>
        <vertAlign val="superscript"/>
        <sz val="12"/>
        <color rgb="FF333333"/>
        <rFont val="Times New Roman"/>
        <family val="1"/>
        <charset val="204"/>
      </rPr>
      <t>3</t>
    </r>
    <r>
      <rPr>
        <b/>
        <sz val="12"/>
        <color rgb="FF333333"/>
        <rFont val="Times New Roman"/>
        <family val="1"/>
        <charset val="204"/>
      </rPr>
      <t>, рос.руб. (ОПТ)</t>
    </r>
  </si>
  <si>
    <r>
      <t>Цена за м</t>
    </r>
    <r>
      <rPr>
        <b/>
        <vertAlign val="superscript"/>
        <sz val="12"/>
        <color rgb="FF333333"/>
        <rFont val="Times New Roman"/>
        <family val="1"/>
        <charset val="204"/>
      </rPr>
      <t>3</t>
    </r>
    <r>
      <rPr>
        <b/>
        <sz val="12"/>
        <color rgb="FF333333"/>
        <rFont val="Times New Roman"/>
        <family val="1"/>
        <charset val="204"/>
      </rPr>
      <t>, тыс.бел.руб. (ОПТ)</t>
    </r>
  </si>
  <si>
    <t>Показатель</t>
  </si>
  <si>
    <t>Значение</t>
  </si>
  <si>
    <t>Чистый доход (NV), долл.</t>
  </si>
  <si>
    <t>Внутренняя норма доходности (IRR), %.</t>
  </si>
  <si>
    <t>Срок окупаемости (CO), мес.</t>
  </si>
  <si>
    <t>Рентабельность инвестиций (PI), %</t>
  </si>
  <si>
    <t>Курс доллара</t>
  </si>
  <si>
    <t>Курс рос. Рубля</t>
  </si>
  <si>
    <t>Ставка дисконтирования</t>
  </si>
  <si>
    <t>Стоимость бруса</t>
  </si>
  <si>
    <t>Рентабельность</t>
  </si>
  <si>
    <t>Чистый дисконтированный доход (NPV), тыс. руб.</t>
  </si>
  <si>
    <t>Центр плана(значения параметров)</t>
  </si>
  <si>
    <t>NPV (-1%)</t>
  </si>
  <si>
    <t>NPV (+1%)</t>
  </si>
  <si>
    <t>NPV (центр плана)</t>
  </si>
  <si>
    <t>коэффициенты влияния</t>
  </si>
  <si>
    <t>Относительное влияние</t>
  </si>
  <si>
    <t>Параметр</t>
  </si>
  <si>
    <t>62,14%</t>
  </si>
  <si>
    <t xml:space="preserve">Долл.↑ Рубль↓ Брус↓ </t>
  </si>
  <si>
    <t>изменение</t>
  </si>
  <si>
    <t xml:space="preserve">Долл.↑ Рубль↑ Брус↓ </t>
  </si>
  <si>
    <t xml:space="preserve">Долл.↓ Рубль↓ Брус↓ </t>
  </si>
  <si>
    <t xml:space="preserve">Долл.↓ Рубль↑  Брус↓ </t>
  </si>
  <si>
    <t>Долл.↓ Рубль↑ Брус ↑</t>
  </si>
  <si>
    <t xml:space="preserve">Долл.↑ Рубль↑ Брус↑ </t>
  </si>
  <si>
    <t>Долл.↓ Рубль↓ Брус ↑</t>
  </si>
  <si>
    <t>Рост</t>
  </si>
  <si>
    <t>Пад</t>
  </si>
  <si>
    <t>Сценарий</t>
  </si>
  <si>
    <t>17 мес.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</si>
</sst>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333333"/>
      <name val="Times New Roman"/>
      <family val="1"/>
      <charset val="204"/>
    </font>
    <font>
      <b/>
      <vertAlign val="superscript"/>
      <sz val="12"/>
      <color rgb="FF333333"/>
      <name val="Times New Roman"/>
      <family val="1"/>
      <charset val="204"/>
    </font>
    <font>
      <sz val="12"/>
      <color rgb="FF333333"/>
      <name val="Times New Roman"/>
      <family val="1"/>
      <charset val="204"/>
    </font>
    <font>
      <sz val="10"/>
      <color rgb="FF000000"/>
      <name val="Verdana"/>
      <family val="2"/>
      <charset val="204"/>
    </font>
    <font>
      <vertAlign val="superscript"/>
      <sz val="10"/>
      <color rgb="FF000000"/>
      <name val="Verdana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Times New Roman Cyr"/>
      <family val="1"/>
      <charset val="204"/>
    </font>
    <font>
      <sz val="10"/>
      <name val="Arial Cyr"/>
      <charset val="204"/>
    </font>
    <font>
      <i/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8" fillId="0" borderId="0"/>
    <xf numFmtId="0" fontId="13" fillId="0" borderId="0"/>
    <xf numFmtId="0" fontId="12" fillId="0" borderId="5">
      <alignment horizontal="left" wrapText="1"/>
    </xf>
  </cellStyleXfs>
  <cellXfs count="9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0" fillId="0" borderId="5" xfId="0" applyBorder="1"/>
    <xf numFmtId="0" fontId="5" fillId="3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3" fontId="0" fillId="0" borderId="0" xfId="0" applyNumberFormat="1"/>
    <xf numFmtId="0" fontId="8" fillId="0" borderId="0" xfId="1"/>
    <xf numFmtId="0" fontId="10" fillId="0" borderId="0" xfId="1" applyFont="1"/>
    <xf numFmtId="0" fontId="9" fillId="0" borderId="5" xfId="2" applyFont="1" applyFill="1" applyBorder="1" applyAlignment="1" applyProtection="1">
      <alignment horizontal="center" vertical="center" wrapText="1"/>
      <protection locked="0"/>
    </xf>
    <xf numFmtId="0" fontId="9" fillId="0" borderId="5" xfId="1" applyFont="1" applyBorder="1" applyAlignment="1" applyProtection="1">
      <alignment horizontal="left" vertical="top" wrapText="1"/>
      <protection locked="0"/>
    </xf>
    <xf numFmtId="0" fontId="9" fillId="0" borderId="5" xfId="1" applyFont="1" applyBorder="1" applyAlignment="1" applyProtection="1">
      <alignment horizontal="center" vertical="top" wrapText="1"/>
      <protection locked="0"/>
    </xf>
    <xf numFmtId="3" fontId="9" fillId="0" borderId="5" xfId="1" applyNumberFormat="1" applyFont="1" applyBorder="1" applyAlignment="1" applyProtection="1">
      <alignment horizontal="center" vertical="center" wrapText="1"/>
      <protection locked="0"/>
    </xf>
    <xf numFmtId="164" fontId="9" fillId="4" borderId="5" xfId="1" applyNumberFormat="1" applyFont="1" applyFill="1" applyBorder="1" applyAlignment="1" applyProtection="1">
      <alignment horizontal="center" vertical="center" wrapText="1"/>
    </xf>
    <xf numFmtId="0" fontId="14" fillId="0" borderId="5" xfId="1" applyFont="1" applyBorder="1" applyAlignment="1" applyProtection="1">
      <alignment horizontal="left" vertical="top" wrapText="1" indent="3"/>
      <protection locked="0"/>
    </xf>
    <xf numFmtId="3" fontId="9" fillId="4" borderId="5" xfId="1" applyNumberFormat="1" applyFont="1" applyFill="1" applyBorder="1" applyAlignment="1" applyProtection="1">
      <alignment horizontal="center" vertical="center" wrapText="1"/>
    </xf>
    <xf numFmtId="164" fontId="9" fillId="0" borderId="5" xfId="1" applyNumberFormat="1" applyFont="1" applyBorder="1" applyAlignment="1" applyProtection="1">
      <alignment horizontal="center" vertical="center" wrapText="1"/>
      <protection locked="0"/>
    </xf>
    <xf numFmtId="0" fontId="9" fillId="0" borderId="5" xfId="1" applyFont="1" applyBorder="1" applyAlignment="1" applyProtection="1">
      <alignment horizontal="center" vertical="center" wrapText="1"/>
      <protection locked="0"/>
    </xf>
    <xf numFmtId="3" fontId="9" fillId="0" borderId="5" xfId="1" applyNumberFormat="1" applyFont="1" applyFill="1" applyBorder="1" applyAlignment="1" applyProtection="1">
      <alignment horizontal="center" vertical="center" wrapText="1"/>
      <protection locked="0"/>
    </xf>
    <xf numFmtId="0" fontId="6" fillId="0" borderId="5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0" fillId="0" borderId="0" xfId="0" applyBorder="1"/>
    <xf numFmtId="2" fontId="6" fillId="0" borderId="5" xfId="0" applyNumberFormat="1" applyFont="1" applyBorder="1" applyAlignment="1">
      <alignment horizontal="center" vertical="center" wrapText="1"/>
    </xf>
    <xf numFmtId="2" fontId="0" fillId="0" borderId="5" xfId="0" applyNumberFormat="1" applyBorder="1"/>
    <xf numFmtId="2" fontId="0" fillId="0" borderId="5" xfId="0" quotePrefix="1" applyNumberFormat="1" applyBorder="1"/>
    <xf numFmtId="2" fontId="0" fillId="0" borderId="0" xfId="0" applyNumberFormat="1"/>
    <xf numFmtId="2" fontId="0" fillId="0" borderId="0" xfId="0" applyNumberFormat="1" applyBorder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3" fontId="2" fillId="0" borderId="4" xfId="0" applyNumberFormat="1" applyFont="1" applyBorder="1" applyAlignment="1">
      <alignment vertical="center" wrapText="1"/>
    </xf>
    <xf numFmtId="2" fontId="2" fillId="0" borderId="4" xfId="0" applyNumberFormat="1" applyFont="1" applyBorder="1" applyAlignment="1">
      <alignment horizontal="justify" vertical="center" wrapText="1"/>
    </xf>
    <xf numFmtId="2" fontId="2" fillId="0" borderId="4" xfId="0" applyNumberFormat="1" applyFont="1" applyBorder="1" applyAlignment="1">
      <alignment vertical="center" wrapText="1"/>
    </xf>
    <xf numFmtId="2" fontId="1" fillId="0" borderId="4" xfId="0" applyNumberFormat="1" applyFont="1" applyBorder="1" applyAlignment="1">
      <alignment vertical="top" wrapText="1"/>
    </xf>
    <xf numFmtId="0" fontId="15" fillId="0" borderId="1" xfId="0" applyFont="1" applyBorder="1" applyAlignment="1">
      <alignment vertical="center"/>
    </xf>
    <xf numFmtId="9" fontId="15" fillId="0" borderId="2" xfId="0" applyNumberFormat="1" applyFont="1" applyBorder="1" applyAlignment="1">
      <alignment horizontal="right" vertic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5" fillId="0" borderId="3" xfId="0" applyFont="1" applyBorder="1" applyAlignment="1">
      <alignment horizontal="justify" vertical="center"/>
    </xf>
    <xf numFmtId="0" fontId="15" fillId="0" borderId="4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17" fillId="0" borderId="4" xfId="0" applyFont="1" applyBorder="1" applyAlignment="1">
      <alignment horizontal="justify" vertical="center"/>
    </xf>
    <xf numFmtId="0" fontId="16" fillId="0" borderId="0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justify" vertical="center" wrapText="1"/>
    </xf>
    <xf numFmtId="0" fontId="2" fillId="3" borderId="5" xfId="0" applyFont="1" applyFill="1" applyBorder="1" applyAlignment="1">
      <alignment horizontal="justify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2" fontId="6" fillId="0" borderId="10" xfId="0" applyNumberFormat="1" applyFont="1" applyBorder="1" applyAlignment="1">
      <alignment horizontal="center" vertical="center" wrapText="1"/>
    </xf>
    <xf numFmtId="2" fontId="6" fillId="0" borderId="12" xfId="0" applyNumberFormat="1" applyFont="1" applyBorder="1" applyAlignment="1">
      <alignment horizontal="center" vertical="center" wrapText="1"/>
    </xf>
    <xf numFmtId="2" fontId="6" fillId="0" borderId="11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justify" vertical="center"/>
    </xf>
    <xf numFmtId="0" fontId="15" fillId="0" borderId="17" xfId="0" applyFont="1" applyBorder="1" applyAlignment="1">
      <alignment horizontal="justify" vertical="center"/>
    </xf>
    <xf numFmtId="0" fontId="15" fillId="0" borderId="2" xfId="0" applyFont="1" applyBorder="1" applyAlignment="1">
      <alignment horizontal="justify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9" fillId="0" borderId="5" xfId="2" applyFont="1" applyFill="1" applyBorder="1" applyAlignment="1" applyProtection="1">
      <alignment horizontal="center" vertical="center" wrapText="1"/>
      <protection locked="0"/>
    </xf>
    <xf numFmtId="0" fontId="11" fillId="0" borderId="0" xfId="1" applyFont="1" applyAlignment="1">
      <alignment horizontal="center"/>
    </xf>
    <xf numFmtId="0" fontId="11" fillId="0" borderId="0" xfId="1" applyFont="1" applyAlignment="1">
      <alignment horizontal="right"/>
    </xf>
    <xf numFmtId="0" fontId="10" fillId="0" borderId="15" xfId="1" applyFont="1" applyBorder="1" applyAlignment="1">
      <alignment horizontal="right"/>
    </xf>
    <xf numFmtId="0" fontId="9" fillId="0" borderId="14" xfId="1" applyFont="1" applyBorder="1" applyAlignment="1" applyProtection="1">
      <alignment horizontal="center" vertical="center" wrapText="1"/>
      <protection locked="0"/>
    </xf>
    <xf numFmtId="0" fontId="9" fillId="0" borderId="13" xfId="1" applyFont="1" applyBorder="1" applyAlignment="1" applyProtection="1">
      <alignment horizontal="center" vertical="center" wrapText="1"/>
      <protection locked="0"/>
    </xf>
    <xf numFmtId="0" fontId="15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right" vertical="center"/>
    </xf>
    <xf numFmtId="0" fontId="0" fillId="0" borderId="5" xfId="0" applyBorder="1" applyAlignment="1">
      <alignment horizontal="center"/>
    </xf>
    <xf numFmtId="0" fontId="15" fillId="0" borderId="5" xfId="0" applyFont="1" applyBorder="1" applyAlignment="1">
      <alignment horizontal="right" vertical="center"/>
    </xf>
    <xf numFmtId="0" fontId="2" fillId="0" borderId="5" xfId="0" applyFont="1" applyBorder="1"/>
    <xf numFmtId="0" fontId="0" fillId="0" borderId="5" xfId="0" applyFill="1" applyBorder="1"/>
    <xf numFmtId="10" fontId="0" fillId="0" borderId="5" xfId="0" applyNumberFormat="1" applyBorder="1"/>
    <xf numFmtId="10" fontId="15" fillId="0" borderId="4" xfId="0" applyNumberFormat="1" applyFont="1" applyBorder="1" applyAlignment="1">
      <alignment horizontal="right" vertical="center"/>
    </xf>
    <xf numFmtId="1" fontId="0" fillId="0" borderId="5" xfId="0" applyNumberFormat="1" applyBorder="1"/>
  </cellXfs>
  <cellStyles count="4">
    <cellStyle name="Normal" xfId="0" builtinId="0"/>
    <cellStyle name="Normal 2" xfId="1"/>
    <cellStyle name="Обычный_свод прилож. №78-79" xfId="2"/>
    <cellStyle name="Табличный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78937007874015"/>
          <c:y val="6.7002770487022439E-2"/>
          <c:w val="0.83187729658792653"/>
          <c:h val="0.82886519393409153"/>
        </c:manualLayout>
      </c:layout>
      <c:areaChart>
        <c:grouping val="standard"/>
        <c:varyColors val="0"/>
        <c:ser>
          <c:idx val="0"/>
          <c:order val="0"/>
          <c:tx>
            <c:strRef>
              <c:f>npv!$H$1</c:f>
              <c:strCache>
                <c:ptCount val="1"/>
                <c:pt idx="0">
                  <c:v>месяц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npv!$H$2:$H$19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</c:ser>
        <c:ser>
          <c:idx val="1"/>
          <c:order val="1"/>
          <c:tx>
            <c:strRef>
              <c:f>npv!$I$1</c:f>
              <c:strCache>
                <c:ptCount val="1"/>
                <c:pt idx="0">
                  <c:v>Cash flow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npv!$I$2:$I$19</c:f>
              <c:numCache>
                <c:formatCode>General</c:formatCode>
                <c:ptCount val="18"/>
                <c:pt idx="0">
                  <c:v>4787640</c:v>
                </c:pt>
                <c:pt idx="1">
                  <c:v>-349492.13442000002</c:v>
                </c:pt>
                <c:pt idx="2">
                  <c:v>-366706.76922000002</c:v>
                </c:pt>
                <c:pt idx="3">
                  <c:v>-383921.40402000002</c:v>
                </c:pt>
                <c:pt idx="4">
                  <c:v>-640015.49527717766</c:v>
                </c:pt>
                <c:pt idx="5">
                  <c:v>-896109.5865343553</c:v>
                </c:pt>
                <c:pt idx="6">
                  <c:v>-1152203.6777915331</c:v>
                </c:pt>
                <c:pt idx="7">
                  <c:v>-1408297.7690487108</c:v>
                </c:pt>
                <c:pt idx="8">
                  <c:v>-1664391.8603058886</c:v>
                </c:pt>
                <c:pt idx="9">
                  <c:v>-1920485.9515630663</c:v>
                </c:pt>
                <c:pt idx="10">
                  <c:v>-2176580.0428202441</c:v>
                </c:pt>
                <c:pt idx="11">
                  <c:v>-2432674.1340774219</c:v>
                </c:pt>
                <c:pt idx="12">
                  <c:v>-2688768.2253345996</c:v>
                </c:pt>
                <c:pt idx="13">
                  <c:v>-2216696.272201377</c:v>
                </c:pt>
                <c:pt idx="14">
                  <c:v>-1744624.3190681546</c:v>
                </c:pt>
                <c:pt idx="15">
                  <c:v>-1272552.3659349321</c:v>
                </c:pt>
                <c:pt idx="16">
                  <c:v>-800480.41280170972</c:v>
                </c:pt>
                <c:pt idx="17">
                  <c:v>-328408.45966848731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725216"/>
        <c:axId val="288725600"/>
      </c:areaChart>
      <c:catAx>
        <c:axId val="28872521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725600"/>
        <c:crosses val="autoZero"/>
        <c:auto val="1"/>
        <c:lblAlgn val="ctr"/>
        <c:lblOffset val="100"/>
        <c:noMultiLvlLbl val="0"/>
      </c:catAx>
      <c:valAx>
        <c:axId val="28872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725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78937007874015"/>
          <c:y val="7.6423519976669588E-2"/>
          <c:w val="0.83187729658792653"/>
          <c:h val="0.89814814814814814"/>
        </c:manualLayout>
      </c:layout>
      <c:areaChart>
        <c:grouping val="standard"/>
        <c:varyColors val="0"/>
        <c:ser>
          <c:idx val="0"/>
          <c:order val="0"/>
          <c:tx>
            <c:strRef>
              <c:f>npv!$N$1</c:f>
              <c:strCache>
                <c:ptCount val="1"/>
                <c:pt idx="0">
                  <c:v>месяц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npv!$N$2:$N$26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val>
        </c:ser>
        <c:ser>
          <c:idx val="1"/>
          <c:order val="1"/>
          <c:tx>
            <c:strRef>
              <c:f>npv!$Q$1</c:f>
              <c:strCache>
                <c:ptCount val="1"/>
                <c:pt idx="0">
                  <c:v>NPV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npv!$Q$2:$Q$26</c:f>
              <c:numCache>
                <c:formatCode>General</c:formatCode>
                <c:ptCount val="25"/>
                <c:pt idx="0">
                  <c:v>-5137132.13442</c:v>
                </c:pt>
                <c:pt idx="1">
                  <c:v>-5153945.0944079999</c:v>
                </c:pt>
                <c:pt idx="2">
                  <c:v>-5170365.7519962797</c:v>
                </c:pt>
                <c:pt idx="3">
                  <c:v>-4730573.7817878183</c:v>
                </c:pt>
                <c:pt idx="4">
                  <c:v>-4301043.624217554</c:v>
                </c:pt>
                <c:pt idx="5">
                  <c:v>-3881535.8369905958</c:v>
                </c:pt>
                <c:pt idx="6">
                  <c:v>-3471816.5647989335</c:v>
                </c:pt>
                <c:pt idx="7">
                  <c:v>-3071657.4089584099</c:v>
                </c:pt>
                <c:pt idx="8">
                  <c:v>-2680835.3000874985</c:v>
                </c:pt>
                <c:pt idx="9">
                  <c:v>-2299132.3737569083</c:v>
                </c:pt>
                <c:pt idx="10">
                  <c:v>-1926335.8490406985</c:v>
                </c:pt>
                <c:pt idx="11">
                  <c:v>-1562237.9099012003</c:v>
                </c:pt>
                <c:pt idx="12">
                  <c:v>-1206635.5893416237</c:v>
                </c:pt>
                <c:pt idx="13">
                  <c:v>-859330.65626177052</c:v>
                </c:pt>
                <c:pt idx="14">
                  <c:v>-520129.5049537805</c:v>
                </c:pt>
                <c:pt idx="15">
                  <c:v>-188843.04717631033</c:v>
                </c:pt>
                <c:pt idx="16">
                  <c:v>134713.3932530189</c:v>
                </c:pt>
                <c:pt idx="17">
                  <c:v>450720.18340566382</c:v>
                </c:pt>
                <c:pt idx="18">
                  <c:v>759353.48178808042</c:v>
                </c:pt>
                <c:pt idx="19">
                  <c:v>1060785.336541574</c:v>
                </c:pt>
                <c:pt idx="20">
                  <c:v>1355183.7813508194</c:v>
                </c:pt>
                <c:pt idx="21">
                  <c:v>1642712.9291145157</c:v>
                </c:pt>
                <c:pt idx="22">
                  <c:v>1923533.0634303924</c:v>
                </c:pt>
                <c:pt idx="23">
                  <c:v>2197800.7279455652</c:v>
                </c:pt>
                <c:pt idx="24">
                  <c:v>2465668.8136220509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515432"/>
        <c:axId val="288750144"/>
      </c:areaChart>
      <c:catAx>
        <c:axId val="28851543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750144"/>
        <c:crosses val="autoZero"/>
        <c:auto val="1"/>
        <c:lblAlgn val="ctr"/>
        <c:lblOffset val="100"/>
        <c:noMultiLvlLbl val="0"/>
      </c:catAx>
      <c:valAx>
        <c:axId val="28875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515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13648293963254"/>
          <c:y val="3.7037037037037035E-2"/>
          <c:w val="0.83953018372703414"/>
          <c:h val="0.8416746864975212"/>
        </c:manualLayout>
      </c:layout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npv!$T$1:$T$26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npv!$X$2:$X$26</c:f>
              <c:numCache>
                <c:formatCode>General</c:formatCode>
                <c:ptCount val="25"/>
                <c:pt idx="0">
                  <c:v>0</c:v>
                </c:pt>
                <c:pt idx="1">
                  <c:v>120258.71886952</c:v>
                </c:pt>
                <c:pt idx="2">
                  <c:v>243323.47451266216</c:v>
                </c:pt>
                <c:pt idx="3">
                  <c:v>369259.74112081097</c:v>
                </c:pt>
                <c:pt idx="4">
                  <c:v>498134.52061648323</c:v>
                </c:pt>
                <c:pt idx="5">
                  <c:v>630016.37830038788</c:v>
                </c:pt>
                <c:pt idx="6">
                  <c:v>764975.47933025029</c:v>
                </c:pt>
                <c:pt idx="7">
                  <c:v>903083.62605080951</c:v>
                </c:pt>
                <c:pt idx="8">
                  <c:v>1044414.2961948484</c:v>
                </c:pt>
                <c:pt idx="9">
                  <c:v>1189042.6819755815</c:v>
                </c:pt>
                <c:pt idx="10">
                  <c:v>1337045.7300911983</c:v>
                </c:pt>
                <c:pt idx="11">
                  <c:v>1488502.1826628463</c:v>
                </c:pt>
                <c:pt idx="12">
                  <c:v>1643492.6191278328</c:v>
                </c:pt>
                <c:pt idx="13">
                  <c:v>1802099.4991103357</c:v>
                </c:pt>
                <c:pt idx="14">
                  <c:v>1964407.2062924302</c:v>
                </c:pt>
                <c:pt idx="15">
                  <c:v>2130502.0933087738</c:v>
                </c:pt>
                <c:pt idx="16">
                  <c:v>2300472.527688832</c:v>
                </c:pt>
                <c:pt idx="17">
                  <c:v>2474408.9388710912</c:v>
                </c:pt>
                <c:pt idx="18">
                  <c:v>2652403.8663142701</c:v>
                </c:pt>
                <c:pt idx="19">
                  <c:v>2834552.0087311231</c:v>
                </c:pt>
                <c:pt idx="20">
                  <c:v>3020950.2744710362</c:v>
                </c:pt>
                <c:pt idx="21">
                  <c:v>3211697.8330782135</c:v>
                </c:pt>
                <c:pt idx="22">
                  <c:v>3406896.1680528917</c:v>
                </c:pt>
                <c:pt idx="23">
                  <c:v>3606649.1308436459</c:v>
                </c:pt>
                <c:pt idx="24">
                  <c:v>3811062.9960995177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852840"/>
        <c:axId val="288853224"/>
      </c:areaChart>
      <c:catAx>
        <c:axId val="2888528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853224"/>
        <c:crosses val="autoZero"/>
        <c:auto val="1"/>
        <c:lblAlgn val="ctr"/>
        <c:lblOffset val="100"/>
        <c:noMultiLvlLbl val="0"/>
      </c:catAx>
      <c:valAx>
        <c:axId val="288853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852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'результ показатели'!$A$16:$A$25</c:f>
              <c:strCache>
                <c:ptCount val="10"/>
                <c:pt idx="0">
                  <c:v>«Экспорт» 16%</c:v>
                </c:pt>
                <c:pt idx="1">
                  <c:v>«Экстра» 18%</c:v>
                </c:pt>
                <c:pt idx="2">
                  <c:v>Сорт A 20%</c:v>
                </c:pt>
                <c:pt idx="3">
                  <c:v>Сорт AB 22%</c:v>
                </c:pt>
                <c:pt idx="4">
                  <c:v>Сорт B 24%</c:v>
                </c:pt>
                <c:pt idx="5">
                  <c:v>Сорт C 26%</c:v>
                </c:pt>
                <c:pt idx="6">
                  <c:v>Курс доллара</c:v>
                </c:pt>
                <c:pt idx="7">
                  <c:v>Курс рос. Рубля</c:v>
                </c:pt>
                <c:pt idx="8">
                  <c:v>Ставка дисконтирования</c:v>
                </c:pt>
                <c:pt idx="9">
                  <c:v>Стоимость бруса</c:v>
                </c:pt>
              </c:strCache>
            </c:strRef>
          </c:cat>
          <c:val>
            <c:numRef>
              <c:f>'результ показатели'!$G$16:$G$25</c:f>
              <c:numCache>
                <c:formatCode>0.00%</c:formatCode>
                <c:ptCount val="10"/>
                <c:pt idx="0">
                  <c:v>1.6347566264429011E-2</c:v>
                </c:pt>
                <c:pt idx="1">
                  <c:v>2.8024399310449609E-2</c:v>
                </c:pt>
                <c:pt idx="2">
                  <c:v>2.3353666092040863E-2</c:v>
                </c:pt>
                <c:pt idx="3">
                  <c:v>0.10275613080498226</c:v>
                </c:pt>
                <c:pt idx="4">
                  <c:v>8.6408564540552943E-2</c:v>
                </c:pt>
                <c:pt idx="5">
                  <c:v>0</c:v>
                </c:pt>
                <c:pt idx="6">
                  <c:v>0.20831891260210117</c:v>
                </c:pt>
                <c:pt idx="7">
                  <c:v>0.18294804156730463</c:v>
                </c:pt>
                <c:pt idx="8">
                  <c:v>6.3272670114717058E-2</c:v>
                </c:pt>
                <c:pt idx="9">
                  <c:v>0.2885700487034224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2768992"/>
        <c:axId val="422771736"/>
      </c:barChart>
      <c:catAx>
        <c:axId val="42276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771736"/>
        <c:crosses val="autoZero"/>
        <c:auto val="1"/>
        <c:lblAlgn val="ctr"/>
        <c:lblOffset val="100"/>
        <c:noMultiLvlLbl val="0"/>
      </c:catAx>
      <c:valAx>
        <c:axId val="422771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768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519112</xdr:colOff>
      <xdr:row>42</xdr:row>
      <xdr:rowOff>138112</xdr:rowOff>
    </xdr:from>
    <xdr:to>
      <xdr:col>15</xdr:col>
      <xdr:colOff>585787</xdr:colOff>
      <xdr:row>57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642937</xdr:colOff>
      <xdr:row>22</xdr:row>
      <xdr:rowOff>14287</xdr:rowOff>
    </xdr:from>
    <xdr:to>
      <xdr:col>13</xdr:col>
      <xdr:colOff>557212</xdr:colOff>
      <xdr:row>36</xdr:row>
      <xdr:rowOff>90487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1814512</xdr:colOff>
      <xdr:row>20</xdr:row>
      <xdr:rowOff>100012</xdr:rowOff>
    </xdr:from>
    <xdr:to>
      <xdr:col>5</xdr:col>
      <xdr:colOff>14287</xdr:colOff>
      <xdr:row>34</xdr:row>
      <xdr:rowOff>176212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195261</xdr:colOff>
      <xdr:row>27</xdr:row>
      <xdr:rowOff>100012</xdr:rowOff>
    </xdr:from>
    <xdr:to>
      <xdr:col>17</xdr:col>
      <xdr:colOff>295274</xdr:colOff>
      <xdr:row>45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"/>
  <sheetViews>
    <sheetView topLeftCell="A2" workbookViewId="0">
      <selection activeCell="B6" sqref="B6"/>
    </sheetView>
  </sheetViews>
  <sheetFormatPr defaultRowHeight="15" x14ac:dyDescent="0.25"/>
  <cols>
    <col min="1" max="1" width="19.5703125" bestFit="1" customWidth="1"/>
    <col min="2" max="2" width="15.140625" bestFit="1" customWidth="1"/>
    <col min="3" max="3" width="18" bestFit="1" customWidth="1"/>
    <col min="4" max="4" width="14.42578125" bestFit="1" customWidth="1"/>
    <col min="5" max="5" width="13.28515625" bestFit="1" customWidth="1"/>
    <col min="6" max="6" width="14.42578125" bestFit="1" customWidth="1"/>
    <col min="7" max="7" width="12" bestFit="1" customWidth="1"/>
    <col min="8" max="8" width="4.5703125" bestFit="1" customWidth="1"/>
    <col min="9" max="9" width="12" bestFit="1" customWidth="1"/>
    <col min="10" max="10" width="4.5703125" bestFit="1" customWidth="1"/>
    <col min="11" max="11" width="12" bestFit="1" customWidth="1"/>
    <col min="12" max="12" width="4.5703125" bestFit="1" customWidth="1"/>
    <col min="13" max="13" width="12" bestFit="1" customWidth="1"/>
    <col min="14" max="14" width="4.5703125" bestFit="1" customWidth="1"/>
    <col min="15" max="15" width="13.28515625" bestFit="1" customWidth="1"/>
    <col min="20" max="20" width="38.42578125" customWidth="1"/>
    <col min="22" max="22" width="22.7109375" bestFit="1" customWidth="1"/>
  </cols>
  <sheetData>
    <row r="1" spans="1:29" x14ac:dyDescent="0.25">
      <c r="A1" s="64" t="s">
        <v>17</v>
      </c>
      <c r="B1" s="57" t="s">
        <v>27</v>
      </c>
      <c r="C1" s="58"/>
      <c r="D1" s="64" t="s">
        <v>25</v>
      </c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T1" s="24" t="s">
        <v>98</v>
      </c>
      <c r="U1" s="30"/>
      <c r="V1" s="30"/>
      <c r="W1" s="30"/>
      <c r="X1" s="25"/>
      <c r="Y1" s="25"/>
      <c r="Z1" s="25"/>
      <c r="AA1" s="25"/>
      <c r="AB1" s="25"/>
      <c r="AC1" s="25"/>
    </row>
    <row r="2" spans="1:29" ht="15.75" x14ac:dyDescent="0.25">
      <c r="A2" s="64"/>
      <c r="B2" s="59"/>
      <c r="C2" s="60"/>
      <c r="D2" s="56" t="s">
        <v>15</v>
      </c>
      <c r="E2" s="56"/>
      <c r="F2" s="56" t="s">
        <v>13</v>
      </c>
      <c r="G2" s="56"/>
      <c r="H2" s="56" t="s">
        <v>11</v>
      </c>
      <c r="I2" s="56"/>
      <c r="J2" s="56" t="s">
        <v>9</v>
      </c>
      <c r="K2" s="56"/>
      <c r="L2" s="56" t="s">
        <v>7</v>
      </c>
      <c r="M2" s="56"/>
      <c r="N2" s="56" t="s">
        <v>5</v>
      </c>
      <c r="O2" s="56"/>
      <c r="T2" s="24">
        <v>130</v>
      </c>
      <c r="U2" s="25"/>
      <c r="V2" s="25"/>
      <c r="W2" s="25"/>
    </row>
    <row r="3" spans="1:29" x14ac:dyDescent="0.25">
      <c r="A3" s="8"/>
      <c r="B3" s="8" t="s">
        <v>23</v>
      </c>
      <c r="C3" s="6" t="s">
        <v>24</v>
      </c>
      <c r="D3" s="8" t="s">
        <v>23</v>
      </c>
      <c r="E3" s="8" t="s">
        <v>24</v>
      </c>
      <c r="F3" s="8" t="s">
        <v>23</v>
      </c>
      <c r="G3" s="8" t="s">
        <v>24</v>
      </c>
      <c r="H3" s="8" t="s">
        <v>23</v>
      </c>
      <c r="I3" s="8" t="s">
        <v>24</v>
      </c>
      <c r="J3" s="8" t="s">
        <v>23</v>
      </c>
      <c r="K3" s="8" t="s">
        <v>24</v>
      </c>
      <c r="L3" s="8" t="s">
        <v>23</v>
      </c>
      <c r="M3" s="8" t="s">
        <v>24</v>
      </c>
      <c r="N3" s="8" t="s">
        <v>23</v>
      </c>
      <c r="O3" s="8" t="s">
        <v>24</v>
      </c>
      <c r="T3">
        <f>'результ показатели'!B22</f>
        <v>9.2070000000000007</v>
      </c>
      <c r="U3">
        <f>T3</f>
        <v>9.2070000000000007</v>
      </c>
    </row>
    <row r="4" spans="1:29" ht="27.75" x14ac:dyDescent="0.25">
      <c r="A4" s="9" t="s">
        <v>26</v>
      </c>
      <c r="B4" s="26">
        <v>3353</v>
      </c>
      <c r="C4" s="27">
        <v>5500</v>
      </c>
      <c r="D4" s="26">
        <v>2011</v>
      </c>
      <c r="E4" s="28">
        <f>V16</f>
        <v>10</v>
      </c>
      <c r="F4" s="26">
        <f>B4-D4</f>
        <v>1342</v>
      </c>
      <c r="G4" s="27">
        <f>V15</f>
        <v>1850</v>
      </c>
      <c r="H4" s="28" t="s">
        <v>97</v>
      </c>
      <c r="I4" s="27">
        <f>V14</f>
        <v>2200</v>
      </c>
      <c r="J4" s="28" t="s">
        <v>97</v>
      </c>
      <c r="K4" s="27">
        <f>V13</f>
        <v>500</v>
      </c>
      <c r="L4" s="28" t="s">
        <v>97</v>
      </c>
      <c r="M4" s="27">
        <f>V12</f>
        <v>600</v>
      </c>
      <c r="N4" s="28" t="s">
        <v>97</v>
      </c>
      <c r="O4" s="27">
        <f>V11</f>
        <v>350</v>
      </c>
      <c r="T4">
        <f>550*T3</f>
        <v>5063.8500000000004</v>
      </c>
      <c r="U4">
        <f>550*U3</f>
        <v>5063.8500000000004</v>
      </c>
      <c r="V4">
        <v>4</v>
      </c>
    </row>
    <row r="5" spans="1:29" ht="26.25" customHeight="1" x14ac:dyDescent="0.25">
      <c r="A5" s="9" t="s">
        <v>29</v>
      </c>
      <c r="B5" s="61">
        <f>'результ показатели'!B25*'результ показатели'!B23/100</f>
        <v>1623.8286009000001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3"/>
      <c r="T5" s="10">
        <v>12</v>
      </c>
      <c r="U5" s="10">
        <v>16</v>
      </c>
    </row>
    <row r="6" spans="1:29" ht="39" customHeight="1" x14ac:dyDescent="0.25">
      <c r="A6" s="9" t="s">
        <v>28</v>
      </c>
      <c r="B6" s="26">
        <f>'new costs'!T5*'new costs'!T4*12</f>
        <v>729194.4</v>
      </c>
      <c r="C6" s="26">
        <f>'new costs'!U5*'new costs'!U4*12</f>
        <v>972259.20000000007</v>
      </c>
      <c r="D6" s="26">
        <f>$B6*(D$4/$B$4)*0.9</f>
        <v>393608.39384431858</v>
      </c>
      <c r="E6" s="26">
        <f>$C6*(E$4/$C$4)</f>
        <v>1767.7440000000001</v>
      </c>
      <c r="F6" s="26">
        <f>$B6*(F$4/$B$4)*(1/0.9)</f>
        <v>324279.71130331047</v>
      </c>
      <c r="G6" s="26">
        <f>$C6*(G$4/$C$4)</f>
        <v>327032.64</v>
      </c>
      <c r="H6" s="28" t="s">
        <v>97</v>
      </c>
      <c r="I6" s="26">
        <f>$C6*(I$4/$C$4)</f>
        <v>388903.68000000005</v>
      </c>
      <c r="J6" s="28" t="s">
        <v>97</v>
      </c>
      <c r="K6" s="26">
        <f>$C6*(K$4/$C$4)</f>
        <v>88387.200000000012</v>
      </c>
      <c r="L6" s="28" t="s">
        <v>97</v>
      </c>
      <c r="M6" s="26">
        <f>$C6*(M$4/$C$4)</f>
        <v>106064.64</v>
      </c>
      <c r="N6" s="28" t="s">
        <v>97</v>
      </c>
      <c r="O6" s="26">
        <f>$C6*(O$4/$C$4)</f>
        <v>61871.040000000001</v>
      </c>
      <c r="T6">
        <f>12530000</f>
        <v>12530000</v>
      </c>
      <c r="U6">
        <f>T6+120000*T3*4</f>
        <v>16949360</v>
      </c>
    </row>
    <row r="7" spans="1:29" ht="38.25" x14ac:dyDescent="0.25">
      <c r="A7" s="9" t="s">
        <v>18</v>
      </c>
      <c r="B7" s="26">
        <f>0.34*B6</f>
        <v>247926.09600000002</v>
      </c>
      <c r="C7" s="26">
        <f>0.34*C6</f>
        <v>330568.12800000003</v>
      </c>
      <c r="D7" s="26">
        <f t="shared" ref="D7:D13" si="0">$B7*(D$4/$B$4)*0.9</f>
        <v>133826.85390706832</v>
      </c>
      <c r="E7" s="26">
        <f>$C7*(E$4/$C$4)</f>
        <v>601.03296</v>
      </c>
      <c r="F7" s="26">
        <f t="shared" ref="F7:F13" si="1">$B7*(F$4/$B$4)*(1/0.9)</f>
        <v>110255.10184312557</v>
      </c>
      <c r="G7" s="26">
        <f>$C7*(G$4/$C$4)</f>
        <v>111191.09760000001</v>
      </c>
      <c r="H7" s="28" t="s">
        <v>97</v>
      </c>
      <c r="I7" s="26">
        <f>$C7*(I$4/$C$4)</f>
        <v>132227.25120000003</v>
      </c>
      <c r="J7" s="28" t="s">
        <v>97</v>
      </c>
      <c r="K7" s="26">
        <f>$C7*(K$4/$C$4)</f>
        <v>30051.648000000005</v>
      </c>
      <c r="L7" s="28" t="s">
        <v>97</v>
      </c>
      <c r="M7" s="26">
        <f>$C7*(M$4/$C$4)</f>
        <v>36061.977599999998</v>
      </c>
      <c r="N7" s="28" t="s">
        <v>97</v>
      </c>
      <c r="O7" s="26">
        <f>$C7*(O$4/$C$4)</f>
        <v>21036.153599999998</v>
      </c>
      <c r="T7">
        <f>B6/15</f>
        <v>48612.959999999999</v>
      </c>
      <c r="U7">
        <f>C6/15</f>
        <v>64817.280000000006</v>
      </c>
    </row>
    <row r="8" spans="1:29" ht="15.75" x14ac:dyDescent="0.25">
      <c r="A8" s="9" t="s">
        <v>19</v>
      </c>
      <c r="B8" s="26">
        <f>0.075*T6</f>
        <v>939750</v>
      </c>
      <c r="C8" s="26">
        <f>0.075*U6</f>
        <v>1271202</v>
      </c>
      <c r="D8" s="26">
        <f t="shared" si="0"/>
        <v>507263.20459290186</v>
      </c>
      <c r="E8" s="26">
        <f>$C8*(E$4/$C$4)</f>
        <v>2311.2763636363638</v>
      </c>
      <c r="F8" s="26">
        <f t="shared" si="1"/>
        <v>417915.79679888661</v>
      </c>
      <c r="G8" s="26">
        <f>$C8*(G$4/$C$4)</f>
        <v>427586.12727272726</v>
      </c>
      <c r="H8" s="28" t="s">
        <v>97</v>
      </c>
      <c r="I8" s="26">
        <f>$C8*(I$4/$C$4)</f>
        <v>508480.80000000005</v>
      </c>
      <c r="J8" s="28" t="s">
        <v>97</v>
      </c>
      <c r="K8" s="26">
        <f>$C8*(K$4/$C$4)</f>
        <v>115563.81818181819</v>
      </c>
      <c r="L8" s="28" t="s">
        <v>97</v>
      </c>
      <c r="M8" s="26">
        <f>$C8*(M$4/$C$4)</f>
        <v>138676.58181818182</v>
      </c>
      <c r="N8" s="28" t="s">
        <v>97</v>
      </c>
      <c r="O8" s="26">
        <f>$C8*(O$4/$C$4)</f>
        <v>80894.672727272715</v>
      </c>
      <c r="T8" s="16">
        <v>7360000</v>
      </c>
      <c r="U8" s="16">
        <v>8360000</v>
      </c>
    </row>
    <row r="9" spans="1:29" ht="39" thickBot="1" x14ac:dyDescent="0.3">
      <c r="A9" s="9" t="s">
        <v>94</v>
      </c>
      <c r="B9" s="26">
        <f t="shared" ref="B9:G9" si="2">B10+B11</f>
        <v>6412564.7598177008</v>
      </c>
      <c r="C9" s="26">
        <f t="shared" si="2"/>
        <v>17005808.065950003</v>
      </c>
      <c r="D9" s="26">
        <f t="shared" si="2"/>
        <v>3461407.9805529546</v>
      </c>
      <c r="E9" s="26">
        <f t="shared" si="2"/>
        <v>22045.469775472604</v>
      </c>
      <c r="F9" s="26">
        <f t="shared" si="2"/>
        <v>2808686.7794708405</v>
      </c>
      <c r="G9" s="26">
        <f t="shared" si="2"/>
        <v>4462100.8358900854</v>
      </c>
      <c r="H9" s="28" t="s">
        <v>97</v>
      </c>
      <c r="I9" s="26">
        <f>I10+I11</f>
        <v>5610467.8914515767</v>
      </c>
      <c r="J9" s="28" t="s">
        <v>97</v>
      </c>
      <c r="K9" s="26">
        <f>K10+K11</f>
        <v>1793604.8895441783</v>
      </c>
      <c r="L9" s="28" t="s">
        <v>97</v>
      </c>
      <c r="M9" s="26">
        <f>M10+M11</f>
        <v>2843657.2682235618</v>
      </c>
      <c r="N9" s="28" t="s">
        <v>97</v>
      </c>
      <c r="O9" s="26">
        <f>O10+O11</f>
        <v>2384698.0439394861</v>
      </c>
    </row>
    <row r="10" spans="1:29" ht="26.25" customHeight="1" thickBot="1" x14ac:dyDescent="0.3">
      <c r="A10" s="9" t="s">
        <v>92</v>
      </c>
      <c r="B10" s="26">
        <f>B4*$B$5</f>
        <v>5444697.2988177007</v>
      </c>
      <c r="C10" s="26">
        <f>C4*$B$5</f>
        <v>8931057.3049500007</v>
      </c>
      <c r="D10" s="26">
        <f t="shared" si="0"/>
        <v>2938967.3847689102</v>
      </c>
      <c r="E10" s="26">
        <f>$C10*(E$4/$C$4)</f>
        <v>16238.286009000001</v>
      </c>
      <c r="F10" s="26">
        <f t="shared" si="1"/>
        <v>2421308.8693420007</v>
      </c>
      <c r="G10" s="26">
        <f>$C10*(G$4/$C$4)</f>
        <v>3004082.911665</v>
      </c>
      <c r="H10" s="28" t="s">
        <v>97</v>
      </c>
      <c r="I10" s="26">
        <f>$C10*(I$4/$C$4)</f>
        <v>3572422.9219800006</v>
      </c>
      <c r="J10" s="28" t="s">
        <v>97</v>
      </c>
      <c r="K10" s="26">
        <f>$C10*(K$4/$C$4)</f>
        <v>811914.3004500001</v>
      </c>
      <c r="L10" s="28" t="s">
        <v>97</v>
      </c>
      <c r="M10" s="26">
        <f>$C10*(M$4/$C$4)</f>
        <v>974297.16054000007</v>
      </c>
      <c r="N10" s="28" t="s">
        <v>97</v>
      </c>
      <c r="O10" s="26">
        <f>$C10*(O$4/$C$4)</f>
        <v>568340.01031499996</v>
      </c>
      <c r="T10" s="1" t="s">
        <v>0</v>
      </c>
      <c r="U10" s="2" t="s">
        <v>1</v>
      </c>
      <c r="V10" s="2" t="s">
        <v>2</v>
      </c>
      <c r="W10" s="2" t="s">
        <v>3</v>
      </c>
      <c r="X10" s="2" t="s">
        <v>4</v>
      </c>
    </row>
    <row r="11" spans="1:29" ht="16.5" thickBot="1" x14ac:dyDescent="0.3">
      <c r="A11" s="9" t="s">
        <v>95</v>
      </c>
      <c r="B11" s="26">
        <f>T3*105123</f>
        <v>967867.46100000013</v>
      </c>
      <c r="C11" s="26">
        <f>B11+U3*V46*4</f>
        <v>8074750.7610000009</v>
      </c>
      <c r="D11" s="26">
        <f t="shared" si="0"/>
        <v>522440.59578404424</v>
      </c>
      <c r="E11" s="26">
        <f>E4*$AC$19*$U$19</f>
        <v>5807.1837664726036</v>
      </c>
      <c r="F11" s="26">
        <f>B11*F4/B4</f>
        <v>387377.9101288399</v>
      </c>
      <c r="G11" s="26">
        <f>G4*$AC$19*$V$19</f>
        <v>1458017.9242250856</v>
      </c>
      <c r="H11" s="28" t="s">
        <v>97</v>
      </c>
      <c r="I11" s="26">
        <f>I4*$AC$19*$W$19</f>
        <v>2038044.9694715757</v>
      </c>
      <c r="J11" s="28" t="s">
        <v>97</v>
      </c>
      <c r="K11" s="26">
        <f>K4*$AC$19*$X$19</f>
        <v>981690.58909417805</v>
      </c>
      <c r="L11" s="28" t="s">
        <v>97</v>
      </c>
      <c r="M11" s="26">
        <f>M4*$Y$19*$AC$19</f>
        <v>1869360.1076835617</v>
      </c>
      <c r="N11" s="28" t="s">
        <v>97</v>
      </c>
      <c r="O11" s="26">
        <f>O4*$AC$19*$Z$19</f>
        <v>1816358.0336244861</v>
      </c>
      <c r="T11" s="3" t="s">
        <v>5</v>
      </c>
      <c r="U11" s="4">
        <v>1250</v>
      </c>
      <c r="V11" s="5">
        <v>350</v>
      </c>
      <c r="W11" s="5" t="s">
        <v>6</v>
      </c>
      <c r="X11" s="5">
        <v>2252</v>
      </c>
      <c r="Y11">
        <f>V11*Z19</f>
        <v>7881.9999999999982</v>
      </c>
    </row>
    <row r="12" spans="1:29" ht="64.5" thickBot="1" x14ac:dyDescent="0.3">
      <c r="A12" s="9" t="s">
        <v>20</v>
      </c>
      <c r="B12" s="26">
        <f>B4*2*T3</f>
        <v>61742.142000000007</v>
      </c>
      <c r="C12" s="26">
        <f>C4*2*U3</f>
        <v>101277.00000000001</v>
      </c>
      <c r="D12" s="26">
        <f t="shared" si="0"/>
        <v>33327.498600000006</v>
      </c>
      <c r="E12" s="26">
        <f>$C12*(E$4/$C$4)</f>
        <v>184.14000000000001</v>
      </c>
      <c r="F12" s="26">
        <f t="shared" si="1"/>
        <v>27457.320000000003</v>
      </c>
      <c r="G12" s="26">
        <f>$C12*(G$4/$C$4)</f>
        <v>34065.9</v>
      </c>
      <c r="H12" s="28" t="s">
        <v>97</v>
      </c>
      <c r="I12" s="26">
        <f>$C12*(I$4/$C$4)</f>
        <v>40510.80000000001</v>
      </c>
      <c r="J12" s="28" t="s">
        <v>97</v>
      </c>
      <c r="K12" s="26">
        <f>$C12*(K$4/$C$4)</f>
        <v>9207.0000000000018</v>
      </c>
      <c r="L12" s="28" t="s">
        <v>97</v>
      </c>
      <c r="M12" s="26">
        <f>$C12*(M$4/$C$4)</f>
        <v>11048.400000000001</v>
      </c>
      <c r="N12" s="28" t="s">
        <v>97</v>
      </c>
      <c r="O12" s="26">
        <f>$C12*(O$4/$C$4)</f>
        <v>6444.9000000000005</v>
      </c>
      <c r="T12" s="3" t="s">
        <v>7</v>
      </c>
      <c r="U12" s="4">
        <v>750</v>
      </c>
      <c r="V12" s="5">
        <v>600</v>
      </c>
      <c r="W12" s="5" t="s">
        <v>8</v>
      </c>
      <c r="X12" s="5">
        <v>16224</v>
      </c>
      <c r="Y12">
        <f>V12*Y19</f>
        <v>8112</v>
      </c>
    </row>
    <row r="13" spans="1:29" ht="16.5" thickBot="1" x14ac:dyDescent="0.3">
      <c r="A13" s="9" t="s">
        <v>21</v>
      </c>
      <c r="B13" s="26">
        <f>0.05*B12</f>
        <v>3087.1071000000006</v>
      </c>
      <c r="C13" s="26">
        <f>0.05*C12</f>
        <v>5063.8500000000013</v>
      </c>
      <c r="D13" s="26">
        <f t="shared" si="0"/>
        <v>1666.3749300000004</v>
      </c>
      <c r="E13" s="26">
        <f>$C13*(E$4/$C$4)</f>
        <v>9.2070000000000025</v>
      </c>
      <c r="F13" s="26">
        <f t="shared" si="1"/>
        <v>1372.8660000000004</v>
      </c>
      <c r="G13" s="26">
        <f>$C13*(G$4/$C$4)</f>
        <v>1703.2950000000005</v>
      </c>
      <c r="H13" s="28" t="s">
        <v>97</v>
      </c>
      <c r="I13" s="26">
        <f>$C13*(I$4/$C$4)</f>
        <v>2025.5400000000006</v>
      </c>
      <c r="J13" s="28" t="s">
        <v>97</v>
      </c>
      <c r="K13" s="26">
        <f>$C13*(K$4/$C$4)</f>
        <v>460.35000000000014</v>
      </c>
      <c r="L13" s="28" t="s">
        <v>97</v>
      </c>
      <c r="M13" s="26">
        <f>$C13*(M$4/$C$4)</f>
        <v>552.42000000000007</v>
      </c>
      <c r="N13" s="28" t="s">
        <v>97</v>
      </c>
      <c r="O13" s="26">
        <f>$C13*(O$4/$C$4)</f>
        <v>322.24500000000006</v>
      </c>
      <c r="T13" s="3" t="s">
        <v>9</v>
      </c>
      <c r="U13" s="4">
        <v>510</v>
      </c>
      <c r="V13" s="5">
        <v>500</v>
      </c>
      <c r="W13" s="5" t="s">
        <v>10</v>
      </c>
      <c r="X13" s="5">
        <v>4260</v>
      </c>
      <c r="Y13">
        <f>V13*X19</f>
        <v>4260</v>
      </c>
    </row>
    <row r="14" spans="1:29" ht="26.25" thickBot="1" x14ac:dyDescent="0.3">
      <c r="A14" s="9" t="s">
        <v>22</v>
      </c>
      <c r="B14" s="26">
        <f>SUM(B6,B7,B8,B9,B12,B13)</f>
        <v>8394264.5049177017</v>
      </c>
      <c r="C14" s="26">
        <f>SUM(C6,C7,C8,C9,C12,C13)</f>
        <v>19686178.243950006</v>
      </c>
      <c r="D14" s="26">
        <f t="shared" ref="D14:O14" si="3">SUM(D6,D7,D8,D9,D12,D13)</f>
        <v>4531100.3064272432</v>
      </c>
      <c r="E14" s="26">
        <f>SUM(E6,E7,E8,E9,E12,E13)</f>
        <v>26918.870099108968</v>
      </c>
      <c r="F14" s="26">
        <f t="shared" si="3"/>
        <v>3689967.5754161626</v>
      </c>
      <c r="G14" s="26">
        <f>SUM(G6,G7,G8,G9,G12,G13)</f>
        <v>5363679.8957628133</v>
      </c>
      <c r="H14" s="28" t="s">
        <v>97</v>
      </c>
      <c r="I14" s="26">
        <f t="shared" si="3"/>
        <v>6682615.9626515768</v>
      </c>
      <c r="J14" s="28" t="s">
        <v>97</v>
      </c>
      <c r="K14" s="26">
        <f t="shared" si="3"/>
        <v>2037274.9057259965</v>
      </c>
      <c r="L14" s="28" t="s">
        <v>97</v>
      </c>
      <c r="M14" s="26">
        <f t="shared" si="3"/>
        <v>3136061.2876417437</v>
      </c>
      <c r="N14" s="28" t="s">
        <v>97</v>
      </c>
      <c r="O14" s="26">
        <f t="shared" si="3"/>
        <v>2555267.0552667589</v>
      </c>
      <c r="T14" s="3" t="s">
        <v>11</v>
      </c>
      <c r="U14" s="4">
        <v>440</v>
      </c>
      <c r="V14" s="5">
        <v>2200</v>
      </c>
      <c r="W14" s="5" t="s">
        <v>12</v>
      </c>
      <c r="X14" s="5">
        <v>3514</v>
      </c>
      <c r="Y14">
        <f>V14*W19</f>
        <v>8844.0000000000018</v>
      </c>
    </row>
    <row r="15" spans="1:29" ht="26.25" thickBot="1" x14ac:dyDescent="0.3">
      <c r="A15" s="9" t="s">
        <v>99</v>
      </c>
      <c r="B15" s="26">
        <f>0.05*B14</f>
        <v>419713.22524588509</v>
      </c>
      <c r="C15" s="26">
        <f t="shared" ref="C15:O15" si="4">0.05*C14</f>
        <v>984308.91219750035</v>
      </c>
      <c r="D15" s="26">
        <f t="shared" si="4"/>
        <v>226555.01532136218</v>
      </c>
      <c r="E15" s="26">
        <f t="shared" si="4"/>
        <v>1345.9435049554486</v>
      </c>
      <c r="F15" s="26">
        <f t="shared" si="4"/>
        <v>184498.37877080814</v>
      </c>
      <c r="G15" s="26">
        <f t="shared" si="4"/>
        <v>268183.9947881407</v>
      </c>
      <c r="H15" s="28" t="s">
        <v>97</v>
      </c>
      <c r="I15" s="26">
        <f t="shared" si="4"/>
        <v>334130.79813257884</v>
      </c>
      <c r="J15" s="28" t="s">
        <v>97</v>
      </c>
      <c r="K15" s="26">
        <f t="shared" si="4"/>
        <v>101863.74528629983</v>
      </c>
      <c r="L15" s="28" t="s">
        <v>97</v>
      </c>
      <c r="M15" s="26">
        <f t="shared" si="4"/>
        <v>156803.06438208718</v>
      </c>
      <c r="N15" s="28" t="s">
        <v>97</v>
      </c>
      <c r="O15" s="26">
        <f t="shared" si="4"/>
        <v>127763.35276333796</v>
      </c>
      <c r="T15" s="3" t="s">
        <v>13</v>
      </c>
      <c r="U15" s="4">
        <v>410</v>
      </c>
      <c r="V15" s="5">
        <v>1850</v>
      </c>
      <c r="W15" s="5" t="s">
        <v>14</v>
      </c>
      <c r="X15" s="5">
        <v>3982</v>
      </c>
      <c r="Y15">
        <f>V15*V19</f>
        <v>6327</v>
      </c>
    </row>
    <row r="16" spans="1:29" ht="26.25" thickBot="1" x14ac:dyDescent="0.3">
      <c r="A16" s="9" t="s">
        <v>100</v>
      </c>
      <c r="B16" s="26">
        <f t="shared" ref="B16:G16" si="5">B4*5*$T$3</f>
        <v>154355.35500000001</v>
      </c>
      <c r="C16" s="26">
        <f t="shared" si="5"/>
        <v>253192.50000000003</v>
      </c>
      <c r="D16" s="26">
        <f t="shared" si="5"/>
        <v>92576.385000000009</v>
      </c>
      <c r="E16" s="26">
        <f t="shared" si="5"/>
        <v>460.35</v>
      </c>
      <c r="F16" s="26">
        <f t="shared" si="5"/>
        <v>61778.970000000008</v>
      </c>
      <c r="G16" s="26">
        <f t="shared" si="5"/>
        <v>85164.75</v>
      </c>
      <c r="H16" s="28" t="s">
        <v>97</v>
      </c>
      <c r="I16" s="26">
        <f>I4*5*$T$3</f>
        <v>101277.00000000001</v>
      </c>
      <c r="J16" s="28" t="s">
        <v>97</v>
      </c>
      <c r="K16" s="26">
        <f>K4*5*$T$3</f>
        <v>23017.500000000004</v>
      </c>
      <c r="L16" s="28" t="s">
        <v>97</v>
      </c>
      <c r="M16" s="26">
        <f>M4*5*$T$3</f>
        <v>27621.000000000004</v>
      </c>
      <c r="N16" s="28" t="s">
        <v>97</v>
      </c>
      <c r="O16" s="26">
        <f>O4*5*$T$3</f>
        <v>16112.250000000002</v>
      </c>
      <c r="T16" s="3" t="s">
        <v>15</v>
      </c>
      <c r="U16" s="4">
        <v>330</v>
      </c>
      <c r="V16" s="5">
        <v>10</v>
      </c>
      <c r="W16" s="5" t="s">
        <v>16</v>
      </c>
      <c r="X16" s="5">
        <v>2720</v>
      </c>
      <c r="Y16">
        <f>SUM(Y11:Y15)</f>
        <v>35425</v>
      </c>
    </row>
    <row r="17" spans="1:29" ht="15.75" thickBot="1" x14ac:dyDescent="0.3">
      <c r="A17" s="9" t="s">
        <v>101</v>
      </c>
      <c r="B17" s="28" t="s">
        <v>97</v>
      </c>
      <c r="C17" s="28" t="s">
        <v>97</v>
      </c>
      <c r="D17" s="26">
        <f t="shared" ref="D17:O17" si="6">D16+D15+D14</f>
        <v>4850231.7067486057</v>
      </c>
      <c r="E17" s="26">
        <f t="shared" si="6"/>
        <v>28725.163604064415</v>
      </c>
      <c r="F17" s="26">
        <f t="shared" si="6"/>
        <v>3936244.9241869706</v>
      </c>
      <c r="G17" s="26">
        <f t="shared" si="6"/>
        <v>5717028.6405509543</v>
      </c>
      <c r="H17" s="28" t="s">
        <v>97</v>
      </c>
      <c r="I17" s="26">
        <f t="shared" si="6"/>
        <v>7118023.7607841557</v>
      </c>
      <c r="J17" s="28" t="s">
        <v>97</v>
      </c>
      <c r="K17" s="26">
        <f t="shared" si="6"/>
        <v>2162156.1510122963</v>
      </c>
      <c r="L17" s="28" t="s">
        <v>97</v>
      </c>
      <c r="M17" s="26">
        <f t="shared" si="6"/>
        <v>3320485.3520238306</v>
      </c>
      <c r="N17" s="28" t="s">
        <v>97</v>
      </c>
      <c r="O17" s="26">
        <f t="shared" si="6"/>
        <v>2699142.6580300969</v>
      </c>
      <c r="V17">
        <f>SUM(V11:V16)</f>
        <v>5510</v>
      </c>
    </row>
    <row r="18" spans="1:29" ht="26.25" thickBot="1" x14ac:dyDescent="0.3">
      <c r="A18" s="23" t="s">
        <v>93</v>
      </c>
      <c r="B18" s="28" t="s">
        <v>97</v>
      </c>
      <c r="C18" s="28" t="s">
        <v>97</v>
      </c>
      <c r="D18" s="27">
        <f t="shared" ref="D18:O18" si="7">D17/D4</f>
        <v>2411.8506746636526</v>
      </c>
      <c r="E18" s="27">
        <f t="shared" si="7"/>
        <v>2872.5163604064414</v>
      </c>
      <c r="F18" s="27">
        <f t="shared" si="7"/>
        <v>2933.1184233882045</v>
      </c>
      <c r="G18" s="27">
        <f t="shared" si="7"/>
        <v>3090.2857516491645</v>
      </c>
      <c r="H18" s="28" t="s">
        <v>97</v>
      </c>
      <c r="I18" s="27">
        <f t="shared" si="7"/>
        <v>3235.4653458109797</v>
      </c>
      <c r="J18" s="28" t="s">
        <v>97</v>
      </c>
      <c r="K18" s="27">
        <f t="shared" si="7"/>
        <v>4324.312302024593</v>
      </c>
      <c r="L18" s="28" t="s">
        <v>97</v>
      </c>
      <c r="M18" s="27">
        <f t="shared" si="7"/>
        <v>5534.1422533730511</v>
      </c>
      <c r="N18" s="28" t="s">
        <v>97</v>
      </c>
      <c r="O18" s="27">
        <f t="shared" si="7"/>
        <v>7711.8361658002768</v>
      </c>
      <c r="T18" s="40"/>
      <c r="U18" s="41">
        <v>0.26</v>
      </c>
      <c r="V18" s="41">
        <v>0.24</v>
      </c>
      <c r="W18" s="41">
        <v>0.22</v>
      </c>
      <c r="X18" s="41">
        <v>0.2</v>
      </c>
      <c r="Y18" s="41">
        <v>0.18</v>
      </c>
      <c r="Z18" s="41">
        <v>0.16</v>
      </c>
    </row>
    <row r="19" spans="1:29" ht="16.5" thickBot="1" x14ac:dyDescent="0.3">
      <c r="A19" s="23" t="s">
        <v>96</v>
      </c>
      <c r="B19" s="28" t="s">
        <v>97</v>
      </c>
      <c r="C19" s="28" t="s">
        <v>97</v>
      </c>
      <c r="D19" s="27">
        <f>D18/$T$3</f>
        <v>261.95836588070517</v>
      </c>
      <c r="E19" s="27">
        <f>E18/$T$3</f>
        <v>311.99265346002403</v>
      </c>
      <c r="F19" s="27">
        <f>F18/$T$3</f>
        <v>318.57482604411905</v>
      </c>
      <c r="G19" s="27">
        <f>G18/$T$3</f>
        <v>335.64524292920214</v>
      </c>
      <c r="H19" s="28" t="s">
        <v>97</v>
      </c>
      <c r="I19" s="27">
        <f>I18/$T$3</f>
        <v>351.41363590865421</v>
      </c>
      <c r="J19" s="28" t="s">
        <v>97</v>
      </c>
      <c r="K19" s="27">
        <f>K18/$T$3</f>
        <v>469.67658325454465</v>
      </c>
      <c r="L19" s="28" t="s">
        <v>97</v>
      </c>
      <c r="M19" s="27">
        <f>M18/$T$3</f>
        <v>601.07985808331171</v>
      </c>
      <c r="N19" s="28" t="s">
        <v>97</v>
      </c>
      <c r="O19" s="27">
        <f>O18/$T$3</f>
        <v>837.60575277509247</v>
      </c>
      <c r="T19" s="42" t="s">
        <v>110</v>
      </c>
      <c r="U19" s="43">
        <f t="shared" ref="U19:Z19" si="8">SUM(U21:U24)</f>
        <v>2.5200000000000005</v>
      </c>
      <c r="V19" s="43">
        <f t="shared" si="8"/>
        <v>3.42</v>
      </c>
      <c r="W19" s="43">
        <f t="shared" si="8"/>
        <v>4.0200000000000005</v>
      </c>
      <c r="X19" s="43">
        <f t="shared" si="8"/>
        <v>8.52</v>
      </c>
      <c r="Y19" s="43">
        <f t="shared" si="8"/>
        <v>13.52</v>
      </c>
      <c r="Z19" s="43">
        <f t="shared" si="8"/>
        <v>22.519999999999996</v>
      </c>
      <c r="AB19" s="45">
        <f>8760*4</f>
        <v>35040</v>
      </c>
      <c r="AC19">
        <f>C11/AB19</f>
        <v>230.44380025684933</v>
      </c>
    </row>
    <row r="20" spans="1:29" ht="16.5" thickBot="1" x14ac:dyDescent="0.3">
      <c r="K20" s="25"/>
      <c r="L20" s="25"/>
      <c r="M20" s="25"/>
      <c r="N20" s="25"/>
      <c r="O20" s="25"/>
      <c r="T20" s="42" t="s">
        <v>112</v>
      </c>
      <c r="U20" s="44"/>
      <c r="V20" s="44"/>
      <c r="W20" s="44"/>
      <c r="X20" s="44"/>
      <c r="Y20" s="44"/>
      <c r="Z20" s="44"/>
    </row>
    <row r="21" spans="1:29" ht="16.5" thickBot="1" x14ac:dyDescent="0.3">
      <c r="T21" s="42" t="s">
        <v>113</v>
      </c>
      <c r="U21" s="43">
        <v>1.2</v>
      </c>
      <c r="V21" s="43">
        <v>1.2</v>
      </c>
      <c r="W21" s="43">
        <v>1.2</v>
      </c>
      <c r="X21" s="43">
        <v>1.2</v>
      </c>
      <c r="Y21" s="43">
        <v>1.2</v>
      </c>
      <c r="Z21" s="43">
        <v>1.2</v>
      </c>
    </row>
    <row r="22" spans="1:29" ht="16.5" thickBot="1" x14ac:dyDescent="0.3">
      <c r="T22" s="42" t="s">
        <v>115</v>
      </c>
      <c r="U22" s="43">
        <v>1</v>
      </c>
      <c r="V22" s="43">
        <v>1.9</v>
      </c>
      <c r="W22" s="43">
        <v>2.5</v>
      </c>
      <c r="X22" s="43">
        <v>7</v>
      </c>
      <c r="Y22" s="43">
        <v>12</v>
      </c>
      <c r="Z22" s="43">
        <v>21</v>
      </c>
    </row>
    <row r="23" spans="1:29" ht="16.5" thickBot="1" x14ac:dyDescent="0.3">
      <c r="T23" s="42" t="s">
        <v>116</v>
      </c>
      <c r="U23" s="43">
        <v>0.24</v>
      </c>
      <c r="V23" s="43">
        <v>0.24</v>
      </c>
      <c r="W23" s="43">
        <v>0.24</v>
      </c>
      <c r="X23" s="43">
        <v>0.24</v>
      </c>
      <c r="Y23" s="43">
        <v>0.24</v>
      </c>
      <c r="Z23" s="43">
        <v>0.24</v>
      </c>
    </row>
    <row r="24" spans="1:29" ht="32.25" thickBot="1" x14ac:dyDescent="0.3">
      <c r="T24" s="42" t="s">
        <v>118</v>
      </c>
      <c r="U24" s="43">
        <v>0.08</v>
      </c>
      <c r="V24" s="43">
        <v>0.08</v>
      </c>
      <c r="W24" s="43">
        <v>0.08</v>
      </c>
      <c r="X24" s="43">
        <v>0.08</v>
      </c>
      <c r="Y24" s="43">
        <v>0.08</v>
      </c>
      <c r="Z24" s="43">
        <v>0.08</v>
      </c>
    </row>
    <row r="26" spans="1:29" ht="15.75" thickBot="1" x14ac:dyDescent="0.3"/>
    <row r="27" spans="1:29" ht="16.5" thickBot="1" x14ac:dyDescent="0.3">
      <c r="T27" s="31" t="s">
        <v>102</v>
      </c>
      <c r="U27" s="32" t="s">
        <v>103</v>
      </c>
      <c r="V27" s="32" t="s">
        <v>104</v>
      </c>
    </row>
    <row r="28" spans="1:29" ht="16.5" thickBot="1" x14ac:dyDescent="0.3">
      <c r="T28" s="33" t="s">
        <v>105</v>
      </c>
      <c r="U28" s="34" t="s">
        <v>106</v>
      </c>
      <c r="V28" s="37" t="s">
        <v>107</v>
      </c>
    </row>
    <row r="29" spans="1:29" ht="32.25" thickBot="1" x14ac:dyDescent="0.3">
      <c r="T29" s="33" t="s">
        <v>108</v>
      </c>
      <c r="U29" s="34">
        <v>430</v>
      </c>
      <c r="V29" s="37">
        <v>6675</v>
      </c>
    </row>
    <row r="30" spans="1:29" ht="16.5" thickBot="1" x14ac:dyDescent="0.3">
      <c r="T30" s="33" t="s">
        <v>109</v>
      </c>
      <c r="U30" s="34">
        <v>150</v>
      </c>
      <c r="V30" s="38">
        <v>10</v>
      </c>
    </row>
    <row r="31" spans="1:29" ht="16.5" thickBot="1" x14ac:dyDescent="0.3">
      <c r="T31" s="33" t="s">
        <v>110</v>
      </c>
      <c r="U31" s="34">
        <v>254</v>
      </c>
      <c r="V31" s="38" t="s">
        <v>111</v>
      </c>
    </row>
    <row r="32" spans="1:29" ht="16.5" thickBot="1" x14ac:dyDescent="0.3">
      <c r="T32" s="33" t="s">
        <v>112</v>
      </c>
      <c r="U32" s="35"/>
      <c r="V32" s="39"/>
    </row>
    <row r="33" spans="20:22" ht="16.5" thickBot="1" x14ac:dyDescent="0.3">
      <c r="T33" s="33" t="s">
        <v>113</v>
      </c>
      <c r="U33" s="34">
        <v>24</v>
      </c>
      <c r="V33" s="38" t="s">
        <v>114</v>
      </c>
    </row>
    <row r="34" spans="20:22" ht="16.5" thickBot="1" x14ac:dyDescent="0.3">
      <c r="T34" s="33" t="s">
        <v>115</v>
      </c>
      <c r="U34" s="34">
        <v>210</v>
      </c>
      <c r="V34" s="38" t="s">
        <v>114</v>
      </c>
    </row>
    <row r="35" spans="20:22" ht="16.5" thickBot="1" x14ac:dyDescent="0.3">
      <c r="T35" s="33" t="s">
        <v>116</v>
      </c>
      <c r="U35" s="34">
        <v>12</v>
      </c>
      <c r="V35" s="38" t="s">
        <v>117</v>
      </c>
    </row>
    <row r="36" spans="20:22" ht="32.25" thickBot="1" x14ac:dyDescent="0.3">
      <c r="T36" s="33" t="s">
        <v>118</v>
      </c>
      <c r="U36" s="34">
        <v>8</v>
      </c>
      <c r="V36" s="38" t="s">
        <v>119</v>
      </c>
    </row>
    <row r="37" spans="20:22" ht="32.25" thickBot="1" x14ac:dyDescent="0.3">
      <c r="T37" s="33" t="s">
        <v>120</v>
      </c>
      <c r="U37" s="34">
        <v>8760</v>
      </c>
      <c r="V37" s="38">
        <v>8760</v>
      </c>
    </row>
    <row r="38" spans="20:22" ht="16.5" thickBot="1" x14ac:dyDescent="0.3">
      <c r="T38" s="33" t="s">
        <v>121</v>
      </c>
      <c r="U38" s="34">
        <v>34</v>
      </c>
      <c r="V38" s="38">
        <v>53</v>
      </c>
    </row>
    <row r="39" spans="20:22" ht="32.25" thickBot="1" x14ac:dyDescent="0.3">
      <c r="T39" s="33" t="s">
        <v>122</v>
      </c>
      <c r="U39" s="34">
        <v>5173</v>
      </c>
      <c r="V39" s="38">
        <v>32206</v>
      </c>
    </row>
    <row r="40" spans="20:22" ht="32.25" thickBot="1" x14ac:dyDescent="0.3">
      <c r="T40" s="33" t="s">
        <v>123</v>
      </c>
      <c r="U40" s="34">
        <v>20</v>
      </c>
      <c r="V40" s="38" t="s">
        <v>124</v>
      </c>
    </row>
    <row r="41" spans="20:22" ht="32.25" thickBot="1" x14ac:dyDescent="0.3">
      <c r="T41" s="33" t="s">
        <v>125</v>
      </c>
      <c r="U41" s="34">
        <v>246</v>
      </c>
      <c r="V41" s="38" t="s">
        <v>106</v>
      </c>
    </row>
    <row r="42" spans="20:22" ht="32.25" thickBot="1" x14ac:dyDescent="0.3">
      <c r="T42" s="33" t="s">
        <v>126</v>
      </c>
      <c r="U42" s="34">
        <v>46968</v>
      </c>
      <c r="V42" s="38">
        <v>23415</v>
      </c>
    </row>
    <row r="43" spans="20:22" ht="32.25" thickBot="1" x14ac:dyDescent="0.3">
      <c r="T43" s="33" t="s">
        <v>127</v>
      </c>
      <c r="U43" s="34" t="s">
        <v>128</v>
      </c>
      <c r="V43" s="38">
        <v>3043.95</v>
      </c>
    </row>
    <row r="44" spans="20:22" ht="32.25" thickBot="1" x14ac:dyDescent="0.3">
      <c r="T44" s="33" t="s">
        <v>129</v>
      </c>
      <c r="U44" s="34">
        <v>517323</v>
      </c>
      <c r="V44" s="38">
        <v>480732</v>
      </c>
    </row>
    <row r="45" spans="20:22" ht="32.25" thickBot="1" x14ac:dyDescent="0.3">
      <c r="T45" s="33" t="s">
        <v>130</v>
      </c>
      <c r="U45" s="34" t="s">
        <v>131</v>
      </c>
      <c r="V45" s="38" t="s">
        <v>131</v>
      </c>
    </row>
    <row r="46" spans="20:22" ht="32.25" thickBot="1" x14ac:dyDescent="0.3">
      <c r="T46" s="33" t="s">
        <v>132</v>
      </c>
      <c r="U46" s="36">
        <v>67769</v>
      </c>
      <c r="V46" s="38">
        <v>192975</v>
      </c>
    </row>
    <row r="47" spans="20:22" ht="32.25" thickBot="1" x14ac:dyDescent="0.3">
      <c r="T47" s="33" t="s">
        <v>133</v>
      </c>
      <c r="U47" s="34">
        <v>13200</v>
      </c>
      <c r="V47" s="38">
        <v>13200</v>
      </c>
    </row>
  </sheetData>
  <mergeCells count="10">
    <mergeCell ref="A1:A2"/>
    <mergeCell ref="N2:O2"/>
    <mergeCell ref="B1:C2"/>
    <mergeCell ref="B5:O5"/>
    <mergeCell ref="D1:O1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workbookViewId="0">
      <selection activeCell="D42" sqref="D42"/>
    </sheetView>
  </sheetViews>
  <sheetFormatPr defaultRowHeight="15" x14ac:dyDescent="0.25"/>
  <cols>
    <col min="1" max="1" width="36.28515625" customWidth="1"/>
    <col min="2" max="2" width="12" bestFit="1" customWidth="1"/>
    <col min="3" max="3" width="15.5703125" bestFit="1" customWidth="1"/>
    <col min="4" max="7" width="12" bestFit="1" customWidth="1"/>
    <col min="9" max="9" width="12" bestFit="1" customWidth="1"/>
    <col min="11" max="11" width="12" bestFit="1" customWidth="1"/>
    <col min="13" max="13" width="12" bestFit="1" customWidth="1"/>
    <col min="15" max="15" width="10.85546875" bestFit="1" customWidth="1"/>
  </cols>
  <sheetData>
    <row r="1" spans="1:15" x14ac:dyDescent="0.25">
      <c r="A1" s="68" t="s">
        <v>17</v>
      </c>
      <c r="B1" s="57" t="s">
        <v>27</v>
      </c>
      <c r="C1" s="58"/>
      <c r="D1" s="70" t="s">
        <v>25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</row>
    <row r="2" spans="1:15" ht="15.75" x14ac:dyDescent="0.25">
      <c r="A2" s="69"/>
      <c r="B2" s="59"/>
      <c r="C2" s="60"/>
      <c r="D2" s="73" t="s">
        <v>15</v>
      </c>
      <c r="E2" s="74"/>
      <c r="F2" s="73" t="s">
        <v>13</v>
      </c>
      <c r="G2" s="74"/>
      <c r="H2" s="73" t="s">
        <v>11</v>
      </c>
      <c r="I2" s="74"/>
      <c r="J2" s="73" t="s">
        <v>9</v>
      </c>
      <c r="K2" s="74"/>
      <c r="L2" s="73" t="s">
        <v>7</v>
      </c>
      <c r="M2" s="74"/>
      <c r="N2" s="73" t="s">
        <v>5</v>
      </c>
      <c r="O2" s="74"/>
    </row>
    <row r="3" spans="1:15" x14ac:dyDescent="0.25">
      <c r="A3" s="8"/>
      <c r="B3" s="8" t="s">
        <v>23</v>
      </c>
      <c r="C3" s="6" t="s">
        <v>24</v>
      </c>
      <c r="D3" s="8" t="s">
        <v>23</v>
      </c>
      <c r="E3" s="8" t="s">
        <v>24</v>
      </c>
      <c r="F3" s="8" t="s">
        <v>23</v>
      </c>
      <c r="G3" s="8" t="s">
        <v>24</v>
      </c>
      <c r="H3" s="8" t="s">
        <v>23</v>
      </c>
      <c r="I3" s="8" t="s">
        <v>24</v>
      </c>
      <c r="J3" s="8" t="s">
        <v>23</v>
      </c>
      <c r="K3" s="8" t="s">
        <v>24</v>
      </c>
      <c r="L3" s="8" t="s">
        <v>23</v>
      </c>
      <c r="M3" s="8" t="s">
        <v>24</v>
      </c>
      <c r="N3" s="8" t="s">
        <v>23</v>
      </c>
      <c r="O3" s="8" t="s">
        <v>24</v>
      </c>
    </row>
    <row r="4" spans="1:15" x14ac:dyDescent="0.25">
      <c r="A4" s="9" t="s">
        <v>26</v>
      </c>
      <c r="B4" s="26">
        <v>3353</v>
      </c>
      <c r="C4" s="27">
        <v>5500</v>
      </c>
      <c r="D4" s="26">
        <v>2011</v>
      </c>
      <c r="E4" s="26">
        <v>1000</v>
      </c>
      <c r="F4" s="26">
        <v>1342</v>
      </c>
      <c r="G4" s="27">
        <v>1100</v>
      </c>
      <c r="H4" s="28" t="s">
        <v>97</v>
      </c>
      <c r="I4" s="27">
        <v>700</v>
      </c>
      <c r="J4" s="28" t="s">
        <v>97</v>
      </c>
      <c r="K4" s="27">
        <v>1400</v>
      </c>
      <c r="L4" s="28" t="s">
        <v>97</v>
      </c>
      <c r="M4" s="27">
        <v>1200</v>
      </c>
      <c r="N4" s="28" t="s">
        <v>97</v>
      </c>
      <c r="O4" s="27">
        <v>100</v>
      </c>
    </row>
    <row r="5" spans="1:15" x14ac:dyDescent="0.25">
      <c r="A5" s="9" t="s">
        <v>29</v>
      </c>
      <c r="B5" s="61">
        <v>1209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3"/>
    </row>
    <row r="6" spans="1:15" ht="25.5" x14ac:dyDescent="0.25">
      <c r="A6" s="9" t="s">
        <v>28</v>
      </c>
      <c r="B6" s="26">
        <v>477360</v>
      </c>
      <c r="C6" s="26">
        <v>1604943.6325678495</v>
      </c>
      <c r="D6" s="26">
        <v>257671.89501938561</v>
      </c>
      <c r="E6" s="26">
        <v>176367.43215031314</v>
      </c>
      <c r="F6" s="26">
        <v>212286.54935878317</v>
      </c>
      <c r="G6" s="26">
        <v>249433.9397554429</v>
      </c>
      <c r="H6" s="28" t="s">
        <v>97</v>
      </c>
      <c r="I6" s="26">
        <v>176367.43215031314</v>
      </c>
      <c r="J6" s="28" t="s">
        <v>97</v>
      </c>
      <c r="K6" s="26">
        <v>458555.32359081419</v>
      </c>
      <c r="L6" s="28" t="s">
        <v>97</v>
      </c>
      <c r="M6" s="26">
        <v>483750.6710408589</v>
      </c>
      <c r="N6" s="28" t="s">
        <v>97</v>
      </c>
      <c r="O6" s="26">
        <v>60468.83388010737</v>
      </c>
    </row>
    <row r="7" spans="1:15" x14ac:dyDescent="0.25">
      <c r="A7" s="9" t="s">
        <v>18</v>
      </c>
      <c r="B7" s="26">
        <v>162302.40000000002</v>
      </c>
      <c r="C7" s="26">
        <v>545680.83507306897</v>
      </c>
      <c r="D7" s="26">
        <v>87608.444306591133</v>
      </c>
      <c r="E7" s="26">
        <v>59964.926931106471</v>
      </c>
      <c r="F7" s="26">
        <v>72177.426781986302</v>
      </c>
      <c r="G7" s="26">
        <v>84807.539516850578</v>
      </c>
      <c r="H7" s="28" t="s">
        <v>97</v>
      </c>
      <c r="I7" s="26">
        <v>59964.926931106471</v>
      </c>
      <c r="J7" s="28" t="s">
        <v>97</v>
      </c>
      <c r="K7" s="26">
        <v>155908.81002087682</v>
      </c>
      <c r="L7" s="28" t="s">
        <v>97</v>
      </c>
      <c r="M7" s="26">
        <v>164475.22815389204</v>
      </c>
      <c r="N7" s="28" t="s">
        <v>97</v>
      </c>
      <c r="O7" s="26">
        <v>20559.403519236501</v>
      </c>
    </row>
    <row r="8" spans="1:15" x14ac:dyDescent="0.25">
      <c r="A8" s="9" t="s">
        <v>19</v>
      </c>
      <c r="B8" s="26">
        <v>939750</v>
      </c>
      <c r="C8" s="26">
        <f>B8+C21*C25</f>
        <v>1001827.5</v>
      </c>
      <c r="D8" s="26">
        <v>507263.20459290186</v>
      </c>
      <c r="E8" s="26">
        <v>266085.59498956159</v>
      </c>
      <c r="F8" s="26">
        <v>417915.79679888661</v>
      </c>
      <c r="G8" s="26">
        <v>376321.05577095138</v>
      </c>
      <c r="H8" s="28" t="s">
        <v>97</v>
      </c>
      <c r="I8" s="26">
        <v>266085.59498956159</v>
      </c>
      <c r="J8" s="28" t="s">
        <v>97</v>
      </c>
      <c r="K8" s="26">
        <v>691822.54697286012</v>
      </c>
      <c r="L8" s="28" t="s">
        <v>97</v>
      </c>
      <c r="M8" s="26">
        <v>729834.77482851176</v>
      </c>
      <c r="N8" s="28" t="s">
        <v>97</v>
      </c>
      <c r="O8" s="26">
        <v>91229.346853563969</v>
      </c>
    </row>
    <row r="9" spans="1:15" ht="25.5" x14ac:dyDescent="0.25">
      <c r="A9" s="9" t="s">
        <v>94</v>
      </c>
      <c r="B9" s="26">
        <v>4427971.8</v>
      </c>
      <c r="C9" s="26">
        <f>C10+C11</f>
        <v>13571599.740000002</v>
      </c>
      <c r="D9" s="26">
        <v>2390153.94</v>
      </c>
      <c r="E9" s="26">
        <v>1489957.0772442587</v>
      </c>
      <c r="F9" s="26">
        <v>1969161.3333333333</v>
      </c>
      <c r="G9" s="26">
        <v>2107225.009245452</v>
      </c>
      <c r="H9" s="28" t="s">
        <v>97</v>
      </c>
      <c r="I9" s="26">
        <v>1489957.077244259</v>
      </c>
      <c r="J9" s="28" t="s">
        <v>97</v>
      </c>
      <c r="K9" s="26">
        <v>3873888.4008350736</v>
      </c>
      <c r="L9" s="28" t="s">
        <v>97</v>
      </c>
      <c r="M9" s="26">
        <v>4086739.4118699674</v>
      </c>
      <c r="N9" s="28" t="s">
        <v>97</v>
      </c>
      <c r="O9" s="26">
        <v>510842.42648374586</v>
      </c>
    </row>
    <row r="10" spans="1:15" x14ac:dyDescent="0.25">
      <c r="A10" s="9" t="s">
        <v>92</v>
      </c>
      <c r="B10" s="26">
        <f>B5*B4</f>
        <v>4053777</v>
      </c>
      <c r="C10" s="26">
        <f>C4*B5</f>
        <v>6649500</v>
      </c>
      <c r="D10" s="26">
        <v>2188169.1</v>
      </c>
      <c r="E10" s="26">
        <v>1388204.5929018788</v>
      </c>
      <c r="F10" s="26">
        <v>1802753.3333333335</v>
      </c>
      <c r="G10" s="26">
        <v>1963317.9242469429</v>
      </c>
      <c r="H10" s="28" t="s">
        <v>97</v>
      </c>
      <c r="I10" s="26">
        <v>1388204.592901879</v>
      </c>
      <c r="J10" s="28" t="s">
        <v>97</v>
      </c>
      <c r="K10" s="26">
        <v>3609331.9415448853</v>
      </c>
      <c r="L10" s="28" t="s">
        <v>97</v>
      </c>
      <c r="M10" s="26">
        <v>3807646.8833880108</v>
      </c>
      <c r="N10" s="28" t="s">
        <v>97</v>
      </c>
      <c r="O10" s="26">
        <v>475955.86042350135</v>
      </c>
    </row>
    <row r="11" spans="1:15" x14ac:dyDescent="0.25">
      <c r="A11" s="9" t="s">
        <v>95</v>
      </c>
      <c r="B11" s="26">
        <v>374194.80000000005</v>
      </c>
      <c r="C11" s="26">
        <f>B11+(C42*C21+C39*C21)*4</f>
        <v>6922099.7400000012</v>
      </c>
      <c r="D11" s="26">
        <v>201984.84000000003</v>
      </c>
      <c r="E11" s="26">
        <v>101752.48434237995</v>
      </c>
      <c r="F11" s="26">
        <v>166408.00000000003</v>
      </c>
      <c r="G11" s="26">
        <v>143907.08499850883</v>
      </c>
      <c r="H11" s="28" t="s">
        <v>97</v>
      </c>
      <c r="I11" s="26">
        <v>101752.48434237996</v>
      </c>
      <c r="J11" s="28" t="s">
        <v>97</v>
      </c>
      <c r="K11" s="26">
        <v>264556.45929018792</v>
      </c>
      <c r="L11" s="28" t="s">
        <v>97</v>
      </c>
      <c r="M11" s="26">
        <v>279092.52848195651</v>
      </c>
      <c r="N11" s="28" t="s">
        <v>97</v>
      </c>
      <c r="O11" s="26">
        <v>34886.566060244557</v>
      </c>
    </row>
    <row r="12" spans="1:15" ht="38.25" x14ac:dyDescent="0.25">
      <c r="A12" s="9" t="s">
        <v>20</v>
      </c>
      <c r="B12" s="26">
        <v>62365.8</v>
      </c>
      <c r="C12" s="26">
        <v>177723.00000000003</v>
      </c>
      <c r="D12" s="26">
        <v>33664.14</v>
      </c>
      <c r="E12" s="26">
        <v>19530</v>
      </c>
      <c r="F12" s="26">
        <v>27734.666666666668</v>
      </c>
      <c r="G12" s="26">
        <v>27621.000000000004</v>
      </c>
      <c r="H12" s="28" t="s">
        <v>97</v>
      </c>
      <c r="I12" s="26">
        <v>19530.000000000004</v>
      </c>
      <c r="J12" s="28" t="s">
        <v>97</v>
      </c>
      <c r="K12" s="26">
        <v>50778.000000000015</v>
      </c>
      <c r="L12" s="28" t="s">
        <v>97</v>
      </c>
      <c r="M12" s="26">
        <v>53568</v>
      </c>
      <c r="N12" s="28" t="s">
        <v>97</v>
      </c>
      <c r="O12" s="26">
        <v>6696.0000000000009</v>
      </c>
    </row>
    <row r="13" spans="1:15" x14ac:dyDescent="0.25">
      <c r="A13" s="9" t="s">
        <v>21</v>
      </c>
      <c r="B13" s="26">
        <v>3118.2900000000004</v>
      </c>
      <c r="C13" s="26">
        <v>8886.1500000000015</v>
      </c>
      <c r="D13" s="26">
        <v>1683.2070000000003</v>
      </c>
      <c r="E13" s="26">
        <v>976.49999999999989</v>
      </c>
      <c r="F13" s="26">
        <v>1386.7333333333336</v>
      </c>
      <c r="G13" s="26">
        <v>1381.05</v>
      </c>
      <c r="H13" s="28" t="s">
        <v>97</v>
      </c>
      <c r="I13" s="26">
        <v>976.50000000000011</v>
      </c>
      <c r="J13" s="28" t="s">
        <v>97</v>
      </c>
      <c r="K13" s="26">
        <v>2538.9000000000005</v>
      </c>
      <c r="L13" s="28" t="s">
        <v>97</v>
      </c>
      <c r="M13" s="26">
        <v>2678.4000000000005</v>
      </c>
      <c r="N13" s="28" t="s">
        <v>97</v>
      </c>
      <c r="O13" s="26">
        <v>334.8</v>
      </c>
    </row>
    <row r="14" spans="1:15" x14ac:dyDescent="0.25">
      <c r="A14" s="9" t="s">
        <v>22</v>
      </c>
      <c r="B14" s="26">
        <v>6072868.2899999991</v>
      </c>
      <c r="C14" s="26">
        <v>18317221.934968688</v>
      </c>
      <c r="D14" s="26">
        <v>3278044.8309188783</v>
      </c>
      <c r="E14" s="26">
        <v>2012881.5313152398</v>
      </c>
      <c r="F14" s="26">
        <v>2700662.5062729893</v>
      </c>
      <c r="G14" s="26">
        <v>2846789.5942886965</v>
      </c>
      <c r="H14" s="28" t="s">
        <v>97</v>
      </c>
      <c r="I14" s="26">
        <v>2012881.5313152401</v>
      </c>
      <c r="J14" s="28" t="s">
        <v>97</v>
      </c>
      <c r="K14" s="26">
        <v>5233491.9814196248</v>
      </c>
      <c r="L14" s="28" t="s">
        <v>97</v>
      </c>
      <c r="M14" s="26">
        <v>5521046.4858932309</v>
      </c>
      <c r="N14" s="28" t="s">
        <v>97</v>
      </c>
      <c r="O14" s="26">
        <v>690130.81073665374</v>
      </c>
    </row>
    <row r="15" spans="1:15" x14ac:dyDescent="0.25">
      <c r="A15" s="9" t="s">
        <v>99</v>
      </c>
      <c r="B15" s="26">
        <v>303643.41449999996</v>
      </c>
      <c r="C15" s="26">
        <v>482085.12675000005</v>
      </c>
      <c r="D15" s="26">
        <v>163902.24154594392</v>
      </c>
      <c r="E15" s="26">
        <v>100644.07656576199</v>
      </c>
      <c r="F15" s="26">
        <v>135033.12531364948</v>
      </c>
      <c r="G15" s="26">
        <v>142339.47971443483</v>
      </c>
      <c r="H15" s="28" t="s">
        <v>97</v>
      </c>
      <c r="I15" s="26">
        <v>100644.07656576201</v>
      </c>
      <c r="J15" s="28" t="s">
        <v>97</v>
      </c>
      <c r="K15" s="26">
        <v>261674.59907098126</v>
      </c>
      <c r="L15" s="28" t="s">
        <v>97</v>
      </c>
      <c r="M15" s="26">
        <v>276052.32429466158</v>
      </c>
      <c r="N15" s="28" t="s">
        <v>97</v>
      </c>
      <c r="O15" s="26">
        <v>34506.54053683269</v>
      </c>
    </row>
    <row r="16" spans="1:15" x14ac:dyDescent="0.25">
      <c r="A16" s="9" t="s">
        <v>100</v>
      </c>
      <c r="B16" s="26">
        <v>155914.5</v>
      </c>
      <c r="C16" s="26">
        <v>255750.00000000003</v>
      </c>
      <c r="D16" s="26">
        <v>93511.5</v>
      </c>
      <c r="E16" s="26">
        <v>46500</v>
      </c>
      <c r="F16" s="26">
        <v>62403.000000000007</v>
      </c>
      <c r="G16" s="26">
        <v>51150.000000000007</v>
      </c>
      <c r="H16" s="28" t="s">
        <v>97</v>
      </c>
      <c r="I16" s="26">
        <v>32550.000000000004</v>
      </c>
      <c r="J16" s="28" t="s">
        <v>97</v>
      </c>
      <c r="K16" s="26">
        <v>65100.000000000007</v>
      </c>
      <c r="L16" s="28" t="s">
        <v>97</v>
      </c>
      <c r="M16" s="26">
        <v>55800.000000000007</v>
      </c>
      <c r="N16" s="28" t="s">
        <v>97</v>
      </c>
      <c r="O16" s="26">
        <v>4650</v>
      </c>
    </row>
    <row r="17" spans="1:15" x14ac:dyDescent="0.25">
      <c r="A17" s="9" t="s">
        <v>101</v>
      </c>
      <c r="B17" s="26">
        <v>6532426.2044999991</v>
      </c>
      <c r="C17" s="26">
        <v>10379537.66175</v>
      </c>
      <c r="D17" s="26">
        <v>3535458.5724648223</v>
      </c>
      <c r="E17" s="26">
        <v>2160025.6078810017</v>
      </c>
      <c r="F17" s="26">
        <v>2898098.6315866387</v>
      </c>
      <c r="G17" s="26">
        <v>3040279.0740031311</v>
      </c>
      <c r="H17" s="28" t="s">
        <v>97</v>
      </c>
      <c r="I17" s="26">
        <v>2146075.6078810021</v>
      </c>
      <c r="J17" s="28" t="s">
        <v>97</v>
      </c>
      <c r="K17" s="26">
        <v>5560266.5804906059</v>
      </c>
      <c r="L17" s="28" t="s">
        <v>97</v>
      </c>
      <c r="M17" s="26">
        <v>5852898.8101878921</v>
      </c>
      <c r="N17" s="28" t="s">
        <v>97</v>
      </c>
      <c r="O17" s="26">
        <v>729287.35127348639</v>
      </c>
    </row>
    <row r="18" spans="1:15" x14ac:dyDescent="0.25">
      <c r="A18" s="23" t="s">
        <v>93</v>
      </c>
      <c r="B18" s="27">
        <v>1948.2332849686845</v>
      </c>
      <c r="C18" s="27">
        <v>1887.1886657727273</v>
      </c>
      <c r="D18" s="27">
        <v>1758.0599564718161</v>
      </c>
      <c r="E18" s="27">
        <v>2160.0256078810016</v>
      </c>
      <c r="F18" s="27">
        <v>2159.5369832985384</v>
      </c>
      <c r="G18" s="27">
        <v>2763.8900672755735</v>
      </c>
      <c r="H18" s="28" t="s">
        <v>97</v>
      </c>
      <c r="I18" s="27">
        <v>3065.8222969728604</v>
      </c>
      <c r="J18" s="28" t="s">
        <v>97</v>
      </c>
      <c r="K18" s="27">
        <v>3971.6189860647187</v>
      </c>
      <c r="L18" s="28" t="s">
        <v>97</v>
      </c>
      <c r="M18" s="27">
        <v>4877.415675156577</v>
      </c>
      <c r="N18" s="28" t="s">
        <v>97</v>
      </c>
      <c r="O18" s="27">
        <v>7292.8735127348637</v>
      </c>
    </row>
    <row r="19" spans="1:15" x14ac:dyDescent="0.25">
      <c r="A19" s="23" t="s">
        <v>96</v>
      </c>
      <c r="B19" s="27">
        <v>209.48744999663273</v>
      </c>
      <c r="C19" s="27">
        <v>202.92351244868033</v>
      </c>
      <c r="D19" s="27">
        <v>189.03870499696947</v>
      </c>
      <c r="E19" s="27">
        <v>232.26081805172058</v>
      </c>
      <c r="F19" s="27">
        <v>232.20827777403636</v>
      </c>
      <c r="G19" s="27">
        <v>297.19248035221216</v>
      </c>
      <c r="H19" s="28" t="s">
        <v>97</v>
      </c>
      <c r="I19" s="27">
        <v>329.6583115024581</v>
      </c>
      <c r="J19" s="28" t="s">
        <v>97</v>
      </c>
      <c r="K19" s="27">
        <v>427.05580495319555</v>
      </c>
      <c r="L19" s="28" t="s">
        <v>97</v>
      </c>
      <c r="M19" s="27">
        <v>524.45329840393299</v>
      </c>
      <c r="N19" s="28" t="s">
        <v>97</v>
      </c>
      <c r="O19" s="27">
        <v>784.1799476058992</v>
      </c>
    </row>
    <row r="21" spans="1:15" x14ac:dyDescent="0.25">
      <c r="C21">
        <v>9.3000000000000007</v>
      </c>
    </row>
    <row r="22" spans="1:15" ht="15.75" thickBot="1" x14ac:dyDescent="0.3"/>
    <row r="23" spans="1:15" ht="16.5" thickBot="1" x14ac:dyDescent="0.3">
      <c r="A23" s="31" t="s">
        <v>102</v>
      </c>
      <c r="B23" s="32" t="s">
        <v>103</v>
      </c>
      <c r="C23" s="32" t="s">
        <v>104</v>
      </c>
    </row>
    <row r="24" spans="1:15" ht="16.5" thickBot="1" x14ac:dyDescent="0.3">
      <c r="A24" s="33" t="s">
        <v>105</v>
      </c>
      <c r="B24" s="34" t="s">
        <v>106</v>
      </c>
      <c r="C24" s="37" t="s">
        <v>107</v>
      </c>
    </row>
    <row r="25" spans="1:15" ht="32.25" thickBot="1" x14ac:dyDescent="0.3">
      <c r="A25" s="33" t="s">
        <v>108</v>
      </c>
      <c r="B25" s="34">
        <v>430</v>
      </c>
      <c r="C25" s="37">
        <v>6675</v>
      </c>
    </row>
    <row r="26" spans="1:15" ht="16.5" thickBot="1" x14ac:dyDescent="0.3">
      <c r="A26" s="33" t="s">
        <v>109</v>
      </c>
      <c r="B26" s="34">
        <v>150</v>
      </c>
      <c r="C26" s="38">
        <v>10</v>
      </c>
    </row>
    <row r="27" spans="1:15" ht="16.5" thickBot="1" x14ac:dyDescent="0.3">
      <c r="A27" s="33" t="s">
        <v>110</v>
      </c>
      <c r="B27" s="34">
        <v>254</v>
      </c>
      <c r="C27" s="38" t="s">
        <v>111</v>
      </c>
    </row>
    <row r="28" spans="1:15" ht="16.5" thickBot="1" x14ac:dyDescent="0.3">
      <c r="A28" s="33" t="s">
        <v>112</v>
      </c>
      <c r="B28" s="35"/>
      <c r="C28" s="39"/>
    </row>
    <row r="29" spans="1:15" ht="16.5" thickBot="1" x14ac:dyDescent="0.3">
      <c r="A29" s="33" t="s">
        <v>113</v>
      </c>
      <c r="B29" s="34">
        <v>24</v>
      </c>
      <c r="C29" s="38" t="s">
        <v>114</v>
      </c>
    </row>
    <row r="30" spans="1:15" ht="16.5" thickBot="1" x14ac:dyDescent="0.3">
      <c r="A30" s="33" t="s">
        <v>115</v>
      </c>
      <c r="B30" s="34">
        <v>210</v>
      </c>
      <c r="C30" s="38" t="s">
        <v>114</v>
      </c>
    </row>
    <row r="31" spans="1:15" ht="16.5" thickBot="1" x14ac:dyDescent="0.3">
      <c r="A31" s="33" t="s">
        <v>116</v>
      </c>
      <c r="B31" s="34">
        <v>12</v>
      </c>
      <c r="C31" s="38" t="s">
        <v>117</v>
      </c>
    </row>
    <row r="32" spans="1:15" ht="32.25" thickBot="1" x14ac:dyDescent="0.3">
      <c r="A32" s="33" t="s">
        <v>118</v>
      </c>
      <c r="B32" s="34">
        <v>8</v>
      </c>
      <c r="C32" s="38" t="s">
        <v>119</v>
      </c>
    </row>
    <row r="33" spans="1:5" ht="32.25" thickBot="1" x14ac:dyDescent="0.3">
      <c r="A33" s="33" t="s">
        <v>120</v>
      </c>
      <c r="B33" s="34">
        <v>8760</v>
      </c>
      <c r="C33" s="38">
        <v>8760</v>
      </c>
    </row>
    <row r="34" spans="1:5" ht="16.5" thickBot="1" x14ac:dyDescent="0.3">
      <c r="A34" s="33" t="s">
        <v>121</v>
      </c>
      <c r="B34" s="34">
        <v>34</v>
      </c>
      <c r="C34" s="38">
        <v>53</v>
      </c>
    </row>
    <row r="35" spans="1:5" ht="32.25" thickBot="1" x14ac:dyDescent="0.3">
      <c r="A35" s="33" t="s">
        <v>122</v>
      </c>
      <c r="B35" s="34">
        <v>5173</v>
      </c>
      <c r="C35" s="38">
        <v>32206</v>
      </c>
    </row>
    <row r="36" spans="1:5" ht="32.25" thickBot="1" x14ac:dyDescent="0.3">
      <c r="A36" s="33" t="s">
        <v>123</v>
      </c>
      <c r="B36" s="34">
        <v>20</v>
      </c>
      <c r="C36" s="38" t="s">
        <v>124</v>
      </c>
    </row>
    <row r="37" spans="1:5" ht="32.25" thickBot="1" x14ac:dyDescent="0.3">
      <c r="A37" s="33" t="s">
        <v>125</v>
      </c>
      <c r="B37" s="34">
        <v>246</v>
      </c>
      <c r="C37" s="38" t="s">
        <v>106</v>
      </c>
      <c r="E37">
        <f>C39*C21</f>
        <v>28308.735000000001</v>
      </c>
    </row>
    <row r="38" spans="1:5" ht="32.25" thickBot="1" x14ac:dyDescent="0.3">
      <c r="A38" s="33" t="s">
        <v>126</v>
      </c>
      <c r="B38" s="34">
        <v>46968</v>
      </c>
      <c r="C38" s="38">
        <v>23415</v>
      </c>
    </row>
    <row r="39" spans="1:5" ht="32.25" thickBot="1" x14ac:dyDescent="0.3">
      <c r="A39" s="33" t="s">
        <v>127</v>
      </c>
      <c r="B39" s="34" t="s">
        <v>128</v>
      </c>
      <c r="C39" s="38">
        <v>3043.95</v>
      </c>
    </row>
    <row r="40" spans="1:5" ht="32.25" thickBot="1" x14ac:dyDescent="0.3">
      <c r="A40" s="33" t="s">
        <v>129</v>
      </c>
      <c r="B40" s="34">
        <v>517323</v>
      </c>
      <c r="C40" s="38">
        <v>480732</v>
      </c>
    </row>
    <row r="41" spans="1:5" ht="48" thickBot="1" x14ac:dyDescent="0.3">
      <c r="A41" s="33" t="s">
        <v>130</v>
      </c>
      <c r="B41" s="34" t="s">
        <v>131</v>
      </c>
      <c r="C41" s="38" t="s">
        <v>131</v>
      </c>
    </row>
    <row r="42" spans="1:5" ht="32.25" thickBot="1" x14ac:dyDescent="0.3">
      <c r="A42" s="33" t="s">
        <v>132</v>
      </c>
      <c r="B42" s="36">
        <v>127769</v>
      </c>
      <c r="C42" s="38">
        <v>172975</v>
      </c>
    </row>
    <row r="43" spans="1:5" ht="32.25" thickBot="1" x14ac:dyDescent="0.3">
      <c r="A43" s="33" t="s">
        <v>133</v>
      </c>
      <c r="B43" s="34">
        <v>13200</v>
      </c>
      <c r="C43" s="38">
        <v>13200</v>
      </c>
    </row>
  </sheetData>
  <mergeCells count="10">
    <mergeCell ref="B5:O5"/>
    <mergeCell ref="A1:A2"/>
    <mergeCell ref="B1:C2"/>
    <mergeCell ref="D1:O1"/>
    <mergeCell ref="D2:E2"/>
    <mergeCell ref="F2:G2"/>
    <mergeCell ref="H2:I2"/>
    <mergeCell ref="J2:K2"/>
    <mergeCell ref="L2:M2"/>
    <mergeCell ref="N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opLeftCell="A46" workbookViewId="0">
      <selection activeCell="C69" sqref="C69"/>
    </sheetView>
  </sheetViews>
  <sheetFormatPr defaultRowHeight="15" x14ac:dyDescent="0.25"/>
  <cols>
    <col min="1" max="1" width="38" customWidth="1"/>
    <col min="2" max="2" width="9.28515625" bestFit="1" customWidth="1"/>
    <col min="3" max="3" width="8.42578125" bestFit="1" customWidth="1"/>
    <col min="4" max="4" width="18.42578125" bestFit="1" customWidth="1"/>
  </cols>
  <sheetData>
    <row r="1" spans="1:7" ht="18.75" x14ac:dyDescent="0.3">
      <c r="A1" s="11"/>
      <c r="B1" s="11"/>
      <c r="C1" s="11"/>
      <c r="D1" s="11"/>
      <c r="E1" s="77" t="s">
        <v>30</v>
      </c>
      <c r="F1" s="77"/>
      <c r="G1" s="77"/>
    </row>
    <row r="3" spans="1:7" ht="18.75" x14ac:dyDescent="0.3">
      <c r="A3" s="76" t="s">
        <v>31</v>
      </c>
      <c r="B3" s="76"/>
      <c r="C3" s="76"/>
      <c r="D3" s="76"/>
      <c r="E3" s="76"/>
      <c r="F3" s="76"/>
      <c r="G3" s="76"/>
    </row>
    <row r="4" spans="1:7" ht="18.75" x14ac:dyDescent="0.3">
      <c r="A4" s="76" t="s">
        <v>32</v>
      </c>
      <c r="B4" s="76"/>
      <c r="C4" s="76"/>
      <c r="D4" s="76"/>
      <c r="E4" s="76"/>
      <c r="F4" s="76"/>
      <c r="G4" s="76"/>
    </row>
    <row r="5" spans="1:7" ht="18.75" x14ac:dyDescent="0.3">
      <c r="A5" s="11"/>
      <c r="B5" s="11"/>
      <c r="C5" s="11"/>
      <c r="D5" s="11"/>
      <c r="E5" s="11"/>
      <c r="F5" s="78"/>
      <c r="G5" s="78"/>
    </row>
    <row r="6" spans="1:7" ht="15.75" x14ac:dyDescent="0.25">
      <c r="A6" s="79" t="s">
        <v>33</v>
      </c>
      <c r="B6" s="79" t="s">
        <v>34</v>
      </c>
      <c r="C6" s="75" t="s">
        <v>35</v>
      </c>
      <c r="D6" s="75"/>
      <c r="E6" s="13" t="s">
        <v>36</v>
      </c>
      <c r="F6" s="75" t="s">
        <v>37</v>
      </c>
      <c r="G6" s="75"/>
    </row>
    <row r="7" spans="1:7" ht="15.75" x14ac:dyDescent="0.25">
      <c r="A7" s="80"/>
      <c r="B7" s="80"/>
      <c r="C7" s="13" t="s">
        <v>38</v>
      </c>
      <c r="D7" s="13" t="s">
        <v>39</v>
      </c>
      <c r="E7" s="13" t="s">
        <v>40</v>
      </c>
      <c r="F7" s="13" t="s">
        <v>41</v>
      </c>
      <c r="G7" s="13" t="s">
        <v>42</v>
      </c>
    </row>
    <row r="8" spans="1:7" ht="31.5" x14ac:dyDescent="0.25">
      <c r="A8" s="14" t="s">
        <v>43</v>
      </c>
      <c r="B8" s="15" t="s">
        <v>44</v>
      </c>
      <c r="C8" s="16">
        <v>16883</v>
      </c>
      <c r="D8" s="16">
        <v>21910</v>
      </c>
      <c r="E8" s="16">
        <v>12129</v>
      </c>
      <c r="F8" s="17">
        <v>129.77551383048035</v>
      </c>
      <c r="G8" s="17">
        <v>180.64143787616456</v>
      </c>
    </row>
    <row r="9" spans="1:7" ht="31.5" x14ac:dyDescent="0.25">
      <c r="A9" s="14" t="s">
        <v>45</v>
      </c>
      <c r="B9" s="15" t="s">
        <v>44</v>
      </c>
      <c r="C9" s="16">
        <v>16514</v>
      </c>
      <c r="D9" s="16">
        <v>19433</v>
      </c>
      <c r="E9" s="16">
        <v>16220</v>
      </c>
      <c r="F9" s="17">
        <v>117.67591134794719</v>
      </c>
      <c r="G9" s="17">
        <v>119.80887792848335</v>
      </c>
    </row>
    <row r="10" spans="1:7" ht="15.75" x14ac:dyDescent="0.25">
      <c r="A10" s="14" t="s">
        <v>46</v>
      </c>
      <c r="B10" s="15" t="s">
        <v>44</v>
      </c>
      <c r="C10" s="16">
        <v>15348</v>
      </c>
      <c r="D10" s="22">
        <v>19552</v>
      </c>
      <c r="E10" s="16">
        <v>9540</v>
      </c>
      <c r="F10" s="17">
        <v>127.3911910346625</v>
      </c>
      <c r="G10" s="17">
        <v>204.94758909853249</v>
      </c>
    </row>
    <row r="11" spans="1:7" ht="15.75" x14ac:dyDescent="0.25">
      <c r="A11" s="18" t="s">
        <v>47</v>
      </c>
      <c r="B11" s="15" t="s">
        <v>44</v>
      </c>
      <c r="C11" s="19" t="s">
        <v>48</v>
      </c>
      <c r="D11" s="16">
        <v>11360</v>
      </c>
      <c r="E11" s="16">
        <v>5552</v>
      </c>
      <c r="F11" s="17" t="s">
        <v>48</v>
      </c>
      <c r="G11" s="17">
        <v>204.61095100864551</v>
      </c>
    </row>
    <row r="12" spans="1:7" ht="31.5" x14ac:dyDescent="0.25">
      <c r="A12" s="18" t="s">
        <v>49</v>
      </c>
      <c r="B12" s="15" t="s">
        <v>50</v>
      </c>
      <c r="C12" s="17" t="s">
        <v>48</v>
      </c>
      <c r="D12" s="17">
        <v>58.10147299509002</v>
      </c>
      <c r="E12" s="17">
        <v>58.19706498951782</v>
      </c>
      <c r="F12" s="17" t="s">
        <v>48</v>
      </c>
      <c r="G12" s="17">
        <v>99.83574430352283</v>
      </c>
    </row>
    <row r="13" spans="1:7" ht="47.25" x14ac:dyDescent="0.25">
      <c r="A13" s="14" t="s">
        <v>51</v>
      </c>
      <c r="B13" s="15" t="s">
        <v>44</v>
      </c>
      <c r="C13" s="16">
        <v>9304</v>
      </c>
      <c r="D13" s="16">
        <v>10970</v>
      </c>
      <c r="E13" s="16">
        <v>9406</v>
      </c>
      <c r="F13" s="17">
        <v>117.90627687016337</v>
      </c>
      <c r="G13" s="17">
        <v>116.62768445672975</v>
      </c>
    </row>
    <row r="14" spans="1:7" ht="47.25" x14ac:dyDescent="0.25">
      <c r="A14" s="14" t="s">
        <v>52</v>
      </c>
      <c r="B14" s="15" t="s">
        <v>44</v>
      </c>
      <c r="C14" s="16">
        <v>7210</v>
      </c>
      <c r="D14" s="16">
        <v>8463</v>
      </c>
      <c r="E14" s="16">
        <v>6814</v>
      </c>
      <c r="F14" s="17">
        <v>117.37864077669904</v>
      </c>
      <c r="G14" s="17">
        <v>124.20017610801291</v>
      </c>
    </row>
    <row r="15" spans="1:7" ht="31.5" x14ac:dyDescent="0.25">
      <c r="A15" s="14" t="s">
        <v>53</v>
      </c>
      <c r="B15" s="15" t="s">
        <v>44</v>
      </c>
      <c r="C15" s="16">
        <v>21000</v>
      </c>
      <c r="D15" s="22">
        <v>23153</v>
      </c>
      <c r="E15" s="16">
        <v>13416</v>
      </c>
      <c r="F15" s="17">
        <v>110.25238095238095</v>
      </c>
      <c r="G15" s="17">
        <v>172.57751937984494</v>
      </c>
    </row>
    <row r="16" spans="1:7" ht="31.5" x14ac:dyDescent="0.25">
      <c r="A16" s="14" t="s">
        <v>54</v>
      </c>
      <c r="B16" s="15" t="s">
        <v>44</v>
      </c>
      <c r="C16" s="16">
        <v>19363</v>
      </c>
      <c r="D16" s="22">
        <v>20943</v>
      </c>
      <c r="E16" s="16">
        <v>10538</v>
      </c>
      <c r="F16" s="17">
        <v>108.15989257862935</v>
      </c>
      <c r="G16" s="17">
        <v>198.73790092996774</v>
      </c>
    </row>
    <row r="17" spans="1:7" ht="31.5" x14ac:dyDescent="0.25">
      <c r="A17" s="14" t="s">
        <v>55</v>
      </c>
      <c r="B17" s="15" t="s">
        <v>44</v>
      </c>
      <c r="C17" s="19">
        <v>1637</v>
      </c>
      <c r="D17" s="19">
        <v>2210</v>
      </c>
      <c r="E17" s="19">
        <v>2878</v>
      </c>
      <c r="F17" s="17">
        <v>135.00305436774588</v>
      </c>
      <c r="G17" s="17">
        <v>76.789437109103545</v>
      </c>
    </row>
    <row r="18" spans="1:7" ht="31.5" x14ac:dyDescent="0.25">
      <c r="A18" s="14" t="s">
        <v>56</v>
      </c>
      <c r="B18" s="15" t="s">
        <v>50</v>
      </c>
      <c r="C18" s="17">
        <v>8.4542684501368583</v>
      </c>
      <c r="D18" s="17">
        <v>10.552451893234016</v>
      </c>
      <c r="E18" s="17">
        <v>27.31068513949516</v>
      </c>
      <c r="F18" s="17">
        <v>2.0981834430971578</v>
      </c>
      <c r="G18" s="17">
        <v>-16.758233246261142</v>
      </c>
    </row>
    <row r="19" spans="1:7" ht="15.75" x14ac:dyDescent="0.25">
      <c r="A19" s="14" t="s">
        <v>57</v>
      </c>
      <c r="B19" s="15" t="s">
        <v>44</v>
      </c>
      <c r="C19" s="16">
        <v>300</v>
      </c>
      <c r="D19" s="22">
        <v>579</v>
      </c>
      <c r="E19" s="16">
        <v>2558</v>
      </c>
      <c r="F19" s="17">
        <v>193</v>
      </c>
      <c r="G19" s="17">
        <v>22.634870992963251</v>
      </c>
    </row>
    <row r="20" spans="1:7" ht="31.5" x14ac:dyDescent="0.25">
      <c r="A20" s="14" t="s">
        <v>58</v>
      </c>
      <c r="B20" s="15" t="s">
        <v>44</v>
      </c>
      <c r="C20" s="16">
        <v>10250</v>
      </c>
      <c r="D20" s="16">
        <v>11454</v>
      </c>
      <c r="E20" s="16">
        <v>5693</v>
      </c>
      <c r="F20" s="17">
        <v>111.74634146341464</v>
      </c>
      <c r="G20" s="17">
        <v>201.19444932373091</v>
      </c>
    </row>
    <row r="21" spans="1:7" ht="31.5" x14ac:dyDescent="0.25">
      <c r="A21" s="14" t="s">
        <v>59</v>
      </c>
      <c r="B21" s="15" t="s">
        <v>44</v>
      </c>
      <c r="C21" s="16">
        <v>9017</v>
      </c>
      <c r="D21" s="16">
        <v>9390</v>
      </c>
      <c r="E21" s="16">
        <v>4873</v>
      </c>
      <c r="F21" s="17">
        <v>104.13663080847289</v>
      </c>
      <c r="G21" s="17">
        <v>192.69443874410015</v>
      </c>
    </row>
    <row r="22" spans="1:7" ht="31.5" x14ac:dyDescent="0.25">
      <c r="A22" s="14" t="s">
        <v>60</v>
      </c>
      <c r="B22" s="15" t="s">
        <v>50</v>
      </c>
      <c r="C22" s="17">
        <v>13.674171010313852</v>
      </c>
      <c r="D22" s="17">
        <v>21.980830670926519</v>
      </c>
      <c r="E22" s="17">
        <v>16.82741637594911</v>
      </c>
      <c r="F22" s="17">
        <v>8.3066596606126666</v>
      </c>
      <c r="G22" s="17">
        <v>5.1534142949774093</v>
      </c>
    </row>
    <row r="23" spans="1:7" ht="31.5" x14ac:dyDescent="0.25">
      <c r="A23" s="14" t="s">
        <v>61</v>
      </c>
      <c r="B23" s="15" t="s">
        <v>44</v>
      </c>
      <c r="C23" s="16">
        <v>10750</v>
      </c>
      <c r="D23" s="16">
        <v>11699</v>
      </c>
      <c r="E23" s="16">
        <v>7723</v>
      </c>
      <c r="F23" s="17">
        <v>108.82790697674419</v>
      </c>
      <c r="G23" s="17">
        <v>151.48258448789332</v>
      </c>
    </row>
    <row r="24" spans="1:7" ht="31.5" x14ac:dyDescent="0.25">
      <c r="A24" s="14" t="s">
        <v>62</v>
      </c>
      <c r="B24" s="15" t="s">
        <v>44</v>
      </c>
      <c r="C24" s="16">
        <v>10346</v>
      </c>
      <c r="D24" s="22">
        <v>11553</v>
      </c>
      <c r="E24" s="16">
        <v>5665</v>
      </c>
      <c r="F24" s="17">
        <v>111.66634448095883</v>
      </c>
      <c r="G24" s="17">
        <v>203.93645189761696</v>
      </c>
    </row>
    <row r="25" spans="1:7" ht="31.5" x14ac:dyDescent="0.25">
      <c r="A25" s="14" t="s">
        <v>63</v>
      </c>
      <c r="B25" s="15" t="s">
        <v>50</v>
      </c>
      <c r="C25" s="17">
        <v>3.9048907790450413</v>
      </c>
      <c r="D25" s="17">
        <v>1.2637410196485761</v>
      </c>
      <c r="E25" s="17">
        <v>36.328331862312446</v>
      </c>
      <c r="F25" s="17">
        <v>-2.6411497593964652</v>
      </c>
      <c r="G25" s="17">
        <v>-35.064590842663868</v>
      </c>
    </row>
    <row r="26" spans="1:7" ht="31.5" x14ac:dyDescent="0.25">
      <c r="A26" s="14" t="s">
        <v>64</v>
      </c>
      <c r="B26" s="15" t="s">
        <v>44</v>
      </c>
      <c r="C26" s="16">
        <v>11160</v>
      </c>
      <c r="D26" s="16">
        <v>12771</v>
      </c>
      <c r="E26" s="16">
        <v>8385</v>
      </c>
      <c r="F26" s="17">
        <v>114.43548387096773</v>
      </c>
      <c r="G26" s="17">
        <v>152.30769230769229</v>
      </c>
    </row>
    <row r="27" spans="1:7" ht="31.5" x14ac:dyDescent="0.25">
      <c r="A27" s="14" t="s">
        <v>65</v>
      </c>
      <c r="B27" s="15" t="s">
        <v>44</v>
      </c>
      <c r="C27" s="16">
        <v>10253</v>
      </c>
      <c r="D27" s="16">
        <v>11539</v>
      </c>
      <c r="E27" s="16">
        <v>6751</v>
      </c>
      <c r="F27" s="17">
        <v>112.54267043792061</v>
      </c>
      <c r="G27" s="17">
        <v>170.92282624796326</v>
      </c>
    </row>
    <row r="28" spans="1:7" ht="31.5" x14ac:dyDescent="0.25">
      <c r="A28" s="14" t="s">
        <v>66</v>
      </c>
      <c r="B28" s="15" t="s">
        <v>50</v>
      </c>
      <c r="C28" s="17">
        <v>8.8461913586267436</v>
      </c>
      <c r="D28" s="17">
        <v>10.676835081029552</v>
      </c>
      <c r="E28" s="17">
        <v>24.203821656050955</v>
      </c>
      <c r="F28" s="17">
        <v>1.830643722402808</v>
      </c>
      <c r="G28" s="17">
        <v>-13.526986575021404</v>
      </c>
    </row>
    <row r="29" spans="1:7" ht="31.5" x14ac:dyDescent="0.25">
      <c r="A29" s="14" t="s">
        <v>67</v>
      </c>
      <c r="B29" s="15" t="s">
        <v>44</v>
      </c>
      <c r="C29" s="16">
        <v>9840</v>
      </c>
      <c r="D29" s="22">
        <v>10090</v>
      </c>
      <c r="E29" s="16">
        <v>4840</v>
      </c>
      <c r="F29" s="17">
        <v>102.54065040650406</v>
      </c>
      <c r="G29" s="17">
        <v>208.47107438016531</v>
      </c>
    </row>
    <row r="30" spans="1:7" ht="31.5" x14ac:dyDescent="0.25">
      <c r="A30" s="14" t="s">
        <v>68</v>
      </c>
      <c r="B30" s="15" t="s">
        <v>44</v>
      </c>
      <c r="C30" s="16">
        <v>9110</v>
      </c>
      <c r="D30" s="22">
        <v>9155</v>
      </c>
      <c r="E30" s="16">
        <v>3617</v>
      </c>
      <c r="F30" s="17">
        <v>100.4939626783754</v>
      </c>
      <c r="G30" s="17">
        <v>253.11031241360246</v>
      </c>
    </row>
    <row r="31" spans="1:7" ht="31.5" x14ac:dyDescent="0.25">
      <c r="A31" s="14" t="s">
        <v>69</v>
      </c>
      <c r="B31" s="15" t="s">
        <v>50</v>
      </c>
      <c r="C31" s="17">
        <v>8.0131723380900102</v>
      </c>
      <c r="D31" s="17">
        <v>10.212998361551065</v>
      </c>
      <c r="E31" s="17">
        <v>33.81255183854023</v>
      </c>
      <c r="F31" s="17">
        <v>2.1998260234610552</v>
      </c>
      <c r="G31" s="17">
        <v>-23.599553476989165</v>
      </c>
    </row>
    <row r="32" spans="1:7" ht="31.5" x14ac:dyDescent="0.25">
      <c r="A32" s="14" t="s">
        <v>70</v>
      </c>
      <c r="B32" s="15" t="s">
        <v>44</v>
      </c>
      <c r="C32" s="16" t="s">
        <v>71</v>
      </c>
      <c r="D32" s="22">
        <v>292</v>
      </c>
      <c r="E32" s="16">
        <v>191</v>
      </c>
      <c r="F32" s="17" t="s">
        <v>71</v>
      </c>
      <c r="G32" s="17">
        <v>152.87958115183247</v>
      </c>
    </row>
    <row r="33" spans="1:7" ht="31.5" x14ac:dyDescent="0.25">
      <c r="A33" s="14" t="s">
        <v>72</v>
      </c>
      <c r="B33" s="15" t="s">
        <v>44</v>
      </c>
      <c r="C33" s="16" t="s">
        <v>71</v>
      </c>
      <c r="D33" s="22">
        <v>249</v>
      </c>
      <c r="E33" s="16">
        <v>170</v>
      </c>
      <c r="F33" s="17" t="s">
        <v>71</v>
      </c>
      <c r="G33" s="17">
        <v>146.47058823529412</v>
      </c>
    </row>
    <row r="34" spans="1:7" ht="31.5" x14ac:dyDescent="0.25">
      <c r="A34" s="14" t="s">
        <v>73</v>
      </c>
      <c r="B34" s="15" t="s">
        <v>50</v>
      </c>
      <c r="C34" s="17" t="s">
        <v>71</v>
      </c>
      <c r="D34" s="17">
        <v>17.269076305220885</v>
      </c>
      <c r="E34" s="17">
        <v>12.352941176470589</v>
      </c>
      <c r="F34" s="17" t="s">
        <v>71</v>
      </c>
      <c r="G34" s="17">
        <v>4.9161351287502963</v>
      </c>
    </row>
    <row r="35" spans="1:7" ht="47.25" x14ac:dyDescent="0.25">
      <c r="A35" s="14" t="s">
        <v>74</v>
      </c>
      <c r="B35" s="15" t="s">
        <v>44</v>
      </c>
      <c r="C35" s="16">
        <v>492</v>
      </c>
      <c r="D35" s="16">
        <v>586</v>
      </c>
      <c r="E35" s="16">
        <v>354</v>
      </c>
      <c r="F35" s="17">
        <v>119.10569105691057</v>
      </c>
      <c r="G35" s="17">
        <v>165.5367231638418</v>
      </c>
    </row>
    <row r="36" spans="1:7" ht="47.25" x14ac:dyDescent="0.25">
      <c r="A36" s="14" t="s">
        <v>75</v>
      </c>
      <c r="B36" s="15" t="s">
        <v>50</v>
      </c>
      <c r="C36" s="20">
        <v>35</v>
      </c>
      <c r="D36" s="20">
        <v>32.1</v>
      </c>
      <c r="E36" s="20">
        <v>35</v>
      </c>
      <c r="F36" s="17">
        <v>-2.8999999999999986</v>
      </c>
      <c r="G36" s="17">
        <v>-2.8999999999999986</v>
      </c>
    </row>
    <row r="37" spans="1:7" ht="15.75" x14ac:dyDescent="0.25">
      <c r="A37" s="14" t="s">
        <v>76</v>
      </c>
      <c r="B37" s="15" t="s">
        <v>77</v>
      </c>
      <c r="C37" s="16">
        <v>99</v>
      </c>
      <c r="D37" s="16">
        <v>100</v>
      </c>
      <c r="E37" s="16">
        <v>109</v>
      </c>
      <c r="F37" s="17">
        <v>101.01010101010101</v>
      </c>
      <c r="G37" s="17">
        <v>91.743119266055047</v>
      </c>
    </row>
    <row r="38" spans="1:7" ht="31.5" x14ac:dyDescent="0.25">
      <c r="A38" s="14" t="s">
        <v>78</v>
      </c>
      <c r="B38" s="15" t="s">
        <v>44</v>
      </c>
      <c r="C38" s="19">
        <v>166808.08080808079</v>
      </c>
      <c r="D38" s="19">
        <v>194330</v>
      </c>
      <c r="E38" s="19">
        <v>148807.33944954126</v>
      </c>
      <c r="F38" s="17">
        <v>116.49915223446774</v>
      </c>
      <c r="G38" s="17">
        <v>130.59167694204689</v>
      </c>
    </row>
    <row r="39" spans="1:7" ht="31.5" x14ac:dyDescent="0.25">
      <c r="A39" s="14" t="s">
        <v>79</v>
      </c>
      <c r="B39" s="15" t="s">
        <v>50</v>
      </c>
      <c r="C39" s="20">
        <v>112</v>
      </c>
      <c r="D39" s="20">
        <v>130.6</v>
      </c>
      <c r="E39" s="20">
        <v>130.6</v>
      </c>
      <c r="F39" s="17">
        <v>18.599999999999994</v>
      </c>
      <c r="G39" s="17">
        <v>0</v>
      </c>
    </row>
    <row r="40" spans="1:7" ht="31.5" x14ac:dyDescent="0.25">
      <c r="A40" s="14" t="s">
        <v>80</v>
      </c>
      <c r="B40" s="15" t="s">
        <v>44</v>
      </c>
      <c r="C40" s="19">
        <v>170535.35353535353</v>
      </c>
      <c r="D40" s="19">
        <v>219100</v>
      </c>
      <c r="E40" s="19">
        <v>111275.22935779816</v>
      </c>
      <c r="F40" s="17">
        <v>128.47775869217557</v>
      </c>
      <c r="G40" s="17">
        <v>196.89916728501936</v>
      </c>
    </row>
    <row r="41" spans="1:7" ht="31.5" x14ac:dyDescent="0.25">
      <c r="A41" s="14" t="s">
        <v>81</v>
      </c>
      <c r="B41" s="15" t="s">
        <v>50</v>
      </c>
      <c r="C41" s="20">
        <v>125</v>
      </c>
      <c r="D41" s="20">
        <v>141</v>
      </c>
      <c r="E41" s="20">
        <v>68</v>
      </c>
      <c r="F41" s="17">
        <v>16</v>
      </c>
      <c r="G41" s="17">
        <v>73</v>
      </c>
    </row>
    <row r="42" spans="1:7" ht="47.25" x14ac:dyDescent="0.25">
      <c r="A42" s="14" t="s">
        <v>82</v>
      </c>
      <c r="B42" s="15" t="s">
        <v>44</v>
      </c>
      <c r="C42" s="16">
        <v>9840</v>
      </c>
      <c r="D42" s="16">
        <v>10396</v>
      </c>
      <c r="E42" s="16">
        <v>5302</v>
      </c>
      <c r="F42" s="17">
        <v>105.65040650406503</v>
      </c>
      <c r="G42" s="17">
        <v>196.07695209354961</v>
      </c>
    </row>
    <row r="43" spans="1:7" ht="31.5" x14ac:dyDescent="0.25">
      <c r="A43" s="14" t="s">
        <v>83</v>
      </c>
      <c r="B43" s="15" t="s">
        <v>44</v>
      </c>
      <c r="C43" s="16">
        <v>9110</v>
      </c>
      <c r="D43" s="22">
        <v>9470</v>
      </c>
      <c r="E43" s="16">
        <v>4116</v>
      </c>
      <c r="F43" s="17">
        <v>103.9517014270033</v>
      </c>
      <c r="G43" s="17">
        <v>230.07774538386784</v>
      </c>
    </row>
    <row r="44" spans="1:7" ht="31.5" x14ac:dyDescent="0.25">
      <c r="A44" s="14" t="s">
        <v>84</v>
      </c>
      <c r="B44" s="15" t="s">
        <v>50</v>
      </c>
      <c r="C44" s="17">
        <v>8.0131723380900102</v>
      </c>
      <c r="D44" s="17">
        <v>9.7782470960929242</v>
      </c>
      <c r="E44" s="17">
        <v>28.814382896015552</v>
      </c>
      <c r="F44" s="17">
        <v>1.765074758002914</v>
      </c>
      <c r="G44" s="17">
        <v>-19.036135799922626</v>
      </c>
    </row>
    <row r="45" spans="1:7" ht="47.25" x14ac:dyDescent="0.25">
      <c r="A45" s="14" t="s">
        <v>85</v>
      </c>
      <c r="B45" s="15" t="s">
        <v>86</v>
      </c>
      <c r="C45" s="21">
        <v>3315</v>
      </c>
      <c r="D45" s="21">
        <v>3196</v>
      </c>
      <c r="E45" s="21">
        <v>1519</v>
      </c>
      <c r="F45" s="17">
        <v>96.410256410256409</v>
      </c>
      <c r="G45" s="17">
        <v>210.40157998683347</v>
      </c>
    </row>
    <row r="46" spans="1:7" ht="18.75" x14ac:dyDescent="0.3">
      <c r="A46" s="12" t="s">
        <v>87</v>
      </c>
      <c r="B46" s="11"/>
      <c r="C46" s="11"/>
      <c r="D46" s="12" t="s">
        <v>88</v>
      </c>
      <c r="E46" s="11"/>
      <c r="F46" s="11"/>
      <c r="G46" s="12" t="s">
        <v>89</v>
      </c>
    </row>
    <row r="47" spans="1:7" ht="18.75" x14ac:dyDescent="0.3">
      <c r="A47" s="12" t="s">
        <v>90</v>
      </c>
      <c r="B47" s="11"/>
      <c r="C47" s="11"/>
      <c r="D47" s="12" t="s">
        <v>91</v>
      </c>
      <c r="E47" s="11"/>
      <c r="F47" s="11"/>
      <c r="G47" s="11"/>
    </row>
    <row r="53" spans="1:10" ht="66" x14ac:dyDescent="0.25">
      <c r="A53" s="53" t="s">
        <v>0</v>
      </c>
      <c r="B53" s="53" t="s">
        <v>1</v>
      </c>
      <c r="C53" s="53" t="s">
        <v>157</v>
      </c>
      <c r="D53" s="53" t="s">
        <v>158</v>
      </c>
    </row>
    <row r="54" spans="1:10" ht="15.75" x14ac:dyDescent="0.25">
      <c r="A54" s="54" t="s">
        <v>5</v>
      </c>
      <c r="B54" s="55">
        <v>1250</v>
      </c>
      <c r="C54" s="6">
        <f>B54*31.7</f>
        <v>39625</v>
      </c>
      <c r="D54" s="6">
        <f>B54*9.3</f>
        <v>11625</v>
      </c>
    </row>
    <row r="55" spans="1:10" ht="15.75" x14ac:dyDescent="0.25">
      <c r="A55" s="54" t="s">
        <v>7</v>
      </c>
      <c r="B55" s="55">
        <v>750</v>
      </c>
      <c r="C55" s="6">
        <f t="shared" ref="C55:C59" si="0">B55*31.7</f>
        <v>23775</v>
      </c>
      <c r="D55" s="6">
        <f t="shared" ref="D55:D59" si="1">B55*9.3</f>
        <v>6975.0000000000009</v>
      </c>
    </row>
    <row r="56" spans="1:10" ht="15.75" x14ac:dyDescent="0.25">
      <c r="A56" s="54" t="s">
        <v>9</v>
      </c>
      <c r="B56" s="55">
        <v>510</v>
      </c>
      <c r="C56" s="6">
        <f t="shared" si="0"/>
        <v>16167</v>
      </c>
      <c r="D56" s="6">
        <f t="shared" si="1"/>
        <v>4743</v>
      </c>
    </row>
    <row r="57" spans="1:10" ht="15.75" x14ac:dyDescent="0.25">
      <c r="A57" s="54" t="s">
        <v>11</v>
      </c>
      <c r="B57" s="55">
        <v>440</v>
      </c>
      <c r="C57" s="6">
        <f t="shared" si="0"/>
        <v>13948</v>
      </c>
      <c r="D57" s="6">
        <f t="shared" si="1"/>
        <v>4092.0000000000005</v>
      </c>
    </row>
    <row r="58" spans="1:10" ht="15.75" x14ac:dyDescent="0.25">
      <c r="A58" s="54" t="s">
        <v>13</v>
      </c>
      <c r="B58" s="55">
        <v>410</v>
      </c>
      <c r="C58" s="6">
        <f t="shared" si="0"/>
        <v>12997</v>
      </c>
      <c r="D58" s="6">
        <f t="shared" si="1"/>
        <v>3813.0000000000005</v>
      </c>
    </row>
    <row r="59" spans="1:10" ht="15.75" x14ac:dyDescent="0.25">
      <c r="A59" s="54" t="s">
        <v>15</v>
      </c>
      <c r="B59" s="55">
        <v>330</v>
      </c>
      <c r="C59" s="6">
        <f t="shared" si="0"/>
        <v>10461</v>
      </c>
      <c r="D59" s="6">
        <f t="shared" si="1"/>
        <v>3069.0000000000005</v>
      </c>
    </row>
    <row r="62" spans="1:10" x14ac:dyDescent="0.25">
      <c r="J62">
        <f>191*9.3</f>
        <v>1776.3000000000002</v>
      </c>
    </row>
  </sheetData>
  <mergeCells count="8">
    <mergeCell ref="F6:G6"/>
    <mergeCell ref="A3:G3"/>
    <mergeCell ref="A4:G4"/>
    <mergeCell ref="E1:G1"/>
    <mergeCell ref="F5:G5"/>
    <mergeCell ref="A6:A7"/>
    <mergeCell ref="B6:B7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>
      <selection activeCell="S2" sqref="S2"/>
    </sheetView>
  </sheetViews>
  <sheetFormatPr defaultRowHeight="15" x14ac:dyDescent="0.25"/>
  <cols>
    <col min="1" max="1" width="39.5703125" customWidth="1"/>
    <col min="2" max="2" width="15.28515625" bestFit="1" customWidth="1"/>
    <col min="4" max="4" width="22.42578125" bestFit="1" customWidth="1"/>
    <col min="6" max="6" width="15" bestFit="1" customWidth="1"/>
    <col min="15" max="15" width="12.7109375" bestFit="1" customWidth="1"/>
    <col min="21" max="21" width="12" bestFit="1" customWidth="1"/>
  </cols>
  <sheetData>
    <row r="1" spans="1:24" ht="16.5" thickBot="1" x14ac:dyDescent="0.3">
      <c r="A1" s="46" t="s">
        <v>134</v>
      </c>
      <c r="B1" s="47" t="s">
        <v>135</v>
      </c>
      <c r="C1" s="47" t="s">
        <v>136</v>
      </c>
      <c r="D1" s="47" t="s">
        <v>137</v>
      </c>
      <c r="H1" s="52" t="s">
        <v>146</v>
      </c>
      <c r="I1" s="52" t="s">
        <v>154</v>
      </c>
      <c r="J1" s="52" t="s">
        <v>147</v>
      </c>
      <c r="K1" s="52" t="s">
        <v>148</v>
      </c>
      <c r="L1" s="52" t="s">
        <v>149</v>
      </c>
      <c r="N1" s="52" t="s">
        <v>146</v>
      </c>
      <c r="O1" s="52" t="s">
        <v>155</v>
      </c>
      <c r="P1" s="52" t="s">
        <v>149</v>
      </c>
      <c r="Q1" s="52" t="s">
        <v>156</v>
      </c>
      <c r="S1">
        <v>0.28000000000000003</v>
      </c>
      <c r="T1" s="52" t="s">
        <v>146</v>
      </c>
      <c r="U1" s="52" t="s">
        <v>155</v>
      </c>
      <c r="V1" s="52" t="s">
        <v>149</v>
      </c>
      <c r="W1" s="52" t="s">
        <v>156</v>
      </c>
    </row>
    <row r="2" spans="1:24" ht="16.5" thickBot="1" x14ac:dyDescent="0.3">
      <c r="A2" s="48" t="s">
        <v>104</v>
      </c>
      <c r="B2" s="49" t="s">
        <v>138</v>
      </c>
      <c r="C2" s="49" t="s">
        <v>107</v>
      </c>
      <c r="D2" s="49">
        <f>520000*'результ показатели'!$B$22</f>
        <v>4787640</v>
      </c>
      <c r="H2">
        <v>1</v>
      </c>
      <c r="I2">
        <f>J2</f>
        <v>4787640</v>
      </c>
      <c r="J2">
        <f>D2</f>
        <v>4787640</v>
      </c>
      <c r="K2">
        <v>0</v>
      </c>
      <c r="L2">
        <f>D6</f>
        <v>5119917.4996199999</v>
      </c>
      <c r="N2">
        <v>0</v>
      </c>
      <c r="O2">
        <f>-K3*((1-$S$1/12)^N2)</f>
        <v>-5137132.13442</v>
      </c>
      <c r="P2">
        <f>L3*((1-$S$1/12)^N2)</f>
        <v>0</v>
      </c>
      <c r="Q2">
        <f>O2+P2</f>
        <v>-5137132.13442</v>
      </c>
      <c r="T2">
        <v>0</v>
      </c>
      <c r="U2">
        <f>-Q3*((1-$S$1/12)^T2)</f>
        <v>5153945.0944079999</v>
      </c>
      <c r="V2">
        <v>0</v>
      </c>
      <c r="W2">
        <f>U2+V2</f>
        <v>5153945.0944079999</v>
      </c>
      <c r="X2">
        <f>0</f>
        <v>0</v>
      </c>
    </row>
    <row r="3" spans="1:24" ht="16.5" thickBot="1" x14ac:dyDescent="0.3">
      <c r="A3" s="48" t="s">
        <v>139</v>
      </c>
      <c r="B3" s="49" t="s">
        <v>140</v>
      </c>
      <c r="C3" s="49" t="s">
        <v>140</v>
      </c>
      <c r="D3" s="49">
        <f>5609.2*'результ показатели'!$B$22</f>
        <v>51643.904399999999</v>
      </c>
      <c r="H3">
        <v>2</v>
      </c>
      <c r="I3">
        <f>I2+J3</f>
        <v>-349492.13442000002</v>
      </c>
      <c r="J3">
        <f t="shared" ref="J3:J25" si="0">L3-K3</f>
        <v>-5137132.13442</v>
      </c>
      <c r="K3">
        <f>D6+D3/3</f>
        <v>5137132.13442</v>
      </c>
      <c r="L3">
        <v>0</v>
      </c>
      <c r="N3">
        <v>1</v>
      </c>
      <c r="O3">
        <f>-K4*((1-$S$1/12)^N3)</f>
        <v>-16812.959987999999</v>
      </c>
      <c r="P3">
        <f>L4*((1-$S$1/12)^N3)</f>
        <v>0</v>
      </c>
      <c r="Q3">
        <f>Q2+O3+P3</f>
        <v>-5153945.0944079999</v>
      </c>
      <c r="T3">
        <v>1</v>
      </c>
      <c r="V3">
        <f>W2*(($S$1/12))</f>
        <v>120258.71886952</v>
      </c>
      <c r="W3">
        <f>W2+V3</f>
        <v>5274203.8132775202</v>
      </c>
      <c r="X3">
        <f>X2+V3</f>
        <v>120258.71886952</v>
      </c>
    </row>
    <row r="4" spans="1:24" ht="32.25" thickBot="1" x14ac:dyDescent="0.3">
      <c r="A4" s="48" t="s">
        <v>141</v>
      </c>
      <c r="B4" s="49" t="s">
        <v>142</v>
      </c>
      <c r="C4" s="49">
        <v>200</v>
      </c>
      <c r="D4" s="50">
        <f>C4*20*'результ показатели'!$B$22</f>
        <v>36828</v>
      </c>
      <c r="H4">
        <v>3</v>
      </c>
      <c r="I4">
        <f t="shared" ref="I4:I25" si="1">I3+J4</f>
        <v>-366706.76922000002</v>
      </c>
      <c r="J4">
        <f t="shared" si="0"/>
        <v>-17214.6348</v>
      </c>
      <c r="K4">
        <f>$D$3/3</f>
        <v>17214.6348</v>
      </c>
      <c r="L4">
        <v>0</v>
      </c>
      <c r="N4">
        <v>2</v>
      </c>
      <c r="O4">
        <f>-K5*((1-$S$1/12)^N4)</f>
        <v>-16420.657588279999</v>
      </c>
      <c r="P4">
        <f>L5*((1-$S$1/12)^N4)</f>
        <v>0</v>
      </c>
      <c r="Q4">
        <f t="shared" ref="Q4:Q23" si="2">Q3+O4+P4</f>
        <v>-5170365.7519962797</v>
      </c>
      <c r="T4">
        <v>2</v>
      </c>
      <c r="V4">
        <f>W3*(($S$1/12))</f>
        <v>123064.75564314214</v>
      </c>
      <c r="W4">
        <f t="shared" ref="W4:W26" si="3">W3+V4</f>
        <v>5397268.5689206626</v>
      </c>
      <c r="X4">
        <f t="shared" ref="X4:X26" si="4">X3+V4</f>
        <v>243323.47451266216</v>
      </c>
    </row>
    <row r="5" spans="1:24" ht="16.5" thickBot="1" x14ac:dyDescent="0.3">
      <c r="A5" s="48" t="s">
        <v>143</v>
      </c>
      <c r="B5" s="49" t="s">
        <v>144</v>
      </c>
      <c r="C5" s="49"/>
      <c r="D5" s="50">
        <f>0.05*SUM(D4,D3,D2)</f>
        <v>243805.59522000002</v>
      </c>
      <c r="H5">
        <v>4</v>
      </c>
      <c r="I5">
        <f t="shared" si="1"/>
        <v>-383921.40402000002</v>
      </c>
      <c r="J5">
        <f t="shared" si="0"/>
        <v>-17214.6348</v>
      </c>
      <c r="K5">
        <f>$D$3/3</f>
        <v>17214.6348</v>
      </c>
      <c r="L5">
        <v>0</v>
      </c>
      <c r="N5">
        <v>3</v>
      </c>
      <c r="P5">
        <f>L6*((1-$S$1/12)^N5)</f>
        <v>439791.97020846169</v>
      </c>
      <c r="Q5">
        <f>Q4+O5+P5</f>
        <v>-4730573.7817878183</v>
      </c>
      <c r="T5">
        <v>3</v>
      </c>
      <c r="V5">
        <f>W4*(($S$1/12))</f>
        <v>125936.2666081488</v>
      </c>
      <c r="W5">
        <f t="shared" si="3"/>
        <v>5523204.8355288114</v>
      </c>
      <c r="X5">
        <f t="shared" si="4"/>
        <v>369259.74112081097</v>
      </c>
    </row>
    <row r="6" spans="1:24" ht="16.5" thickBot="1" x14ac:dyDescent="0.3">
      <c r="A6" s="65" t="s">
        <v>145</v>
      </c>
      <c r="B6" s="66"/>
      <c r="C6" s="67"/>
      <c r="D6" s="51">
        <f>SUM(D2:D5)</f>
        <v>5119917.4996199999</v>
      </c>
      <c r="H6">
        <v>5</v>
      </c>
      <c r="I6">
        <f t="shared" si="1"/>
        <v>-640015.49527717766</v>
      </c>
      <c r="J6">
        <f t="shared" si="0"/>
        <v>-256094.09125717764</v>
      </c>
      <c r="K6">
        <f>$L$2*1.28/9</f>
        <v>728166.04439040006</v>
      </c>
      <c r="L6">
        <f>$F$16/12</f>
        <v>472071.95313322241</v>
      </c>
      <c r="N6">
        <v>4</v>
      </c>
      <c r="P6">
        <f>L7*((1-$S$1/12)^N6)</f>
        <v>429530.1575702643</v>
      </c>
      <c r="Q6">
        <f t="shared" si="2"/>
        <v>-4301043.624217554</v>
      </c>
      <c r="T6">
        <v>4</v>
      </c>
      <c r="V6">
        <f>W5*(($S$1/12))</f>
        <v>128874.77949567228</v>
      </c>
      <c r="W6">
        <f t="shared" si="3"/>
        <v>5652079.6150244838</v>
      </c>
      <c r="X6">
        <f t="shared" si="4"/>
        <v>498134.52061648323</v>
      </c>
    </row>
    <row r="7" spans="1:24" x14ac:dyDescent="0.25">
      <c r="H7">
        <v>6</v>
      </c>
      <c r="I7">
        <f t="shared" si="1"/>
        <v>-896109.5865343553</v>
      </c>
      <c r="J7">
        <f t="shared" si="0"/>
        <v>-256094.09125717764</v>
      </c>
      <c r="K7">
        <f>$L$2*1.28/9</f>
        <v>728166.04439040006</v>
      </c>
      <c r="L7">
        <f t="shared" ref="L7:L28" si="5">$F$16/12</f>
        <v>472071.95313322241</v>
      </c>
      <c r="N7">
        <v>5</v>
      </c>
      <c r="P7">
        <f>L8*((1-$S$1/12)^N7)</f>
        <v>419507.78722695814</v>
      </c>
      <c r="Q7">
        <f t="shared" si="2"/>
        <v>-3881535.8369905958</v>
      </c>
      <c r="T7">
        <v>5</v>
      </c>
      <c r="V7">
        <f>W6*(($S$1/12))</f>
        <v>131881.85768390461</v>
      </c>
      <c r="W7">
        <f t="shared" si="3"/>
        <v>5783961.4727083882</v>
      </c>
      <c r="X7">
        <f t="shared" si="4"/>
        <v>630016.37830038788</v>
      </c>
    </row>
    <row r="8" spans="1:24" ht="15.75" thickBot="1" x14ac:dyDescent="0.3">
      <c r="H8">
        <v>7</v>
      </c>
      <c r="I8">
        <f t="shared" si="1"/>
        <v>-1152203.6777915331</v>
      </c>
      <c r="J8">
        <f t="shared" si="0"/>
        <v>-256094.09125717764</v>
      </c>
      <c r="K8">
        <f>$L$2*1.28/9</f>
        <v>728166.04439040006</v>
      </c>
      <c r="L8">
        <f t="shared" si="5"/>
        <v>472071.95313322241</v>
      </c>
      <c r="N8">
        <v>6</v>
      </c>
      <c r="P8">
        <f>L9*((1-$S$1/12)^N8)</f>
        <v>409719.27219166246</v>
      </c>
      <c r="Q8">
        <f t="shared" si="2"/>
        <v>-3471816.5647989335</v>
      </c>
      <c r="T8">
        <v>6</v>
      </c>
      <c r="V8">
        <f>W7*(($S$1/12))</f>
        <v>134959.10102986239</v>
      </c>
      <c r="W8">
        <f t="shared" si="3"/>
        <v>5918920.5737382509</v>
      </c>
      <c r="X8">
        <f t="shared" si="4"/>
        <v>764975.47933025029</v>
      </c>
    </row>
    <row r="9" spans="1:24" ht="16.5" thickBot="1" x14ac:dyDescent="0.3">
      <c r="A9" s="1" t="s">
        <v>0</v>
      </c>
      <c r="B9" t="s">
        <v>150</v>
      </c>
      <c r="C9" t="s">
        <v>151</v>
      </c>
      <c r="D9" t="s">
        <v>101</v>
      </c>
      <c r="E9" t="s">
        <v>152</v>
      </c>
      <c r="F9" t="s">
        <v>153</v>
      </c>
      <c r="G9" t="s">
        <v>169</v>
      </c>
      <c r="H9">
        <v>8</v>
      </c>
      <c r="I9">
        <f t="shared" si="1"/>
        <v>-1408297.7690487108</v>
      </c>
      <c r="J9">
        <f t="shared" si="0"/>
        <v>-256094.09125717764</v>
      </c>
      <c r="K9">
        <f>$L$2*1.28/9</f>
        <v>728166.04439040006</v>
      </c>
      <c r="L9">
        <f t="shared" si="5"/>
        <v>472071.95313322241</v>
      </c>
      <c r="N9">
        <v>7</v>
      </c>
      <c r="P9">
        <f>L10*((1-$S$1/12)^N9)</f>
        <v>400159.15584052366</v>
      </c>
      <c r="Q9">
        <f t="shared" si="2"/>
        <v>-3071657.4089584099</v>
      </c>
      <c r="T9">
        <v>7</v>
      </c>
      <c r="V9">
        <f>W8*(($S$1/12))</f>
        <v>138108.14672055919</v>
      </c>
      <c r="W9">
        <f t="shared" si="3"/>
        <v>6057028.7204588102</v>
      </c>
      <c r="X9">
        <f t="shared" si="4"/>
        <v>903083.62605080951</v>
      </c>
    </row>
    <row r="10" spans="1:24" ht="16.5" thickBot="1" x14ac:dyDescent="0.3">
      <c r="A10" s="3" t="s">
        <v>5</v>
      </c>
      <c r="B10">
        <f>'new costs'!V11</f>
        <v>350</v>
      </c>
      <c r="C10">
        <f>'результ показатели'!B16/'результ показатели'!$B$23*'результ показатели'!$B$22</f>
        <v>11625</v>
      </c>
      <c r="D10" s="29">
        <f>'new costs'!O19*'результ показатели'!$B$22</f>
        <v>7711.8361658002768</v>
      </c>
      <c r="E10" s="29">
        <f>(C10-D10)</f>
        <v>3913.1638341997232</v>
      </c>
      <c r="F10">
        <f>E10*B10</f>
        <v>1369607.3419699031</v>
      </c>
      <c r="G10">
        <f>E10/C10</f>
        <v>0.33661624380212674</v>
      </c>
      <c r="H10">
        <v>9</v>
      </c>
      <c r="I10">
        <f t="shared" si="1"/>
        <v>-1664391.8603058886</v>
      </c>
      <c r="J10">
        <f t="shared" si="0"/>
        <v>-256094.09125717764</v>
      </c>
      <c r="K10">
        <f>$L$2*1.28/9</f>
        <v>728166.04439040006</v>
      </c>
      <c r="L10">
        <f t="shared" si="5"/>
        <v>472071.95313322241</v>
      </c>
      <c r="N10">
        <v>8</v>
      </c>
      <c r="P10">
        <f>L11*((1-$S$1/12)^N10)</f>
        <v>390822.10887091147</v>
      </c>
      <c r="Q10">
        <f t="shared" si="2"/>
        <v>-2680835.3000874985</v>
      </c>
      <c r="T10">
        <v>8</v>
      </c>
      <c r="V10">
        <f>W9*(($S$1/12))</f>
        <v>141330.67014403892</v>
      </c>
      <c r="W10">
        <f t="shared" si="3"/>
        <v>6198359.3906028494</v>
      </c>
      <c r="X10">
        <f t="shared" si="4"/>
        <v>1044414.2961948484</v>
      </c>
    </row>
    <row r="11" spans="1:24" ht="16.5" thickBot="1" x14ac:dyDescent="0.3">
      <c r="A11" s="3" t="s">
        <v>7</v>
      </c>
      <c r="B11">
        <f>'new costs'!V12</f>
        <v>600</v>
      </c>
      <c r="C11">
        <f>'результ показатели'!B17/'результ показатели'!$B$23*'результ показатели'!$B$22</f>
        <v>6975.0000000000009</v>
      </c>
      <c r="D11" s="29">
        <f>'new costs'!M19*'результ показатели'!$B$22</f>
        <v>5534.1422533730511</v>
      </c>
      <c r="E11" s="29">
        <f t="shared" ref="E11:E15" si="6">(C11-D11)</f>
        <v>1440.8577466269498</v>
      </c>
      <c r="F11">
        <f t="shared" ref="F11:F15" si="7">E11*B11</f>
        <v>864514.64797616994</v>
      </c>
      <c r="G11">
        <f t="shared" ref="G11:G15" si="8">E11/C11</f>
        <v>0.20657458733002862</v>
      </c>
      <c r="H11">
        <v>10</v>
      </c>
      <c r="I11">
        <f t="shared" si="1"/>
        <v>-1920485.9515630663</v>
      </c>
      <c r="J11">
        <f t="shared" si="0"/>
        <v>-256094.09125717764</v>
      </c>
      <c r="K11">
        <f>$L$2*1.28/9</f>
        <v>728166.04439040006</v>
      </c>
      <c r="L11">
        <f t="shared" si="5"/>
        <v>472071.95313322241</v>
      </c>
      <c r="N11">
        <v>9</v>
      </c>
      <c r="P11">
        <f>L12*((1-$S$1/12)^N11)</f>
        <v>381702.92633059021</v>
      </c>
      <c r="Q11">
        <f t="shared" si="2"/>
        <v>-2299132.3737569083</v>
      </c>
      <c r="T11">
        <v>9</v>
      </c>
      <c r="V11">
        <f>W10*(($S$1/12))</f>
        <v>144628.38578073317</v>
      </c>
      <c r="W11">
        <f t="shared" si="3"/>
        <v>6342987.7763835825</v>
      </c>
      <c r="X11">
        <f t="shared" si="4"/>
        <v>1189042.6819755815</v>
      </c>
    </row>
    <row r="12" spans="1:24" ht="16.5" thickBot="1" x14ac:dyDescent="0.3">
      <c r="A12" s="3" t="s">
        <v>9</v>
      </c>
      <c r="B12">
        <f>'new costs'!V13</f>
        <v>500</v>
      </c>
      <c r="C12">
        <f>'результ показатели'!B18/'результ показатели'!$B$23*'результ показатели'!$B$22</f>
        <v>4743</v>
      </c>
      <c r="D12" s="29">
        <f>'new costs'!K19*'результ показатели'!$B$22</f>
        <v>4324.312302024593</v>
      </c>
      <c r="E12" s="29">
        <f t="shared" si="6"/>
        <v>418.68769797540699</v>
      </c>
      <c r="F12">
        <f t="shared" si="7"/>
        <v>209343.8489877035</v>
      </c>
      <c r="G12">
        <f t="shared" si="8"/>
        <v>8.8274867800001475E-2</v>
      </c>
      <c r="H12">
        <v>11</v>
      </c>
      <c r="I12">
        <f t="shared" si="1"/>
        <v>-2176580.0428202441</v>
      </c>
      <c r="J12">
        <f t="shared" si="0"/>
        <v>-256094.09125717764</v>
      </c>
      <c r="K12">
        <f>$L$2*1.28/9</f>
        <v>728166.04439040006</v>
      </c>
      <c r="L12">
        <f t="shared" si="5"/>
        <v>472071.95313322241</v>
      </c>
      <c r="N12">
        <v>10</v>
      </c>
      <c r="P12">
        <f>L13*((1-$S$1/12)^N12)</f>
        <v>372796.52471620979</v>
      </c>
      <c r="Q12">
        <f t="shared" si="2"/>
        <v>-1926335.8490406985</v>
      </c>
      <c r="T12">
        <v>10</v>
      </c>
      <c r="V12">
        <f>W11*(($S$1/12))</f>
        <v>148003.04811561693</v>
      </c>
      <c r="W12">
        <f t="shared" si="3"/>
        <v>6490990.8244991992</v>
      </c>
      <c r="X12">
        <f t="shared" si="4"/>
        <v>1337045.7300911983</v>
      </c>
    </row>
    <row r="13" spans="1:24" ht="16.5" thickBot="1" x14ac:dyDescent="0.3">
      <c r="A13" s="3" t="s">
        <v>11</v>
      </c>
      <c r="B13">
        <f>'new costs'!V14</f>
        <v>2200</v>
      </c>
      <c r="C13">
        <f>'результ показатели'!B19/'результ показатели'!$B$23*'результ показатели'!$B$22</f>
        <v>4092.0000000000005</v>
      </c>
      <c r="D13" s="29">
        <f>'new costs'!I19*'результ показатели'!$B$22</f>
        <v>3235.4653458109797</v>
      </c>
      <c r="E13" s="29">
        <f t="shared" si="6"/>
        <v>856.53465418902078</v>
      </c>
      <c r="F13">
        <f t="shared" si="7"/>
        <v>1884376.2392158457</v>
      </c>
      <c r="G13">
        <f t="shared" si="8"/>
        <v>0.20931931920552801</v>
      </c>
      <c r="H13">
        <v>12</v>
      </c>
      <c r="I13">
        <f t="shared" si="1"/>
        <v>-2432674.1340774219</v>
      </c>
      <c r="J13">
        <f t="shared" si="0"/>
        <v>-256094.09125717764</v>
      </c>
      <c r="K13">
        <f>$L$2*1.28/9</f>
        <v>728166.04439040006</v>
      </c>
      <c r="L13">
        <f t="shared" si="5"/>
        <v>472071.95313322241</v>
      </c>
      <c r="N13">
        <v>11</v>
      </c>
      <c r="P13">
        <f>L14*((1-$S$1/12)^N13)</f>
        <v>364097.93913949822</v>
      </c>
      <c r="Q13">
        <f t="shared" si="2"/>
        <v>-1562237.9099012003</v>
      </c>
      <c r="T13">
        <v>11</v>
      </c>
      <c r="V13">
        <f>W12*(($S$1/12))</f>
        <v>151456.452571648</v>
      </c>
      <c r="W13">
        <f t="shared" si="3"/>
        <v>6642447.2770708473</v>
      </c>
      <c r="X13">
        <f t="shared" si="4"/>
        <v>1488502.1826628463</v>
      </c>
    </row>
    <row r="14" spans="1:24" ht="16.5" thickBot="1" x14ac:dyDescent="0.3">
      <c r="A14" s="3" t="s">
        <v>13</v>
      </c>
      <c r="B14">
        <f>'new costs'!V15</f>
        <v>1850</v>
      </c>
      <c r="C14">
        <f>'результ показатели'!B20/'результ показатели'!$B$23*'результ показатели'!$B$22</f>
        <v>3813.0000000000005</v>
      </c>
      <c r="D14" s="29">
        <f>'new costs'!G19*'результ показатели'!$B$22</f>
        <v>3090.2857516491645</v>
      </c>
      <c r="E14" s="29">
        <f t="shared" si="6"/>
        <v>722.71424835083599</v>
      </c>
      <c r="F14">
        <f t="shared" si="7"/>
        <v>1337021.3594490467</v>
      </c>
      <c r="G14">
        <f t="shared" si="8"/>
        <v>0.18953953536607288</v>
      </c>
      <c r="H14">
        <v>13</v>
      </c>
      <c r="I14">
        <f t="shared" si="1"/>
        <v>-2688768.2253345996</v>
      </c>
      <c r="J14">
        <f t="shared" si="0"/>
        <v>-256094.09125717764</v>
      </c>
      <c r="K14">
        <f>$L$2*1.28/9</f>
        <v>728166.04439040006</v>
      </c>
      <c r="L14">
        <f t="shared" si="5"/>
        <v>472071.95313322241</v>
      </c>
      <c r="N14">
        <v>12</v>
      </c>
      <c r="P14">
        <f>L15*((1-$S$1/12)^N14)</f>
        <v>355602.32055957662</v>
      </c>
      <c r="Q14">
        <f t="shared" si="2"/>
        <v>-1206635.5893416237</v>
      </c>
      <c r="T14">
        <v>12</v>
      </c>
      <c r="V14">
        <f>W13*(($S$1/12))</f>
        <v>154990.43646498644</v>
      </c>
      <c r="W14">
        <f t="shared" si="3"/>
        <v>6797437.7135358341</v>
      </c>
      <c r="X14">
        <f t="shared" si="4"/>
        <v>1643492.6191278328</v>
      </c>
    </row>
    <row r="15" spans="1:24" ht="16.5" thickBot="1" x14ac:dyDescent="0.3">
      <c r="A15" s="3" t="s">
        <v>15</v>
      </c>
      <c r="B15">
        <v>0</v>
      </c>
      <c r="C15">
        <f>'результ показатели'!B21/'результ показатели'!$B$23*'результ показатели'!$B$22</f>
        <v>3069</v>
      </c>
      <c r="D15" s="29">
        <f>'new costs'!E19*'результ показатели'!$B$22</f>
        <v>2872.5163604064414</v>
      </c>
      <c r="E15" s="29">
        <f t="shared" si="6"/>
        <v>196.48363959355856</v>
      </c>
      <c r="F15">
        <f t="shared" si="7"/>
        <v>0</v>
      </c>
      <c r="G15">
        <f t="shared" si="8"/>
        <v>6.4022039619927848E-2</v>
      </c>
      <c r="H15">
        <v>14</v>
      </c>
      <c r="I15">
        <f t="shared" si="1"/>
        <v>-2216696.272201377</v>
      </c>
      <c r="J15">
        <f t="shared" si="0"/>
        <v>472071.95313322241</v>
      </c>
      <c r="K15">
        <v>0</v>
      </c>
      <c r="L15">
        <f t="shared" si="5"/>
        <v>472071.95313322241</v>
      </c>
      <c r="N15">
        <v>13</v>
      </c>
      <c r="P15">
        <f>L16*((1-$S$1/12)^N15)</f>
        <v>347304.93307985325</v>
      </c>
      <c r="Q15">
        <f t="shared" si="2"/>
        <v>-859330.65626177052</v>
      </c>
      <c r="T15">
        <v>13</v>
      </c>
      <c r="V15">
        <f>W14*(($S$1/12))</f>
        <v>158606.87998250281</v>
      </c>
      <c r="W15">
        <f t="shared" si="3"/>
        <v>6956044.5935183372</v>
      </c>
      <c r="X15">
        <f t="shared" si="4"/>
        <v>1802099.4991103357</v>
      </c>
    </row>
    <row r="16" spans="1:24" x14ac:dyDescent="0.25">
      <c r="F16">
        <f>SUM(F10:F15)</f>
        <v>5664863.437598669</v>
      </c>
      <c r="H16">
        <v>15</v>
      </c>
      <c r="I16">
        <f t="shared" si="1"/>
        <v>-1744624.3190681546</v>
      </c>
      <c r="J16">
        <f t="shared" si="0"/>
        <v>472071.95313322241</v>
      </c>
      <c r="K16">
        <v>0</v>
      </c>
      <c r="L16">
        <f t="shared" si="5"/>
        <v>472071.95313322241</v>
      </c>
      <c r="N16">
        <v>14</v>
      </c>
      <c r="P16">
        <f>L17*((1-$S$1/12)^N16)</f>
        <v>339201.15130799002</v>
      </c>
      <c r="Q16">
        <f t="shared" si="2"/>
        <v>-520129.5049537805</v>
      </c>
      <c r="T16">
        <v>14</v>
      </c>
      <c r="V16">
        <f>W15*(($S$1/12))</f>
        <v>162307.70718209454</v>
      </c>
      <c r="W16">
        <f t="shared" si="3"/>
        <v>7118352.3007004317</v>
      </c>
      <c r="X16">
        <f t="shared" si="4"/>
        <v>1964407.2062924302</v>
      </c>
    </row>
    <row r="17" spans="8:24" x14ac:dyDescent="0.25">
      <c r="H17">
        <v>16</v>
      </c>
      <c r="I17">
        <f t="shared" si="1"/>
        <v>-1272552.3659349321</v>
      </c>
      <c r="J17">
        <f t="shared" si="0"/>
        <v>472071.95313322241</v>
      </c>
      <c r="K17">
        <v>0</v>
      </c>
      <c r="L17">
        <f t="shared" si="5"/>
        <v>472071.95313322241</v>
      </c>
      <c r="N17">
        <v>15</v>
      </c>
      <c r="P17">
        <f>L18*((1-$S$1/12)^N17)</f>
        <v>331286.45777747018</v>
      </c>
      <c r="Q17">
        <f t="shared" si="2"/>
        <v>-188843.04717631033</v>
      </c>
      <c r="T17">
        <v>15</v>
      </c>
      <c r="V17">
        <f>W16*(($S$1/12))</f>
        <v>166094.88701634342</v>
      </c>
      <c r="W17">
        <f t="shared" si="3"/>
        <v>7284447.1877167746</v>
      </c>
      <c r="X17">
        <f t="shared" si="4"/>
        <v>2130502.0933087738</v>
      </c>
    </row>
    <row r="18" spans="8:24" x14ac:dyDescent="0.25">
      <c r="H18">
        <v>17</v>
      </c>
      <c r="I18">
        <f t="shared" si="1"/>
        <v>-800480.41280170972</v>
      </c>
      <c r="J18">
        <f t="shared" si="0"/>
        <v>472071.95313322241</v>
      </c>
      <c r="K18">
        <v>0</v>
      </c>
      <c r="L18">
        <f t="shared" si="5"/>
        <v>472071.95313322241</v>
      </c>
      <c r="N18">
        <v>16</v>
      </c>
      <c r="P18">
        <f>L19*((1-$S$1/12)^N18)</f>
        <v>323556.44042932923</v>
      </c>
      <c r="Q18">
        <f t="shared" si="2"/>
        <v>134713.3932530189</v>
      </c>
      <c r="T18">
        <v>16</v>
      </c>
      <c r="V18">
        <f>W17*(($S$1/12))</f>
        <v>169970.43438005808</v>
      </c>
      <c r="W18">
        <f t="shared" si="3"/>
        <v>7454417.6220968328</v>
      </c>
      <c r="X18">
        <f t="shared" si="4"/>
        <v>2300472.527688832</v>
      </c>
    </row>
    <row r="19" spans="8:24" x14ac:dyDescent="0.25">
      <c r="H19">
        <v>18</v>
      </c>
      <c r="I19">
        <f t="shared" si="1"/>
        <v>-328408.45966848731</v>
      </c>
      <c r="J19">
        <f t="shared" si="0"/>
        <v>472071.95313322241</v>
      </c>
      <c r="K19">
        <v>0</v>
      </c>
      <c r="L19">
        <f t="shared" si="5"/>
        <v>472071.95313322241</v>
      </c>
      <c r="N19">
        <v>17</v>
      </c>
      <c r="P19">
        <f>L20*((1-$S$1/12)^N19)</f>
        <v>316006.79015264491</v>
      </c>
      <c r="Q19">
        <f t="shared" si="2"/>
        <v>450720.18340566382</v>
      </c>
      <c r="T19">
        <v>17</v>
      </c>
      <c r="V19">
        <f>W18*(($S$1/12))</f>
        <v>173936.41118225944</v>
      </c>
      <c r="W19">
        <f t="shared" si="3"/>
        <v>7628354.0332790921</v>
      </c>
      <c r="X19">
        <f t="shared" si="4"/>
        <v>2474408.9388710912</v>
      </c>
    </row>
    <row r="20" spans="8:24" x14ac:dyDescent="0.25">
      <c r="H20">
        <v>19</v>
      </c>
      <c r="I20">
        <f t="shared" si="1"/>
        <v>143663.4934647351</v>
      </c>
      <c r="J20">
        <f t="shared" si="0"/>
        <v>472071.95313322241</v>
      </c>
      <c r="K20">
        <v>0</v>
      </c>
      <c r="L20">
        <f t="shared" si="5"/>
        <v>472071.95313322241</v>
      </c>
      <c r="N20">
        <v>18</v>
      </c>
      <c r="P20">
        <f>L21*((1-$S$1/12)^N20)</f>
        <v>308633.29838241654</v>
      </c>
      <c r="Q20">
        <f t="shared" si="2"/>
        <v>759353.48178808042</v>
      </c>
      <c r="T20">
        <v>18</v>
      </c>
      <c r="V20">
        <f>W19*(($S$1/12))</f>
        <v>177994.92744317884</v>
      </c>
      <c r="W20">
        <f t="shared" si="3"/>
        <v>7806348.9607222714</v>
      </c>
      <c r="X20">
        <f t="shared" si="4"/>
        <v>2652403.8663142701</v>
      </c>
    </row>
    <row r="21" spans="8:24" x14ac:dyDescent="0.25">
      <c r="H21">
        <v>20</v>
      </c>
      <c r="I21">
        <f t="shared" si="1"/>
        <v>615735.44659795752</v>
      </c>
      <c r="J21">
        <f t="shared" si="0"/>
        <v>472071.95313322241</v>
      </c>
      <c r="K21">
        <v>0</v>
      </c>
      <c r="L21">
        <f t="shared" si="5"/>
        <v>472071.95313322241</v>
      </c>
      <c r="N21">
        <v>19</v>
      </c>
      <c r="P21">
        <f>L22*((1-$S$1/12)^N21)</f>
        <v>301431.85475349351</v>
      </c>
      <c r="Q21">
        <f t="shared" si="2"/>
        <v>1060785.336541574</v>
      </c>
      <c r="T21">
        <v>19</v>
      </c>
      <c r="V21">
        <f>W20*(($S$1/12))</f>
        <v>182148.14241685299</v>
      </c>
      <c r="W21">
        <f t="shared" si="3"/>
        <v>7988497.1031391248</v>
      </c>
      <c r="X21">
        <f t="shared" si="4"/>
        <v>2834552.0087311231</v>
      </c>
    </row>
    <row r="22" spans="8:24" x14ac:dyDescent="0.25">
      <c r="H22">
        <v>21</v>
      </c>
      <c r="I22">
        <f t="shared" si="1"/>
        <v>1087807.3997311799</v>
      </c>
      <c r="J22">
        <f t="shared" si="0"/>
        <v>472071.95313322241</v>
      </c>
      <c r="K22">
        <v>0</v>
      </c>
      <c r="L22">
        <f t="shared" si="5"/>
        <v>472071.95313322241</v>
      </c>
      <c r="N22">
        <v>20</v>
      </c>
      <c r="P22">
        <f>L23*((1-$S$1/12)^N22)</f>
        <v>294398.44480924535</v>
      </c>
      <c r="Q22">
        <f t="shared" si="2"/>
        <v>1355183.7813508194</v>
      </c>
      <c r="T22">
        <v>20</v>
      </c>
      <c r="V22">
        <f>W21*(($S$1/12))</f>
        <v>186398.26573991292</v>
      </c>
      <c r="W22">
        <f t="shared" si="3"/>
        <v>8174895.3688790379</v>
      </c>
      <c r="X22">
        <f t="shared" si="4"/>
        <v>3020950.2744710362</v>
      </c>
    </row>
    <row r="23" spans="8:24" x14ac:dyDescent="0.25">
      <c r="H23">
        <v>22</v>
      </c>
      <c r="I23">
        <f t="shared" si="1"/>
        <v>1559879.3528644023</v>
      </c>
      <c r="J23">
        <f t="shared" si="0"/>
        <v>472071.95313322241</v>
      </c>
      <c r="K23">
        <v>0</v>
      </c>
      <c r="L23">
        <f t="shared" si="5"/>
        <v>472071.95313322241</v>
      </c>
      <c r="N23">
        <v>21</v>
      </c>
      <c r="P23">
        <f>L24*((1-$S$1/12)^N23)</f>
        <v>287529.14776369632</v>
      </c>
      <c r="Q23">
        <f t="shared" si="2"/>
        <v>1642712.9291145157</v>
      </c>
      <c r="T23">
        <v>21</v>
      </c>
      <c r="V23">
        <f>W22*(($S$1/12))</f>
        <v>190747.55860717755</v>
      </c>
      <c r="W23">
        <f t="shared" si="3"/>
        <v>8365642.9274862157</v>
      </c>
      <c r="X23">
        <f t="shared" si="4"/>
        <v>3211697.8330782135</v>
      </c>
    </row>
    <row r="24" spans="8:24" x14ac:dyDescent="0.25">
      <c r="H24">
        <v>23</v>
      </c>
      <c r="I24">
        <f t="shared" si="1"/>
        <v>2031951.3059976248</v>
      </c>
      <c r="J24">
        <f t="shared" si="0"/>
        <v>472071.95313322241</v>
      </c>
      <c r="K24">
        <v>0</v>
      </c>
      <c r="L24">
        <f t="shared" si="5"/>
        <v>472071.95313322241</v>
      </c>
      <c r="N24">
        <v>22</v>
      </c>
      <c r="P24">
        <f>L25*((1-$S$1/12)^N24)</f>
        <v>280820.1343158767</v>
      </c>
      <c r="Q24">
        <f t="shared" ref="Q24:Q25" si="9">Q23+O24+P24</f>
        <v>1923533.0634303924</v>
      </c>
      <c r="T24">
        <v>22</v>
      </c>
      <c r="V24">
        <f>W23*(($S$1/12))</f>
        <v>195198.33497467838</v>
      </c>
      <c r="W24">
        <f t="shared" si="3"/>
        <v>8560841.2624608949</v>
      </c>
      <c r="X24">
        <f t="shared" si="4"/>
        <v>3406896.1680528917</v>
      </c>
    </row>
    <row r="25" spans="8:24" x14ac:dyDescent="0.25">
      <c r="H25">
        <v>24</v>
      </c>
      <c r="I25">
        <f t="shared" si="1"/>
        <v>2504023.2591308472</v>
      </c>
      <c r="J25">
        <f t="shared" si="0"/>
        <v>472071.95313322241</v>
      </c>
      <c r="K25">
        <v>0</v>
      </c>
      <c r="L25">
        <f t="shared" si="5"/>
        <v>472071.95313322241</v>
      </c>
      <c r="N25">
        <v>23</v>
      </c>
      <c r="P25">
        <f>L26*((1-$S$1/12)^N25)</f>
        <v>274267.66451517295</v>
      </c>
      <c r="Q25">
        <f t="shared" si="9"/>
        <v>2197800.7279455652</v>
      </c>
      <c r="R25">
        <f>Q25/D6</f>
        <v>0.42926487157433413</v>
      </c>
      <c r="T25">
        <v>23</v>
      </c>
      <c r="V25">
        <f>W24*(($S$1/12))</f>
        <v>199752.96279075422</v>
      </c>
      <c r="W25">
        <f t="shared" si="3"/>
        <v>8760594.2252516486</v>
      </c>
      <c r="X25">
        <f t="shared" si="4"/>
        <v>3606649.1308436459</v>
      </c>
    </row>
    <row r="26" spans="8:24" x14ac:dyDescent="0.25">
      <c r="L26">
        <f t="shared" si="5"/>
        <v>472071.95313322241</v>
      </c>
      <c r="N26">
        <v>24</v>
      </c>
      <c r="P26">
        <f>L27*((1-$S$1/12)^N26)</f>
        <v>267868.08567648556</v>
      </c>
      <c r="Q26">
        <f>Q25+O26+P26</f>
        <v>2465668.8136220509</v>
      </c>
      <c r="R26">
        <f>Q26/D6</f>
        <v>0.48158370008990431</v>
      </c>
      <c r="T26">
        <v>24</v>
      </c>
      <c r="V26">
        <f>W25*(($S$1/12))</f>
        <v>204413.86525587182</v>
      </c>
      <c r="W26">
        <f t="shared" si="3"/>
        <v>8965008.0905075204</v>
      </c>
      <c r="X26">
        <f t="shared" si="4"/>
        <v>3811062.9960995177</v>
      </c>
    </row>
    <row r="27" spans="8:24" x14ac:dyDescent="0.25">
      <c r="L27">
        <f t="shared" si="5"/>
        <v>472071.95313322241</v>
      </c>
    </row>
    <row r="28" spans="8:24" x14ac:dyDescent="0.25">
      <c r="L28">
        <f t="shared" si="5"/>
        <v>472071.95313322241</v>
      </c>
    </row>
  </sheetData>
  <mergeCells count="1">
    <mergeCell ref="A6:C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B8" sqref="B8"/>
    </sheetView>
  </sheetViews>
  <sheetFormatPr defaultRowHeight="15" x14ac:dyDescent="0.25"/>
  <cols>
    <col min="1" max="1" width="42.5703125" bestFit="1" customWidth="1"/>
    <col min="2" max="2" width="34.7109375" bestFit="1" customWidth="1"/>
    <col min="3" max="3" width="18.28515625" bestFit="1" customWidth="1"/>
    <col min="4" max="4" width="12" bestFit="1" customWidth="1"/>
    <col min="5" max="5" width="13.7109375" bestFit="1" customWidth="1"/>
    <col min="6" max="6" width="24.5703125" bestFit="1" customWidth="1"/>
    <col min="7" max="7" width="23.7109375" bestFit="1" customWidth="1"/>
  </cols>
  <sheetData>
    <row r="1" spans="1:8" ht="16.5" thickBot="1" x14ac:dyDescent="0.3">
      <c r="A1" s="81" t="s">
        <v>159</v>
      </c>
      <c r="B1" s="82" t="s">
        <v>160</v>
      </c>
    </row>
    <row r="2" spans="1:8" ht="16.5" thickBot="1" x14ac:dyDescent="0.3">
      <c r="A2" s="48" t="s">
        <v>161</v>
      </c>
      <c r="B2" s="83">
        <f>1450752*B22</f>
        <v>13357073.664000001</v>
      </c>
    </row>
    <row r="3" spans="1:8" ht="32.25" thickBot="1" x14ac:dyDescent="0.3">
      <c r="A3" s="48" t="s">
        <v>170</v>
      </c>
      <c r="B3" s="83">
        <f>npv!Q26</f>
        <v>2465668.8136220509</v>
      </c>
    </row>
    <row r="4" spans="1:8" ht="16.5" thickBot="1" x14ac:dyDescent="0.3">
      <c r="A4" s="48" t="s">
        <v>162</v>
      </c>
      <c r="B4" s="83" t="s">
        <v>178</v>
      </c>
    </row>
    <row r="5" spans="1:8" ht="16.5" thickBot="1" x14ac:dyDescent="0.3">
      <c r="A5" s="48" t="s">
        <v>163</v>
      </c>
      <c r="B5" s="83" t="s">
        <v>190</v>
      </c>
    </row>
    <row r="6" spans="1:8" ht="16.5" thickBot="1" x14ac:dyDescent="0.3">
      <c r="A6" s="48" t="s">
        <v>164</v>
      </c>
      <c r="B6" s="89">
        <f>B3/npv!D6</f>
        <v>0.48158370008990431</v>
      </c>
    </row>
    <row r="15" spans="1:8" ht="15.75" x14ac:dyDescent="0.25">
      <c r="A15" s="6" t="s">
        <v>177</v>
      </c>
      <c r="B15" s="6" t="s">
        <v>171</v>
      </c>
      <c r="C15" s="6" t="s">
        <v>174</v>
      </c>
      <c r="D15" s="6" t="s">
        <v>172</v>
      </c>
      <c r="E15" s="6" t="s">
        <v>173</v>
      </c>
      <c r="F15" s="86" t="s">
        <v>175</v>
      </c>
      <c r="G15" s="87" t="s">
        <v>176</v>
      </c>
      <c r="H15" t="s">
        <v>171</v>
      </c>
    </row>
    <row r="16" spans="1:8" ht="15.75" x14ac:dyDescent="0.25">
      <c r="A16" s="7" t="s">
        <v>5</v>
      </c>
      <c r="B16" s="6">
        <f>H16</f>
        <v>39625</v>
      </c>
      <c r="C16" s="84">
        <v>2267136.5099999998</v>
      </c>
      <c r="D16" s="6">
        <v>2212291.2122928407</v>
      </c>
      <c r="E16" s="6">
        <v>2321981.819952148</v>
      </c>
      <c r="F16" s="6">
        <f>ABS(E16-D16)/(0.01*B16)</f>
        <v>276.82172279951374</v>
      </c>
      <c r="G16" s="88">
        <f>F16/SUM($F$16:$F$25)</f>
        <v>1.6347566264429011E-2</v>
      </c>
      <c r="H16">
        <v>39625</v>
      </c>
    </row>
    <row r="17" spans="1:10" ht="15.75" x14ac:dyDescent="0.25">
      <c r="A17" s="7" t="s">
        <v>7</v>
      </c>
      <c r="B17" s="6">
        <f>H17</f>
        <v>23775</v>
      </c>
      <c r="C17" s="84"/>
      <c r="D17" s="6">
        <v>2210724.2036119928</v>
      </c>
      <c r="E17" s="85">
        <v>2323548.8286329941</v>
      </c>
      <c r="F17" s="6">
        <f t="shared" ref="F17:F25" si="0">ABS(E17-D17)/(0.01*B17)</f>
        <v>474.55152479916433</v>
      </c>
      <c r="G17" s="88">
        <f t="shared" ref="G17:G25" si="1">F17/SUM($F$16:$F$25)</f>
        <v>2.8024399310449609E-2</v>
      </c>
      <c r="H17">
        <v>23775</v>
      </c>
    </row>
    <row r="18" spans="1:10" ht="15.75" x14ac:dyDescent="0.25">
      <c r="A18" s="7" t="s">
        <v>9</v>
      </c>
      <c r="B18" s="6">
        <f>H18</f>
        <v>16167</v>
      </c>
      <c r="C18" s="84"/>
      <c r="D18" s="6">
        <v>2235169.5390332108</v>
      </c>
      <c r="E18" s="6">
        <v>2299103.4932117769</v>
      </c>
      <c r="F18" s="6">
        <f t="shared" si="0"/>
        <v>395.4596039992955</v>
      </c>
      <c r="G18" s="88">
        <f t="shared" si="1"/>
        <v>2.3353666092040863E-2</v>
      </c>
      <c r="H18">
        <v>16167</v>
      </c>
    </row>
    <row r="19" spans="1:10" ht="15.75" x14ac:dyDescent="0.25">
      <c r="A19" s="7" t="s">
        <v>11</v>
      </c>
      <c r="B19" s="6">
        <f>H19</f>
        <v>13948</v>
      </c>
      <c r="C19" s="84"/>
      <c r="D19" s="6">
        <v>2145787.3638776829</v>
      </c>
      <c r="E19" s="6">
        <v>2388485.6683673044</v>
      </c>
      <c r="F19" s="6">
        <f>ABS(E19-D19)/(0.01*B19)</f>
        <v>1740.0222575969419</v>
      </c>
      <c r="G19" s="88">
        <f t="shared" si="1"/>
        <v>0.10275613080498226</v>
      </c>
      <c r="H19">
        <v>13948</v>
      </c>
    </row>
    <row r="20" spans="1:10" ht="15.75" x14ac:dyDescent="0.25">
      <c r="A20" s="7" t="s">
        <v>13</v>
      </c>
      <c r="B20" s="6">
        <f>H20</f>
        <v>12997</v>
      </c>
      <c r="C20" s="84"/>
      <c r="D20" s="6">
        <v>2172050.4293686831</v>
      </c>
      <c r="E20" s="6">
        <v>2362222.6028763042</v>
      </c>
      <c r="F20" s="6">
        <f t="shared" si="0"/>
        <v>1463.200534797423</v>
      </c>
      <c r="G20" s="88">
        <f t="shared" si="1"/>
        <v>8.6408564540552943E-2</v>
      </c>
      <c r="H20">
        <v>12997</v>
      </c>
    </row>
    <row r="21" spans="1:10" ht="15.75" x14ac:dyDescent="0.25">
      <c r="A21" s="7" t="s">
        <v>15</v>
      </c>
      <c r="B21" s="6">
        <f>H21</f>
        <v>10461</v>
      </c>
      <c r="C21" s="84"/>
      <c r="D21" s="6">
        <v>2267136.5099999998</v>
      </c>
      <c r="E21" s="6">
        <v>2267136.5099999998</v>
      </c>
      <c r="F21" s="6">
        <f t="shared" si="0"/>
        <v>0</v>
      </c>
      <c r="G21" s="88">
        <f t="shared" si="1"/>
        <v>0</v>
      </c>
      <c r="H21">
        <v>10461</v>
      </c>
      <c r="I21" t="s">
        <v>188</v>
      </c>
      <c r="J21" t="s">
        <v>187</v>
      </c>
    </row>
    <row r="22" spans="1:10" ht="15.75" x14ac:dyDescent="0.25">
      <c r="A22" s="7" t="s">
        <v>165</v>
      </c>
      <c r="B22">
        <v>9.2070000000000007</v>
      </c>
      <c r="C22" s="84"/>
      <c r="D22" s="6">
        <v>2429528.24599026</v>
      </c>
      <c r="E22" s="6">
        <v>2104744.7862547296</v>
      </c>
      <c r="F22" s="6">
        <f>ABS(E22-D22)/(0.01*B22*1000)</f>
        <v>3527.5709757307527</v>
      </c>
      <c r="G22" s="88">
        <f t="shared" si="1"/>
        <v>0.20831891260210117</v>
      </c>
      <c r="H22">
        <v>9.3000000000000007</v>
      </c>
      <c r="I22">
        <v>9.2070000000000007</v>
      </c>
      <c r="J22">
        <v>9.3930000000000007</v>
      </c>
    </row>
    <row r="23" spans="1:10" ht="15.75" x14ac:dyDescent="0.25">
      <c r="A23" s="7" t="s">
        <v>166</v>
      </c>
      <c r="B23">
        <v>31.382999999999999</v>
      </c>
      <c r="C23" s="84"/>
      <c r="D23" s="6">
        <v>2756848.7700770153</v>
      </c>
      <c r="E23" s="6">
        <v>1784618.1782081383</v>
      </c>
      <c r="F23" s="6">
        <f>ABS(E23-D23)/(0.01*B23*1000)</f>
        <v>3097.9530059869262</v>
      </c>
      <c r="G23" s="88">
        <f t="shared" si="1"/>
        <v>0.18294804156730463</v>
      </c>
      <c r="H23">
        <v>31.7</v>
      </c>
      <c r="I23">
        <v>31.382999999999999</v>
      </c>
      <c r="J23">
        <v>32.017000000000003</v>
      </c>
    </row>
    <row r="24" spans="1:10" ht="15.75" x14ac:dyDescent="0.25">
      <c r="A24" s="7" t="s">
        <v>167</v>
      </c>
      <c r="B24">
        <v>0.28000000000000003</v>
      </c>
      <c r="C24" s="84"/>
      <c r="D24" s="6">
        <v>2267136.5161224939</v>
      </c>
      <c r="E24" s="6">
        <v>2267139.5161224902</v>
      </c>
      <c r="F24" s="6">
        <f>ABS(E24-D24)/(0.01*B24)</f>
        <v>1071.4285700981104</v>
      </c>
      <c r="G24" s="88">
        <f t="shared" si="1"/>
        <v>6.3272670114717058E-2</v>
      </c>
      <c r="H24">
        <v>0.28000000000000003</v>
      </c>
      <c r="I24">
        <v>0.28000000000000003</v>
      </c>
      <c r="J24">
        <v>0.28000000000000003</v>
      </c>
    </row>
    <row r="25" spans="1:10" ht="15.75" x14ac:dyDescent="0.25">
      <c r="A25" s="7" t="s">
        <v>168</v>
      </c>
      <c r="B25">
        <v>5174.2300000000005</v>
      </c>
      <c r="C25" s="84"/>
      <c r="D25" s="6">
        <v>2393556.0100486702</v>
      </c>
      <c r="E25" s="6">
        <v>2140717.0221963204</v>
      </c>
      <c r="F25" s="6">
        <f t="shared" si="0"/>
        <v>4886.5046171575259</v>
      </c>
      <c r="G25" s="88">
        <f t="shared" si="1"/>
        <v>0.2885700487034224</v>
      </c>
      <c r="H25">
        <v>5123</v>
      </c>
      <c r="I25">
        <v>5071.7699999999995</v>
      </c>
      <c r="J25">
        <v>5174.2300000000005</v>
      </c>
    </row>
    <row r="28" spans="1:10" x14ac:dyDescent="0.25">
      <c r="B28">
        <f>B3</f>
        <v>2465668.8136220509</v>
      </c>
    </row>
    <row r="29" spans="1:10" x14ac:dyDescent="0.25">
      <c r="A29" s="6" t="s">
        <v>189</v>
      </c>
      <c r="B29" s="6" t="s">
        <v>156</v>
      </c>
      <c r="C29" s="6" t="s">
        <v>180</v>
      </c>
      <c r="D29" s="6" t="s">
        <v>50</v>
      </c>
    </row>
    <row r="30" spans="1:10" x14ac:dyDescent="0.25">
      <c r="A30" s="6" t="s">
        <v>185</v>
      </c>
      <c r="B30" s="90">
        <v>1815765.23077058</v>
      </c>
      <c r="C30" s="90">
        <f>$C$16-B30</f>
        <v>451371.27922941977</v>
      </c>
      <c r="D30" s="88">
        <f>$C$16/B30 - 1</f>
        <v>0.24858460310855568</v>
      </c>
    </row>
    <row r="31" spans="1:10" x14ac:dyDescent="0.25">
      <c r="A31" s="6" t="s">
        <v>182</v>
      </c>
      <c r="B31" s="90">
        <v>2715979.4115958791</v>
      </c>
      <c r="C31" s="90">
        <f t="shared" ref="C31:C36" si="2">$C$16-B31</f>
        <v>-448842.90159587935</v>
      </c>
      <c r="D31" s="88">
        <f t="shared" ref="D31:D36" si="3">$C$16/B31 - 1</f>
        <v>-0.1652600530326348</v>
      </c>
    </row>
    <row r="32" spans="1:10" x14ac:dyDescent="0.25">
      <c r="A32" s="6" t="s">
        <v>179</v>
      </c>
      <c r="B32" s="90">
        <v>3048028.7265319768</v>
      </c>
      <c r="C32" s="90">
        <f t="shared" si="2"/>
        <v>-780892.21653197706</v>
      </c>
      <c r="D32" s="88">
        <f t="shared" si="3"/>
        <v>-0.25619581919769829</v>
      </c>
    </row>
    <row r="33" spans="1:4" x14ac:dyDescent="0.25">
      <c r="A33" s="6" t="s">
        <v>181</v>
      </c>
      <c r="B33" s="90">
        <v>2071132.6085014585</v>
      </c>
      <c r="C33" s="90">
        <f t="shared" si="2"/>
        <v>196003.90149854124</v>
      </c>
      <c r="D33" s="88">
        <f t="shared" si="3"/>
        <v>9.4636094615089483E-2</v>
      </c>
    </row>
    <row r="34" spans="1:4" x14ac:dyDescent="0.25">
      <c r="A34" s="6" t="s">
        <v>183</v>
      </c>
      <c r="B34" s="90">
        <v>1753471.1256456899</v>
      </c>
      <c r="C34" s="90">
        <f t="shared" si="2"/>
        <v>513665.38435430988</v>
      </c>
      <c r="D34" s="88">
        <f t="shared" si="3"/>
        <v>0.29294202615692355</v>
      </c>
    </row>
    <row r="35" spans="1:4" x14ac:dyDescent="0.25">
      <c r="A35" s="6" t="s">
        <v>184</v>
      </c>
      <c r="B35" s="90">
        <v>1498103.7479148132</v>
      </c>
      <c r="C35" s="90">
        <f t="shared" si="2"/>
        <v>769032.76208518655</v>
      </c>
      <c r="D35" s="88">
        <f t="shared" si="3"/>
        <v>0.51333745286706023</v>
      </c>
    </row>
    <row r="36" spans="1:4" x14ac:dyDescent="0.25">
      <c r="A36" s="6" t="s">
        <v>186</v>
      </c>
      <c r="B36" s="90">
        <v>2465668.8136220509</v>
      </c>
      <c r="C36" s="90">
        <f t="shared" si="2"/>
        <v>-198532.30362205114</v>
      </c>
      <c r="D36" s="88">
        <f t="shared" si="3"/>
        <v>-8.0518641646121325E-2</v>
      </c>
    </row>
  </sheetData>
  <mergeCells count="1">
    <mergeCell ref="C16:C2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 costs</vt:lpstr>
      <vt:lpstr>costs</vt:lpstr>
      <vt:lpstr>price</vt:lpstr>
      <vt:lpstr>npv</vt:lpstr>
      <vt:lpstr>результ показатели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Tserakhau</dc:creator>
  <cp:lastModifiedBy>Andrei Tserakhau</cp:lastModifiedBy>
  <dcterms:created xsi:type="dcterms:W3CDTF">2013-11-12T10:48:34Z</dcterms:created>
  <dcterms:modified xsi:type="dcterms:W3CDTF">2013-11-14T09:55:36Z</dcterms:modified>
</cp:coreProperties>
</file>