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drei_Tserakhau\Desktop\"/>
    </mc:Choice>
  </mc:AlternateContent>
  <bookViews>
    <workbookView xWindow="0" yWindow="0" windowWidth="28800" windowHeight="12615" activeTab="7"/>
  </bookViews>
  <sheets>
    <sheet name="Assesment Rules" sheetId="1" r:id="rId1"/>
    <sheet name="Career Path" sheetId="2" r:id="rId2"/>
    <sheet name="Profile Summary" sheetId="3" r:id="rId3"/>
    <sheet name="Non-technical Skills" sheetId="4" r:id="rId4"/>
    <sheet name="Management Skills" sheetId="5" r:id="rId5"/>
    <sheet name="Software Architecture" sheetId="6" r:id="rId6"/>
    <sheet name="Dev General Skills" sheetId="7" r:id="rId7"/>
    <sheet name=".NET" sheetId="8" r:id="rId8"/>
    <sheet name="PHP" sheetId="9" r:id="rId9"/>
    <sheet name="JAVA" sheetId="10" r:id="rId10"/>
    <sheet name="RelationDB" sheetId="11" r:id="rId11"/>
  </sheets>
  <definedNames>
    <definedName name="dlevels" localSheetId="2">'Profile Summary'!$B$10:$B$20</definedName>
    <definedName name="dlevels">'Assesment Rules'!$B$4:$B$8</definedName>
    <definedName name="yesno" localSheetId="2">'Profile Summary'!$D$10:$E$12</definedName>
    <definedName name="yesno">'Assesment Rules'!$H$4:$H$5</definedName>
  </definedNames>
  <calcPr calcId="152510"/>
</workbook>
</file>

<file path=xl/calcChain.xml><?xml version="1.0" encoding="utf-8"?>
<calcChain xmlns="http://schemas.openxmlformats.org/spreadsheetml/2006/main">
  <c r="F35" i="8" l="1"/>
  <c r="F186" i="11" l="1"/>
  <c r="G176" i="11"/>
  <c r="H176" i="11"/>
  <c r="D182" i="11"/>
  <c r="G130" i="11"/>
  <c r="G138" i="11"/>
  <c r="G146" i="11"/>
  <c r="G151" i="11"/>
  <c r="G158" i="11"/>
  <c r="G163" i="11"/>
  <c r="G171" i="11"/>
  <c r="H130" i="11"/>
  <c r="H138" i="11"/>
  <c r="H146" i="11"/>
  <c r="H151" i="11"/>
  <c r="H158" i="11"/>
  <c r="H163" i="11"/>
  <c r="H171" i="11"/>
  <c r="C182" i="11"/>
  <c r="G128" i="11"/>
  <c r="G135" i="11"/>
  <c r="G145" i="11"/>
  <c r="G149" i="11"/>
  <c r="G154" i="11"/>
  <c r="G161" i="11"/>
  <c r="G166" i="11"/>
  <c r="G169" i="11"/>
  <c r="H128" i="11"/>
  <c r="H135" i="11"/>
  <c r="H145" i="11"/>
  <c r="H149" i="11"/>
  <c r="H154" i="11"/>
  <c r="H161" i="11"/>
  <c r="H166" i="11"/>
  <c r="H169" i="11"/>
  <c r="B182" i="11"/>
  <c r="G148" i="11"/>
  <c r="H148" i="11"/>
  <c r="A182" i="11"/>
  <c r="F125" i="11"/>
  <c r="G112" i="11"/>
  <c r="H112" i="11"/>
  <c r="D121" i="11"/>
  <c r="G111" i="11"/>
  <c r="G79" i="11"/>
  <c r="G89" i="11"/>
  <c r="G99" i="11"/>
  <c r="G101" i="11"/>
  <c r="G108" i="11"/>
  <c r="H111" i="11"/>
  <c r="H79" i="11"/>
  <c r="H89" i="11"/>
  <c r="H99" i="11"/>
  <c r="H101" i="11"/>
  <c r="H108" i="11"/>
  <c r="C121" i="11"/>
  <c r="G107" i="11"/>
  <c r="G97" i="11"/>
  <c r="G94" i="11"/>
  <c r="G92" i="11"/>
  <c r="G83" i="11"/>
  <c r="G78" i="11"/>
  <c r="G76" i="11"/>
  <c r="H107" i="11"/>
  <c r="H97" i="11"/>
  <c r="H94" i="11"/>
  <c r="H92" i="11"/>
  <c r="H83" i="11"/>
  <c r="H78" i="11"/>
  <c r="H76" i="11"/>
  <c r="B121" i="11"/>
  <c r="G96" i="11"/>
  <c r="G81" i="11"/>
  <c r="H96" i="11"/>
  <c r="H81" i="11"/>
  <c r="A121" i="11"/>
  <c r="H75" i="11"/>
  <c r="G75" i="11"/>
  <c r="H74" i="11"/>
  <c r="G74" i="11"/>
  <c r="F73" i="11"/>
  <c r="G52" i="11"/>
  <c r="H52" i="11"/>
  <c r="D69" i="11"/>
  <c r="G17" i="11"/>
  <c r="G24" i="11"/>
  <c r="G32" i="11"/>
  <c r="G43" i="11"/>
  <c r="G50" i="11"/>
  <c r="G63" i="11"/>
  <c r="G66" i="11"/>
  <c r="H17" i="11"/>
  <c r="H24" i="11"/>
  <c r="H32" i="11"/>
  <c r="H43" i="11"/>
  <c r="H50" i="11"/>
  <c r="H63" i="11"/>
  <c r="H66" i="11"/>
  <c r="C69" i="11"/>
  <c r="G12" i="11"/>
  <c r="G21" i="11"/>
  <c r="G30" i="11"/>
  <c r="G36" i="11"/>
  <c r="G41" i="11"/>
  <c r="G47" i="11"/>
  <c r="G54" i="11"/>
  <c r="G57" i="11"/>
  <c r="G59" i="11"/>
  <c r="G62" i="11"/>
  <c r="G65" i="11"/>
  <c r="H12" i="11"/>
  <c r="H21" i="11"/>
  <c r="H30" i="11"/>
  <c r="H36" i="11"/>
  <c r="H41" i="11"/>
  <c r="H47" i="11"/>
  <c r="H54" i="11"/>
  <c r="H57" i="11"/>
  <c r="H59" i="11"/>
  <c r="H62" i="11"/>
  <c r="H65" i="11"/>
  <c r="B69" i="11"/>
  <c r="G5" i="11"/>
  <c r="G20" i="11"/>
  <c r="G28" i="11"/>
  <c r="G34" i="11"/>
  <c r="G40" i="11"/>
  <c r="G46" i="11"/>
  <c r="H5" i="11"/>
  <c r="H20" i="11"/>
  <c r="H28" i="11"/>
  <c r="H34" i="11"/>
  <c r="H40" i="11"/>
  <c r="H46" i="11"/>
  <c r="A69" i="11"/>
  <c r="I55" i="11"/>
  <c r="I54" i="11"/>
  <c r="H27" i="11"/>
  <c r="H19" i="11"/>
  <c r="H4" i="11"/>
  <c r="F13" i="10"/>
  <c r="G7" i="10"/>
  <c r="H7" i="10"/>
  <c r="D9" i="10"/>
  <c r="G6" i="10"/>
  <c r="H6" i="10"/>
  <c r="C9" i="10"/>
  <c r="G5" i="10"/>
  <c r="H5" i="10"/>
  <c r="B9" i="10"/>
  <c r="G4" i="10"/>
  <c r="H4" i="10"/>
  <c r="A9" i="10"/>
  <c r="F55" i="9"/>
  <c r="G44" i="9"/>
  <c r="H44" i="9"/>
  <c r="D51" i="9"/>
  <c r="G32" i="9"/>
  <c r="H32" i="9"/>
  <c r="C51" i="9"/>
  <c r="G21" i="9"/>
  <c r="H21" i="9"/>
  <c r="B51" i="9"/>
  <c r="G4" i="9"/>
  <c r="H4" i="9"/>
  <c r="A51" i="9"/>
  <c r="D49" i="9"/>
  <c r="D48" i="9"/>
  <c r="D46" i="9"/>
  <c r="D45" i="9"/>
  <c r="C43" i="9"/>
  <c r="C42" i="9"/>
  <c r="C41" i="9"/>
  <c r="C40" i="9"/>
  <c r="C39" i="9"/>
  <c r="C38" i="9"/>
  <c r="C37" i="9"/>
  <c r="C36" i="9"/>
  <c r="C35" i="9"/>
  <c r="C34" i="9"/>
  <c r="C33" i="9"/>
  <c r="C32" i="9"/>
  <c r="B29" i="9"/>
  <c r="B28" i="9"/>
  <c r="B27" i="9"/>
  <c r="B26" i="9"/>
  <c r="B25" i="9"/>
  <c r="B24" i="9"/>
  <c r="B23" i="9"/>
  <c r="B22" i="9"/>
  <c r="B21" i="9"/>
  <c r="A20" i="9"/>
  <c r="A19" i="9"/>
  <c r="A18" i="9"/>
  <c r="A17" i="9"/>
  <c r="A16" i="9"/>
  <c r="A15" i="9"/>
  <c r="A14" i="9"/>
  <c r="A13" i="9"/>
  <c r="A12" i="9"/>
  <c r="A11" i="9"/>
  <c r="A10" i="9"/>
  <c r="A9" i="9"/>
  <c r="A8" i="9"/>
  <c r="A7" i="9"/>
  <c r="A6" i="9"/>
  <c r="A5" i="9"/>
  <c r="A4" i="9"/>
  <c r="F160" i="8"/>
  <c r="G115" i="8"/>
  <c r="G147" i="8"/>
  <c r="H115" i="8"/>
  <c r="H147" i="8"/>
  <c r="D156" i="8"/>
  <c r="G109" i="8"/>
  <c r="G137" i="8"/>
  <c r="H109" i="8"/>
  <c r="H137" i="8"/>
  <c r="C156" i="8"/>
  <c r="G103" i="8"/>
  <c r="G129" i="8"/>
  <c r="H103" i="8"/>
  <c r="H129" i="8"/>
  <c r="B156" i="8"/>
  <c r="G96" i="8"/>
  <c r="G120" i="8"/>
  <c r="H96" i="8"/>
  <c r="H120" i="8"/>
  <c r="A156" i="8"/>
  <c r="D154" i="8"/>
  <c r="D153" i="8"/>
  <c r="D152" i="8"/>
  <c r="D151" i="8"/>
  <c r="D150" i="8"/>
  <c r="D149" i="8"/>
  <c r="D148" i="8"/>
  <c r="D147" i="8"/>
  <c r="C146" i="8"/>
  <c r="C145" i="8"/>
  <c r="C144" i="8"/>
  <c r="C143" i="8"/>
  <c r="C142" i="8"/>
  <c r="C141" i="8"/>
  <c r="C140" i="8"/>
  <c r="C139" i="8"/>
  <c r="C138" i="8"/>
  <c r="C137" i="8"/>
  <c r="B136" i="8"/>
  <c r="B135" i="8"/>
  <c r="B134" i="8"/>
  <c r="B133" i="8"/>
  <c r="B132" i="8"/>
  <c r="B130" i="8"/>
  <c r="B129" i="8"/>
  <c r="A128" i="8"/>
  <c r="A127" i="8"/>
  <c r="A126" i="8"/>
  <c r="A125" i="8"/>
  <c r="A124" i="8"/>
  <c r="A123" i="8"/>
  <c r="A122" i="8"/>
  <c r="A121" i="8"/>
  <c r="A120" i="8"/>
  <c r="D118" i="8"/>
  <c r="D117" i="8"/>
  <c r="D116" i="8"/>
  <c r="D115" i="8"/>
  <c r="C114" i="8"/>
  <c r="C113" i="8"/>
  <c r="C112" i="8"/>
  <c r="C111" i="8"/>
  <c r="C110" i="8"/>
  <c r="C109" i="8"/>
  <c r="B108" i="8"/>
  <c r="B107" i="8"/>
  <c r="B106" i="8"/>
  <c r="B105" i="8"/>
  <c r="B104" i="8"/>
  <c r="B103" i="8"/>
  <c r="A102" i="8"/>
  <c r="A101" i="8"/>
  <c r="A100" i="8"/>
  <c r="A99" i="8"/>
  <c r="A98" i="8"/>
  <c r="A97" i="8"/>
  <c r="A96" i="8"/>
  <c r="F92" i="8"/>
  <c r="G77" i="8"/>
  <c r="D88" i="8" s="1"/>
  <c r="H77" i="8"/>
  <c r="G71" i="8"/>
  <c r="C88" i="8" s="1"/>
  <c r="G85" i="8"/>
  <c r="H71" i="8"/>
  <c r="H85" i="8"/>
  <c r="G60" i="8"/>
  <c r="G81" i="8"/>
  <c r="H60" i="8"/>
  <c r="H81" i="8"/>
  <c r="G52" i="8"/>
  <c r="G80" i="8"/>
  <c r="H52" i="8"/>
  <c r="H80" i="8"/>
  <c r="B67" i="8"/>
  <c r="A59" i="8"/>
  <c r="A53" i="8"/>
  <c r="F48" i="8"/>
  <c r="G40" i="8"/>
  <c r="D44" i="8" s="1"/>
  <c r="H40" i="8"/>
  <c r="G34" i="8"/>
  <c r="C44" i="8" s="1"/>
  <c r="H34" i="8"/>
  <c r="G20" i="8"/>
  <c r="H20" i="8"/>
  <c r="G4" i="8"/>
  <c r="H4" i="8"/>
  <c r="C39" i="8"/>
  <c r="C36" i="8"/>
  <c r="B30" i="8"/>
  <c r="B29" i="8"/>
  <c r="B28" i="8"/>
  <c r="B27" i="8"/>
  <c r="B26" i="8"/>
  <c r="B23" i="8"/>
  <c r="B22" i="8"/>
  <c r="B21" i="8"/>
  <c r="B20" i="8"/>
  <c r="A19" i="8"/>
  <c r="A18" i="8"/>
  <c r="A17" i="8"/>
  <c r="A16" i="8"/>
  <c r="A15" i="8"/>
  <c r="A13" i="8"/>
  <c r="A12" i="8"/>
  <c r="A10" i="8"/>
  <c r="A9" i="8"/>
  <c r="A8" i="8"/>
  <c r="F143" i="7"/>
  <c r="G22" i="7"/>
  <c r="G34" i="7"/>
  <c r="G40" i="7"/>
  <c r="G53" i="7"/>
  <c r="G64" i="7"/>
  <c r="G78" i="7"/>
  <c r="G108" i="7"/>
  <c r="G117" i="7"/>
  <c r="G137" i="7"/>
  <c r="H22" i="7"/>
  <c r="H34" i="7"/>
  <c r="H40" i="7"/>
  <c r="H53" i="7"/>
  <c r="H64" i="7"/>
  <c r="H78" i="7"/>
  <c r="H108" i="7"/>
  <c r="H117" i="7"/>
  <c r="H137" i="7"/>
  <c r="D139" i="7"/>
  <c r="G18" i="7"/>
  <c r="G33" i="7"/>
  <c r="G38" i="7"/>
  <c r="G48" i="7"/>
  <c r="G60" i="7"/>
  <c r="G72" i="7"/>
  <c r="G90" i="7"/>
  <c r="G95" i="7"/>
  <c r="G112" i="7"/>
  <c r="G122" i="7"/>
  <c r="G127" i="7"/>
  <c r="G135" i="7"/>
  <c r="H18" i="7"/>
  <c r="H33" i="7"/>
  <c r="H38" i="7"/>
  <c r="H48" i="7"/>
  <c r="H60" i="7"/>
  <c r="H72" i="7"/>
  <c r="H90" i="7"/>
  <c r="H95" i="7"/>
  <c r="H112" i="7"/>
  <c r="H122" i="7"/>
  <c r="H127" i="7"/>
  <c r="H135" i="7"/>
  <c r="C139" i="7"/>
  <c r="G4" i="7"/>
  <c r="G11" i="7"/>
  <c r="G31" i="7"/>
  <c r="G37" i="7"/>
  <c r="G57" i="7"/>
  <c r="G67" i="7"/>
  <c r="G86" i="7"/>
  <c r="G94" i="7"/>
  <c r="G102" i="7"/>
  <c r="G110" i="7"/>
  <c r="G120" i="7"/>
  <c r="G125" i="7"/>
  <c r="G130" i="7"/>
  <c r="G133" i="7"/>
  <c r="H4" i="7"/>
  <c r="H11" i="7"/>
  <c r="H31" i="7"/>
  <c r="H37" i="7"/>
  <c r="H57" i="7"/>
  <c r="H67" i="7"/>
  <c r="H86" i="7"/>
  <c r="H94" i="7"/>
  <c r="H102" i="7"/>
  <c r="H110" i="7"/>
  <c r="H120" i="7"/>
  <c r="H125" i="7"/>
  <c r="H130" i="7"/>
  <c r="H133" i="7"/>
  <c r="B139" i="7"/>
  <c r="G8" i="7"/>
  <c r="G28" i="7"/>
  <c r="G36" i="7"/>
  <c r="G43" i="7"/>
  <c r="G66" i="7"/>
  <c r="G84" i="7"/>
  <c r="G99" i="7"/>
  <c r="G119" i="7"/>
  <c r="H8" i="7"/>
  <c r="H28" i="7"/>
  <c r="H36" i="7"/>
  <c r="H43" i="7"/>
  <c r="H66" i="7"/>
  <c r="H84" i="7"/>
  <c r="H99" i="7"/>
  <c r="H119" i="7"/>
  <c r="A139" i="7"/>
  <c r="D137" i="7"/>
  <c r="C136" i="7"/>
  <c r="B134" i="7"/>
  <c r="B133" i="7"/>
  <c r="B131" i="7"/>
  <c r="C128" i="7"/>
  <c r="C127" i="7"/>
  <c r="C123" i="7"/>
  <c r="C122" i="7"/>
  <c r="D117" i="7"/>
  <c r="C116" i="7"/>
  <c r="C115" i="7"/>
  <c r="C114" i="7"/>
  <c r="C113" i="7"/>
  <c r="C112" i="7"/>
  <c r="D108" i="7"/>
  <c r="C107" i="7"/>
  <c r="C106" i="7"/>
  <c r="C105" i="7"/>
  <c r="C104" i="7"/>
  <c r="H103" i="7"/>
  <c r="G103" i="7"/>
  <c r="C103" i="7"/>
  <c r="B102" i="7"/>
  <c r="A100" i="7"/>
  <c r="A99" i="7"/>
  <c r="C95" i="7"/>
  <c r="H93" i="7"/>
  <c r="G93" i="7"/>
  <c r="C91" i="7"/>
  <c r="C90" i="7"/>
  <c r="B89" i="7"/>
  <c r="B87" i="7"/>
  <c r="B86" i="7"/>
  <c r="D82" i="7"/>
  <c r="D81" i="7"/>
  <c r="D80" i="7"/>
  <c r="D79" i="7"/>
  <c r="D78" i="7"/>
  <c r="C74" i="7"/>
  <c r="C73" i="7"/>
  <c r="C72" i="7"/>
  <c r="B70" i="7"/>
  <c r="B68" i="7"/>
  <c r="C60" i="7"/>
  <c r="D55" i="7"/>
  <c r="D54" i="7"/>
  <c r="D53" i="7"/>
  <c r="C52" i="7"/>
  <c r="C51" i="7"/>
  <c r="C50" i="7"/>
  <c r="B47" i="7"/>
  <c r="H44" i="7"/>
  <c r="G44" i="7"/>
  <c r="B44" i="7"/>
  <c r="D41" i="7"/>
  <c r="D40" i="7"/>
  <c r="C39" i="7"/>
  <c r="C38" i="7"/>
  <c r="B37" i="7"/>
  <c r="D34" i="7"/>
  <c r="C33" i="7"/>
  <c r="B32" i="7"/>
  <c r="B31" i="7"/>
  <c r="A29" i="7"/>
  <c r="D26" i="7"/>
  <c r="D25" i="7"/>
  <c r="D24" i="7"/>
  <c r="D23" i="7"/>
  <c r="D22" i="7"/>
  <c r="C21" i="7"/>
  <c r="C20" i="7"/>
  <c r="C19" i="7"/>
  <c r="C18" i="7"/>
  <c r="B17" i="7"/>
  <c r="B16" i="7"/>
  <c r="B15" i="7"/>
  <c r="B14" i="7"/>
  <c r="B13" i="7"/>
  <c r="B12" i="7"/>
  <c r="B11" i="7"/>
  <c r="A10" i="7"/>
  <c r="A9" i="7"/>
  <c r="H6" i="7"/>
  <c r="G6" i="7"/>
  <c r="H5" i="7"/>
  <c r="G5" i="7"/>
  <c r="B4" i="7"/>
  <c r="E20" i="6"/>
  <c r="B20" i="6"/>
  <c r="A20" i="6"/>
  <c r="E17" i="6"/>
  <c r="B17" i="6"/>
  <c r="A17" i="6"/>
  <c r="A16" i="6"/>
  <c r="A15" i="6"/>
  <c r="B9" i="4"/>
  <c r="D20" i="3"/>
  <c r="D16" i="3"/>
  <c r="D15" i="3"/>
  <c r="D14" i="3"/>
  <c r="A186" i="11"/>
  <c r="A125" i="11"/>
  <c r="A92" i="8"/>
  <c r="A55" i="9"/>
  <c r="A160" i="8"/>
  <c r="A13" i="10"/>
  <c r="A48" i="8"/>
  <c r="A73" i="11"/>
  <c r="A143" i="7"/>
  <c r="B143" i="7"/>
  <c r="B73" i="11"/>
  <c r="B55" i="9"/>
  <c r="B13" i="10"/>
  <c r="B125" i="11"/>
  <c r="B160" i="8"/>
  <c r="B186" i="11"/>
  <c r="B48" i="8"/>
  <c r="B92" i="8"/>
  <c r="C92" i="8"/>
  <c r="C125" i="11"/>
  <c r="C143" i="7"/>
  <c r="C48" i="8"/>
  <c r="C13" i="10"/>
  <c r="C55" i="9"/>
  <c r="C160" i="8"/>
  <c r="C73" i="11"/>
  <c r="C186" i="11"/>
  <c r="D186" i="11"/>
  <c r="D13" i="10"/>
  <c r="D92" i="8"/>
  <c r="D160" i="8"/>
  <c r="D73" i="11"/>
  <c r="D48" i="8"/>
  <c r="D143" i="7"/>
  <c r="D55" i="9"/>
  <c r="D125" i="11"/>
  <c r="E125" i="11"/>
  <c r="E73" i="11"/>
  <c r="E186" i="11"/>
  <c r="E143" i="7"/>
  <c r="E55" i="9"/>
  <c r="E160" i="8"/>
  <c r="E92" i="8"/>
  <c r="E48" i="8"/>
  <c r="E13" i="10"/>
  <c r="B88" i="8" l="1"/>
  <c r="A88" i="8"/>
  <c r="B44" i="8"/>
  <c r="A44" i="8"/>
</calcChain>
</file>

<file path=xl/sharedStrings.xml><?xml version="1.0" encoding="utf-8"?>
<sst xmlns="http://schemas.openxmlformats.org/spreadsheetml/2006/main" count="683" uniqueCount="438">
  <si>
    <t>Assessment Rules</t>
  </si>
  <si>
    <t>D1</t>
  </si>
  <si>
    <t>Junior level: beginners in the specific professional area, require close supervision to perform work</t>
  </si>
  <si>
    <t>Y</t>
  </si>
  <si>
    <t>Y (Yes) Means that Candidate has strong knowledge in specified area</t>
  </si>
  <si>
    <t>D2</t>
  </si>
  <si>
    <t>Normal level: can work without supervision, can easily follow instructions</t>
  </si>
  <si>
    <t>N</t>
  </si>
  <si>
    <t>N (No) Means that proposed skill set should be improved</t>
  </si>
  <si>
    <t>D3</t>
  </si>
  <si>
    <t>Senior level: can participate in technical decision making, can guide and supervise the activities of level 1 and 2 colleagues</t>
  </si>
  <si>
    <t>Empty (Default value) Means that topic isn't asked yet</t>
  </si>
  <si>
    <t>D4</t>
  </si>
  <si>
    <t>Lead level: in charge of making technical decisions within their area of responsibility on the project, may supervise the activities and deliverables of a professional team</t>
  </si>
  <si>
    <t>D5</t>
  </si>
  <si>
    <t>Chief level: on a par with the best industry expert from the market. In charge of making strategic decisions, resolving the most difficult and complicated issues, may supervise the activities and deliverables of less senior team members</t>
  </si>
  <si>
    <t>Rules used for topics outlining during matrix development</t>
  </si>
  <si>
    <t>- Try to be very concise
- Try to name topics, that way, that it will be easily "googled/binged' 
- Try to put note with expectations for answer (Specific question, subtopics)
- Try to put direct link to the starting point of learning (like link to the official manual or wiki or link to the article of the well know/qualified author)
- If there is very specific/crucial question, then sate it as topic itself.</t>
  </si>
  <si>
    <t>Employee Profile</t>
  </si>
  <si>
    <t>Employee:</t>
  </si>
  <si>
    <t>Ivanov Ivan</t>
  </si>
  <si>
    <t>Resource Manager:</t>
  </si>
  <si>
    <t>Anatoliy Anton</t>
  </si>
  <si>
    <t>Reviewers:</t>
  </si>
  <si>
    <t>Konstantin Konstantinovich</t>
  </si>
  <si>
    <t>Notes</t>
  </si>
  <si>
    <t>Skill</t>
  </si>
  <si>
    <t>Specialization</t>
  </si>
  <si>
    <t>Level</t>
  </si>
  <si>
    <t>Like his job. Want bigger table. Would like to learn more.</t>
  </si>
  <si>
    <t>Non-Technical Skills</t>
  </si>
  <si>
    <t>Managerial</t>
  </si>
  <si>
    <t>Software Architecture</t>
  </si>
  <si>
    <t>Dev General Skills</t>
  </si>
  <si>
    <t>.Net</t>
  </si>
  <si>
    <t>Web</t>
  </si>
  <si>
    <t>Desktop</t>
  </si>
  <si>
    <t>Java</t>
  </si>
  <si>
    <t>DB</t>
  </si>
  <si>
    <t>Oracle</t>
  </si>
  <si>
    <t>MS SQL</t>
  </si>
  <si>
    <t>PHP</t>
  </si>
  <si>
    <t>Softskills, are assesed by resource manager</t>
  </si>
  <si>
    <t>Yes/No</t>
  </si>
  <si>
    <t>Actual</t>
  </si>
  <si>
    <t>Non-technical skills: SDLC</t>
  </si>
  <si>
    <t>iterative development</t>
  </si>
  <si>
    <t>backlog</t>
  </si>
  <si>
    <t>issue tracking system</t>
  </si>
  <si>
    <t>programming style standards</t>
  </si>
  <si>
    <t>agile development methodologies</t>
  </si>
  <si>
    <t>code freeze</t>
  </si>
  <si>
    <t>code complete</t>
  </si>
  <si>
    <t>risk management</t>
  </si>
  <si>
    <t>Non-technical skills: Products and requirements</t>
  </si>
  <si>
    <t>product lifecycle</t>
  </si>
  <si>
    <t>requirements analysis</t>
  </si>
  <si>
    <t>Non-technical skills: Leadership</t>
  </si>
  <si>
    <t>planning: basic</t>
  </si>
  <si>
    <t>teamwork</t>
  </si>
  <si>
    <t>communication: basics</t>
  </si>
  <si>
    <t>self-organization</t>
  </si>
  <si>
    <t>creativity</t>
  </si>
  <si>
    <t>good competence in his area</t>
  </si>
  <si>
    <t>broad-minded and has holistic perspective</t>
  </si>
  <si>
    <t>uses systematic processes</t>
  </si>
  <si>
    <t>communication: advanced</t>
  </si>
  <si>
    <t>interaction</t>
  </si>
  <si>
    <t>openness</t>
  </si>
  <si>
    <t>self-development</t>
  </si>
  <si>
    <t>self-motivation</t>
  </si>
  <si>
    <t>motivates other team members</t>
  </si>
  <si>
    <t>confidence</t>
  </si>
  <si>
    <t>optimism</t>
  </si>
  <si>
    <t>Non-technical skills: Time-management</t>
  </si>
  <si>
    <t>time management: no awareness</t>
  </si>
  <si>
    <t>time management: basics</t>
  </si>
  <si>
    <t>self-organized</t>
  </si>
  <si>
    <t>accurate task estimation</t>
  </si>
  <si>
    <t>time management: advanced</t>
  </si>
  <si>
    <t>Non-technical skills: Communication</t>
  </si>
  <si>
    <t>english: basics</t>
  </si>
  <si>
    <t>has logical thinking</t>
  </si>
  <si>
    <t>explains thoughts clearly</t>
  </si>
  <si>
    <t>english: intermediate</t>
  </si>
  <si>
    <t>high morale</t>
  </si>
  <si>
    <t>can provide adequate feedback about others</t>
  </si>
  <si>
    <t>english: advanced</t>
  </si>
  <si>
    <t>Managerial skills, are assesed by resource manager</t>
  </si>
  <si>
    <t>M1 (Team Lead)</t>
  </si>
  <si>
    <t>M1 (PM)</t>
  </si>
  <si>
    <t>M2 (PM)</t>
  </si>
  <si>
    <t>Project Management</t>
  </si>
  <si>
    <t>Leading a team of developers up to 5 people</t>
  </si>
  <si>
    <t>Several years of industry experience, participated in several successful projects.</t>
  </si>
  <si>
    <t>Technical person who can play architect role when needed</t>
  </si>
  <si>
    <t>Time management</t>
  </si>
  <si>
    <t>Software Development processes (Agile, Scrum, Kanban, RUP, etc)</t>
  </si>
  <si>
    <t>Planning scope of work</t>
  </si>
  <si>
    <t>Tasks distribution and task execution controlling; tasks delegation</t>
  </si>
  <si>
    <t>Technical and design documentation</t>
  </si>
  <si>
    <t>Presentations</t>
  </si>
  <si>
    <t>Estimation</t>
  </si>
  <si>
    <t>Creativity and ability to sell his/her ideas</t>
  </si>
  <si>
    <t>Negotiations in interpersonal communication</t>
  </si>
  <si>
    <t>UPSA Project management</t>
  </si>
  <si>
    <t>Project Planning (MS Project, etc)</t>
  </si>
  <si>
    <t>Instruments for project management - Jira, PMC, TFS, TargetProcess, etc</t>
  </si>
  <si>
    <t>Risk management and risks mitigation plan</t>
  </si>
  <si>
    <t>Conflict management and resolving</t>
  </si>
  <si>
    <t>Release Management</t>
  </si>
  <si>
    <t>Software development process set up for a project</t>
  </si>
  <si>
    <t>Building relationships with the customer;communicating with customer</t>
  </si>
  <si>
    <t>Responsibility and quality of deliverables</t>
  </si>
  <si>
    <t>Ability to make a decisions and be responsible for it</t>
  </si>
  <si>
    <t>Resource Management</t>
  </si>
  <si>
    <t>Team Building</t>
  </si>
  <si>
    <t>Newcomer adoptation</t>
  </si>
  <si>
    <t>Coaching</t>
  </si>
  <si>
    <t>Interviewing</t>
  </si>
  <si>
    <t>Intangible Motivation</t>
  </si>
  <si>
    <t>UPSA Resource management</t>
  </si>
  <si>
    <t>Proper escalation and help request</t>
  </si>
  <si>
    <t>Psychological skills in working with people</t>
  </si>
  <si>
    <t>Software Architechture matrix</t>
  </si>
  <si>
    <t>L1</t>
  </si>
  <si>
    <t>L2</t>
  </si>
  <si>
    <t>L3</t>
  </si>
  <si>
    <t>L4</t>
  </si>
  <si>
    <t>L5</t>
  </si>
  <si>
    <t>General</t>
  </si>
  <si>
    <t>System Development Life Cycle (SDLC)</t>
  </si>
  <si>
    <t>Common understanding of Software Architecture</t>
  </si>
  <si>
    <t>Methodologies (Agile (SCRUM, XP, etc.), Lean, Waterfall):
- Understanding of Software deliverable methodologies (pros and cons)</t>
  </si>
  <si>
    <t>Development Process:
 - Source Control (trunk, branch, merge, patches). 
 - Git vs TFS 
 - Issue tracking system</t>
  </si>
  <si>
    <t>Documentation writing:
- Understanding of importance of Project documentation</t>
  </si>
  <si>
    <t>Modelling and Prototyping:
 - UML
 - MS Visio</t>
  </si>
  <si>
    <t>Business Domain understanding</t>
  </si>
  <si>
    <t>Deployment Models:
 - Understanding deployment models (ClickOnce, WindowsInstaller)
 - Ability to propose the suitable strategy according to requirements</t>
  </si>
  <si>
    <t>Documentation writing:
 - Creating and reviewing design documents</t>
  </si>
  <si>
    <t>Code Review &amp; Refactoring:
- Understanding of Code quality
 - Tools for code quality measurement (NDepend, etc.)</t>
  </si>
  <si>
    <t>Practices and Principles</t>
  </si>
  <si>
    <t>Layered Architecture
 - Layers vs Tiers
 - Concepts: BL, DAL, PL, etc.</t>
  </si>
  <si>
    <t>UI composition:
 - MVVM
 - MVC
 - MPV</t>
  </si>
  <si>
    <t>Object-relational Mapping</t>
  </si>
  <si>
    <t>Dependency Injection / Inversion of Control (main concept, IoC containers)</t>
  </si>
  <si>
    <t>Peformance analysis:
 - Analyze and fix performance bottlenecks
 - Performance testing tools usage</t>
  </si>
  <si>
    <t>Developer General Skills, are crucial for developer of any technology/platform. Are contributed by all competencies. All topics could be discussed in terms of primary skill (.NET, PHP, JAVA, etc...)</t>
  </si>
  <si>
    <t>Answered</t>
  </si>
  <si>
    <t>Asked</t>
  </si>
  <si>
    <t>Programming: Memory Management</t>
  </si>
  <si>
    <t>Virtual Memory Allocation</t>
  </si>
  <si>
    <t>Memory mapped files</t>
  </si>
  <si>
    <t>Programming: Data structures/Basic algorithms</t>
  </si>
  <si>
    <t>General awarnes, can name some algorithms</t>
  </si>
  <si>
    <t>Programming: Design principles</t>
  </si>
  <si>
    <t>Object vs Class</t>
  </si>
  <si>
    <t>Multiple vs Single Inheritance</t>
  </si>
  <si>
    <t>Programming: Design patterns</t>
  </si>
  <si>
    <t>general awareness, can name some</t>
  </si>
  <si>
    <t>Programming: Architectural styles/Patterns of Enterprise Application Architecture</t>
  </si>
  <si>
    <t>Logging</t>
  </si>
  <si>
    <t>UI composition:
 - MVVM
 - MVC</t>
  </si>
  <si>
    <t>Domain-driven design</t>
  </si>
  <si>
    <t>Data access patterns
  - DAO
  - ActiveRecord
  - Data Mapper
  - UnitOfWork
  - Repository</t>
  </si>
  <si>
    <t>Programming: Network/Communications</t>
  </si>
  <si>
    <t>Sync and Async call (AJAX)</t>
  </si>
  <si>
    <t>Internet architecture
- What it means to be "stateless"?
- TCP/IP
- DNS
- HTTP   
  - URI/URL  
  - HTTP Headers  
  - HTTP Methods  
  - HTTP Status Codes
- cookies</t>
  </si>
  <si>
    <t>WebServer Fundamentials (Apache / nginx / IIS)</t>
  </si>
  <si>
    <t>WebServices: REST</t>
  </si>
  <si>
    <t>Can compose simple HTTP request by hand</t>
  </si>
  <si>
    <t>Use netcat/feedler to monitor requests</t>
  </si>
  <si>
    <t>Can explaine how to code own simple webserver</t>
  </si>
  <si>
    <t>Programming: Databases</t>
  </si>
  <si>
    <t>SQL CRUD (select, insert, update, delete)</t>
  </si>
  <si>
    <t>SQL Proficiency
-  group by/having
-  limit/offset/order by</t>
  </si>
  <si>
    <t>Foreign keys</t>
  </si>
  <si>
    <t>Data Types and Null data type</t>
  </si>
  <si>
    <t>Stored Procedures and Triggers</t>
  </si>
  <si>
    <t>Subqueries, Unions</t>
  </si>
  <si>
    <t>NoRM concepts</t>
  </si>
  <si>
    <t>Programming: XML handling</t>
  </si>
  <si>
    <t>Understanding the xml structure</t>
  </si>
  <si>
    <t>Serialization</t>
  </si>
  <si>
    <t>DOM</t>
  </si>
  <si>
    <t>Programming: Async/Parallel/Concurrent</t>
  </si>
  <si>
    <t>General awareness</t>
  </si>
  <si>
    <t>Difference between threads and process</t>
  </si>
  <si>
    <t>Cross-Thread communication</t>
  </si>
  <si>
    <t>co-routines</t>
  </si>
  <si>
    <t>Programming: Security</t>
  </si>
  <si>
    <t>Sanitization of user input</t>
  </si>
  <si>
    <t>Programming: Testing</t>
  </si>
  <si>
    <t>Experience in any unit test frameworks</t>
  </si>
  <si>
    <t>Testing fundamentals &amp; scopes</t>
  </si>
  <si>
    <t>Development process: Source control</t>
  </si>
  <si>
    <t>check out/commit/synchronization with repository</t>
  </si>
  <si>
    <t>Branching</t>
  </si>
  <si>
    <t>Merging</t>
  </si>
  <si>
    <t>Development process: Build automation/Continuous integration</t>
  </si>
  <si>
    <t>Can explain how to build a project from command line, for primary skill technology</t>
  </si>
  <si>
    <t>Build automation tools (MSBuild/Ant/Maven/make files)</t>
  </si>
  <si>
    <t>Development process: Refactoring</t>
  </si>
  <si>
    <t>Inline variable, Rename/Move, Extract method</t>
  </si>
  <si>
    <t>Development process: Optimization</t>
  </si>
  <si>
    <t>In memory cache (memcached)</t>
  </si>
  <si>
    <t>Actual score by level:</t>
  </si>
  <si>
    <t>Treshold by level:</t>
  </si>
  <si>
    <t>.NET matrix consist from platform specifics and is an extension to the Dev General Skills. .NET matrix consist from .NET core that any .NET developer should know and specializations: Web Developer, Desktop Developer and Mobile Developer. Developer isn't obligated to be specialist in all, we should pick one the most realiable.</t>
  </si>
  <si>
    <t>.NET CORE</t>
  </si>
  <si>
    <t>What is .NET? What is CLR?</t>
  </si>
  <si>
    <t>What is strongly typed language?</t>
  </si>
  <si>
    <t>Access modifiers</t>
  </si>
  <si>
    <t>Static vs Instance classes, methods</t>
  </si>
  <si>
    <t>Interface and Abstract class</t>
  </si>
  <si>
    <t>Const/readonly</t>
  </si>
  <si>
    <t>Basic XML Handling</t>
  </si>
  <si>
    <t>Lambda Expression and Anonymous Method</t>
  </si>
  <si>
    <t>Experience in one of the O/RM 
(Linq to SQL / Entity Framework / NHibernate)</t>
  </si>
  <si>
    <t>Basic multithreading:
- threads
- locks
- thread pooling</t>
  </si>
  <si>
    <t>WCF fundamentals</t>
  </si>
  <si>
    <t>Memory management: LOH, Weak References, Finalization Thread</t>
  </si>
  <si>
    <t>Enumerator, Iterator</t>
  </si>
  <si>
    <t>I/O concepts: streams, typically operation</t>
  </si>
  <si>
    <t>Advanced multithreading (events, async program model, mutex, symafor)</t>
  </si>
  <si>
    <t>Understanding of the .NET guts.
Recommended readings:
- C# in Nutshell
- C# via CLR</t>
  </si>
  <si>
    <t>Memory management: GC Modes, Pinned References, Heap for static objects</t>
  </si>
  <si>
    <t>Can talk about what is new in the latest/upcoming .NET versions?</t>
  </si>
  <si>
    <t>Web Developer</t>
  </si>
  <si>
    <t>ASP.NET WebForms</t>
  </si>
  <si>
    <t>Page lifecycle event. List/Order of events. on_load</t>
  </si>
  <si>
    <t>postback</t>
  </si>
  <si>
    <t>callback</t>
  </si>
  <si>
    <t>ajax(async http request)</t>
  </si>
  <si>
    <t>configuration(web.config). How we could read/write to config.</t>
  </si>
  <si>
    <t>Page lifecycle event. On_init vs on_load vs prerender. (deep understanding)</t>
  </si>
  <si>
    <t>view state vs control state</t>
  </si>
  <si>
    <t>session and configureation</t>
  </si>
  <si>
    <t>postback vs callback vs ajax</t>
  </si>
  <si>
    <t>List possibilities how could http request be performed.</t>
  </si>
  <si>
    <t>web.config and hierarchy of web.configs</t>
  </si>
  <si>
    <t>custom user controls vs custom web controls</t>
  </si>
  <si>
    <t>what is JIT</t>
  </si>
  <si>
    <t>what is happening to ASPX/ASCX on JIT</t>
  </si>
  <si>
    <t>Basic Javascript Proficency</t>
  </si>
  <si>
    <t>Page lifecycle. Callback vs Postback vs HTTP GET list differences</t>
  </si>
  <si>
    <t>cache vs session vs application (deep understanding)</t>
  </si>
  <si>
    <t>machine.config</t>
  </si>
  <si>
    <t>global.asax</t>
  </si>
  <si>
    <t>HttpModule &amp; HttpHandler</t>
  </si>
  <si>
    <t>Describe flow how http request is getting handled as asp.net</t>
  </si>
  <si>
    <t>ISAPI Filters</t>
  </si>
  <si>
    <t>type of authentications in ASP.NET</t>
  </si>
  <si>
    <t>ASP.NET MVC</t>
  </si>
  <si>
    <t>Main principle MVC is trying to achive. Is it better/worse</t>
  </si>
  <si>
    <t>ASP.NET VS ASP.NET MVC living together in the same web app</t>
  </si>
  <si>
    <t>View engine. Razor VS ASP.NET</t>
  </si>
  <si>
    <t>Controller return types.</t>
  </si>
  <si>
    <t>Action methods.</t>
  </si>
  <si>
    <t>Action filters. Examples.</t>
  </si>
  <si>
    <t>Routing rules</t>
  </si>
  <si>
    <t>Desktop Developer</t>
  </si>
  <si>
    <t>WinForms</t>
  </si>
  <si>
    <t>WPF</t>
  </si>
  <si>
    <t>WPF's 2 pass layout engine</t>
  </si>
  <si>
    <t>Bonus skills (Knowledge of additional skills, technologies and frameworks. Isn't used in measuring level, but useful to know that information)</t>
  </si>
  <si>
    <t>FubuMVC</t>
  </si>
  <si>
    <t>WWF</t>
  </si>
  <si>
    <t>Azure</t>
  </si>
  <si>
    <t>PHP matrix consist from platform specifics and is an extension to the Dev General Skills. PHP Matrix consist from PHP skill and Bonus skills. Developer isn't abligated to know Bonus skills, but their present is a plus and will help RM's in forming teams.</t>
  </si>
  <si>
    <t>Valeriy Selev: add "Class Autoloading" http://php.net/manual/en/language.oop5.autoload.php?</t>
  </si>
  <si>
    <t>Can talk about what is new in the latest/upcoming PHP versions</t>
  </si>
  <si>
    <t>Debug, Profiling Tools</t>
  </si>
  <si>
    <t>Symfony</t>
  </si>
  <si>
    <t>Drupal</t>
  </si>
  <si>
    <t>Zend Framework</t>
  </si>
  <si>
    <t>Experience in writing PHP extensions</t>
  </si>
  <si>
    <t>Describe purpose of this spreadsheet and rules</t>
  </si>
  <si>
    <t>Test</t>
  </si>
  <si>
    <t>Test2</t>
  </si>
  <si>
    <t>Test3</t>
  </si>
  <si>
    <t>Test4</t>
  </si>
  <si>
    <t>DB matrix consist from DB General, Oracle and MS SQL Server proprietary skills. Developer's knowledge is being verified against DB General skills including skills specific to any chosen DB vendor</t>
  </si>
  <si>
    <t>DB General</t>
  </si>
  <si>
    <t>SQL</t>
  </si>
  <si>
    <t>3VL logic</t>
  </si>
  <si>
    <t>Joins: Basic knowledge (types, syntax, usage)</t>
  </si>
  <si>
    <t>Data Manipulation: INSERT/UPDATE/DELETE</t>
  </si>
  <si>
    <t>Aggregations</t>
  </si>
  <si>
    <t>Subqueries: Understanding the term, can provide usage exmpale</t>
  </si>
  <si>
    <t>Set operations</t>
  </si>
  <si>
    <t>DDL basics</t>
  </si>
  <si>
    <t>Joins: Solid understanding, different notations</t>
  </si>
  <si>
    <t>Data manipulation: MERGE/UPSERT</t>
  </si>
  <si>
    <t>Subqueries: Understanding of correlated queries and peculiarities</t>
  </si>
  <si>
    <t>Stages of SQL execution</t>
  </si>
  <si>
    <t>Dynamic SQL</t>
  </si>
  <si>
    <t>Hierarchical queries</t>
  </si>
  <si>
    <t>Analytic functions</t>
  </si>
  <si>
    <t>Relations and Modeling</t>
  </si>
  <si>
    <t>1:1, 1:M, M:M</t>
  </si>
  <si>
    <t>Constraints: Types of constraints and usage</t>
  </si>
  <si>
    <t>Normalization: Understanding the term, can provide examples</t>
  </si>
  <si>
    <t>Denormalization: Understanding the term, can provide examples</t>
  </si>
  <si>
    <t>Constraints: Constraint properties</t>
  </si>
  <si>
    <t>Normalization: Advanced understanding (can fully apply process in practice)</t>
  </si>
  <si>
    <t>Denormalization: Advanced understanding (able to recognise the need)</t>
  </si>
  <si>
    <t>Data Objects</t>
  </si>
  <si>
    <t>Indexes: Understanding of what indexes are and why it is important to use them</t>
  </si>
  <si>
    <t>Views: Understanding of what views are</t>
  </si>
  <si>
    <t>Views: usage, types, details</t>
  </si>
  <si>
    <t>Indexes: Types of indexes, Usage of indexes</t>
  </si>
  <si>
    <t>Indexes: Understanding of internal structure and various index characteristics</t>
  </si>
  <si>
    <t>Code Objects</t>
  </si>
  <si>
    <t>Triggers: Understanding of what triggers are and what purpose they serve</t>
  </si>
  <si>
    <t>Stored Functions, Procedures: Basic understanding (Understanding of what procedures are, why they are needed, can write simple functions)</t>
  </si>
  <si>
    <t>Triggers: Types of triggers, Usage</t>
  </si>
  <si>
    <t>Stored Functions, Procedures: Usage and solid understanding</t>
  </si>
  <si>
    <t>Error Handling</t>
  </si>
  <si>
    <t>Transactions</t>
  </si>
  <si>
    <t>Basic understanding (definition, examples)</t>
  </si>
  <si>
    <t>Properties</t>
  </si>
  <si>
    <t>Isolation levels (can name and explain how they work)</t>
  </si>
  <si>
    <t>Isolation levels (can successfully apply in practice)</t>
  </si>
  <si>
    <t>Concurrency models</t>
  </si>
  <si>
    <t>Datatypes</t>
  </si>
  <si>
    <t>Basic datatypes</t>
  </si>
  <si>
    <t>Time and Date datatypes</t>
  </si>
  <si>
    <t>XML datatype</t>
  </si>
  <si>
    <t>Datatype conversion</t>
  </si>
  <si>
    <t>XML datatype: Working with XML with the help of supplied functions</t>
  </si>
  <si>
    <t>LOBs</t>
  </si>
  <si>
    <t>XML Datatype: XQuery and Xpath, Storage options</t>
  </si>
  <si>
    <t>Built-In Functions</t>
  </si>
  <si>
    <t>Awareness and basic set of functions knowledge</t>
  </si>
  <si>
    <t>Text search functionality</t>
  </si>
  <si>
    <t>Metadata</t>
  </si>
  <si>
    <t>System Views</t>
  </si>
  <si>
    <t>Database structure</t>
  </si>
  <si>
    <t>Understanding of Schema/User/Database</t>
  </si>
  <si>
    <t>Privileges, Grants</t>
  </si>
  <si>
    <t>Tools &amp; Utilities</t>
  </si>
  <si>
    <t>Data Modeling tools: should know what these tools do</t>
  </si>
  <si>
    <t>Data Modeling tools: Has experience</t>
  </si>
  <si>
    <t>Performance Tuning</t>
  </si>
  <si>
    <t>Basic knowledge of execution plan (can generate a plan and assess the cost)</t>
  </si>
  <si>
    <t>Advanced knowledge of execution plan (can describe various types of components)</t>
  </si>
  <si>
    <t>Hints</t>
  </si>
  <si>
    <t>Multitable insert</t>
  </si>
  <si>
    <t>Tables: Knows different types of tables</t>
  </si>
  <si>
    <t>Tables: Knows when specific table type is to be used</t>
  </si>
  <si>
    <t>Sequences: Basic understanding</t>
  </si>
  <si>
    <t>Packages: Basic understanding what packages are and what purpose they serve</t>
  </si>
  <si>
    <t>Packages: Usage and solid understanding</t>
  </si>
  <si>
    <t>Cursors: Types of cursors, Cursor variables, Cursor attributes</t>
  </si>
  <si>
    <t>Collections</t>
  </si>
  <si>
    <t>Records</t>
  </si>
  <si>
    <t>Bulk processing</t>
  </si>
  <si>
    <t>Sequences: Attributes and manipulation</t>
  </si>
  <si>
    <t>Functions, Procedures, Packages: Advanced usage and understanding (pipelined, pragmas, etc.)</t>
  </si>
  <si>
    <t>External procedures</t>
  </si>
  <si>
    <t>Understanding of distributed transactions</t>
  </si>
  <si>
    <t>Synonyms</t>
  </si>
  <si>
    <t>Pseudocolumns: Basic understanding, can name most commonly used</t>
  </si>
  <si>
    <t>Pseudocolumns: Types of pseudocolumns, usage</t>
  </si>
  <si>
    <t>Oracle server architecture</t>
  </si>
  <si>
    <t>Memory and file management</t>
  </si>
  <si>
    <t>Oracle Options &amp; Supplied functionality</t>
  </si>
  <si>
    <t>Oracle Jobs</t>
  </si>
  <si>
    <t>Advanced Queues</t>
  </si>
  <si>
    <t>Partitioning</t>
  </si>
  <si>
    <t>Replication</t>
  </si>
  <si>
    <t>Compression</t>
  </si>
  <si>
    <t>SQL Plus: Basic set of commands, Substitution variables</t>
  </si>
  <si>
    <t>SQL Loader</t>
  </si>
  <si>
    <t>Data Pump</t>
  </si>
  <si>
    <t>Bind variables: Understanding the nature and purpose</t>
  </si>
  <si>
    <t>Principles of performance troubleshooting and planning</t>
  </si>
  <si>
    <t>Optimizer internals and statistics: Understanding, Gathering options, Problems that occur</t>
  </si>
  <si>
    <t>Commit optimization and NOLOGGING</t>
  </si>
  <si>
    <t>Tracing &amp; profiling</t>
  </si>
  <si>
    <t>Plan stability</t>
  </si>
  <si>
    <t>Caching methods understanding</t>
  </si>
  <si>
    <t>Redefiniton</t>
  </si>
  <si>
    <t>Parallel processing</t>
  </si>
  <si>
    <t>MS SQL Server</t>
  </si>
  <si>
    <t>T-SQL</t>
  </si>
  <si>
    <t>Set operations: advanced usage</t>
  </si>
  <si>
    <t>Derived tables, CTE</t>
  </si>
  <si>
    <t>Pivotting/Unpivotting data</t>
  </si>
  <si>
    <t>OVER clause</t>
  </si>
  <si>
    <t>APPLY operator</t>
  </si>
  <si>
    <t>Recursive CTE</t>
  </si>
  <si>
    <t>MS SQL Server architecture</t>
  </si>
  <si>
    <t>Databases and database files</t>
  </si>
  <si>
    <t>Understanding of Schema/User</t>
  </si>
  <si>
    <t>Types of indexes</t>
  </si>
  <si>
    <t>Internal structure of indexes</t>
  </si>
  <si>
    <t>Tables: internal structure</t>
  </si>
  <si>
    <t>Logging and recovery</t>
  </si>
  <si>
    <t>Linked servers</t>
  </si>
  <si>
    <t>.NET CLR support</t>
  </si>
  <si>
    <t>Working with metadata</t>
  </si>
  <si>
    <t>Basic knowlefge of system views, DMVs</t>
  </si>
  <si>
    <t>Practical usage of DMVs</t>
  </si>
  <si>
    <t>T-SQL Data types</t>
  </si>
  <si>
    <t>Working with date and time</t>
  </si>
  <si>
    <t>XML support</t>
  </si>
  <si>
    <t>Working with collations</t>
  </si>
  <si>
    <t>Programming</t>
  </si>
  <si>
    <t>Stored procedures</t>
  </si>
  <si>
    <t>User defined functions</t>
  </si>
  <si>
    <t>Triggers</t>
  </si>
  <si>
    <t>Views</t>
  </si>
  <si>
    <t>Stored procedures: advanced topics</t>
  </si>
  <si>
    <t>Transactions and concurrency</t>
  </si>
  <si>
    <t>Isolation levels in MS SQL</t>
  </si>
  <si>
    <t>Transaction modes</t>
  </si>
  <si>
    <t>Locking</t>
  </si>
  <si>
    <t>Optimistic concurrency: basic usage</t>
  </si>
  <si>
    <t>Tools and utilities</t>
  </si>
  <si>
    <t>Profiler</t>
  </si>
  <si>
    <t>command line utilities</t>
  </si>
  <si>
    <t>Performance tuning</t>
  </si>
  <si>
    <t>Execution plan: basic knowledge</t>
  </si>
  <si>
    <t>Join algorithms</t>
  </si>
  <si>
    <t>Using hints</t>
  </si>
  <si>
    <t>Tools for query tuning</t>
  </si>
  <si>
    <t>Tracing and profiling</t>
  </si>
  <si>
    <t>Index tuning</t>
  </si>
  <si>
    <t>Temporary tables, table variables</t>
  </si>
  <si>
    <t>Query optimizer internals</t>
  </si>
  <si>
    <t>Statistics</t>
  </si>
  <si>
    <t>Deadlocks</t>
  </si>
  <si>
    <t>Plan caching and recompilations</t>
  </si>
  <si>
    <t>Yes</t>
  </si>
  <si>
    <t>No</t>
  </si>
  <si>
    <t>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</si>
</sst>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28" x14ac:knownFonts="1">
    <font>
      <sz val="10"/>
      <color rgb="FF000000"/>
      <name val="Arial"/>
    </font>
    <font>
      <b/>
      <sz val="10"/>
      <color rgb="FF000000"/>
      <name val="Verdana"/>
      <family val="2"/>
      <charset val="204"/>
    </font>
    <font>
      <sz val="8"/>
      <color rgb="FF000000"/>
      <name val="Verdana"/>
      <family val="2"/>
      <charset val="204"/>
    </font>
    <font>
      <b/>
      <sz val="8"/>
      <color rgb="FF000000"/>
      <name val="Verdana"/>
      <family val="2"/>
      <charset val="204"/>
    </font>
    <font>
      <b/>
      <sz val="12"/>
      <color rgb="FFFFFFFF"/>
      <name val="Verdana"/>
      <family val="2"/>
      <charset val="204"/>
    </font>
    <font>
      <sz val="9"/>
      <color rgb="FF000000"/>
      <name val="Verdana"/>
      <family val="2"/>
      <charset val="204"/>
    </font>
    <font>
      <b/>
      <sz val="10"/>
      <color rgb="FFFFFFFF"/>
      <name val="Verdana"/>
      <family val="2"/>
      <charset val="204"/>
    </font>
    <font>
      <b/>
      <sz val="8"/>
      <color rgb="FFFFFFFF"/>
      <name val="Verdana"/>
      <family val="2"/>
      <charset val="204"/>
    </font>
    <font>
      <sz val="12"/>
      <color rgb="FFFFFFFF"/>
      <name val="Verdana"/>
      <family val="2"/>
      <charset val="204"/>
    </font>
    <font>
      <b/>
      <sz val="9"/>
      <color rgb="FF9C6500"/>
      <name val="Verdana"/>
      <family val="2"/>
      <charset val="204"/>
    </font>
    <font>
      <sz val="8"/>
      <color rgb="FFFF0000"/>
      <name val="Verdana"/>
      <family val="2"/>
      <charset val="204"/>
    </font>
    <font>
      <b/>
      <sz val="9"/>
      <color rgb="FF000000"/>
      <name val="Verdana"/>
      <family val="2"/>
      <charset val="204"/>
    </font>
    <font>
      <u/>
      <sz val="8"/>
      <color rgb="FF0000FF"/>
      <name val="Verdana"/>
      <family val="2"/>
      <charset val="204"/>
    </font>
    <font>
      <sz val="8"/>
      <color rgb="FF000000"/>
      <name val="Arial"/>
      <family val="2"/>
      <charset val="204"/>
    </font>
    <font>
      <sz val="18"/>
      <color rgb="FF9C6500"/>
      <name val="Verdana"/>
      <family val="2"/>
      <charset val="204"/>
    </font>
    <font>
      <sz val="10"/>
      <color rgb="FFFFFFFF"/>
      <name val="Verdana"/>
      <family val="2"/>
      <charset val="204"/>
    </font>
    <font>
      <sz val="9"/>
      <color rgb="FF9C6500"/>
      <name val="Verdana"/>
      <family val="2"/>
      <charset val="204"/>
    </font>
    <font>
      <sz val="8"/>
      <color rgb="FF9C6500"/>
      <name val="Verdana"/>
      <family val="2"/>
      <charset val="204"/>
    </font>
    <font>
      <sz val="10"/>
      <color rgb="FF000000"/>
      <name val="Verdana"/>
      <family val="2"/>
      <charset val="204"/>
    </font>
    <font>
      <u/>
      <sz val="8"/>
      <color rgb="FF000000"/>
      <name val="Verdana"/>
      <family val="2"/>
      <charset val="204"/>
    </font>
    <font>
      <b/>
      <sz val="9"/>
      <color rgb="FF1F497D"/>
      <name val="Verdana"/>
      <family val="2"/>
      <charset val="204"/>
    </font>
    <font>
      <b/>
      <sz val="8"/>
      <color rgb="FF9C6500"/>
      <name val="Verdana"/>
      <family val="2"/>
      <charset val="204"/>
    </font>
    <font>
      <sz val="11"/>
      <color rgb="FF000000"/>
      <name val="Calibri"/>
      <family val="2"/>
      <charset val="204"/>
    </font>
    <font>
      <b/>
      <sz val="10"/>
      <color rgb="FFFF0000"/>
      <name val="Verdana"/>
      <family val="2"/>
      <charset val="204"/>
    </font>
    <font>
      <b/>
      <u/>
      <sz val="8"/>
      <color rgb="FFFFFFFF"/>
      <name val="Verdana"/>
      <family val="2"/>
      <charset val="204"/>
    </font>
    <font>
      <sz val="10"/>
      <color rgb="FF000000"/>
      <name val="Arial"/>
      <family val="2"/>
      <charset val="204"/>
    </font>
    <font>
      <sz val="10"/>
      <color rgb="FF000000"/>
      <name val="Arial"/>
      <family val="2"/>
      <charset val="204"/>
    </font>
    <font>
      <sz val="10"/>
      <color rgb="FF000000"/>
      <name val="Verdana"/>
      <family val="2"/>
      <charset val="204"/>
    </font>
  </fonts>
  <fills count="18">
    <fill>
      <patternFill patternType="none"/>
    </fill>
    <fill>
      <patternFill patternType="gray125"/>
    </fill>
    <fill>
      <patternFill patternType="solid">
        <fgColor rgb="FFFFEB9C"/>
        <bgColor indexed="64"/>
      </patternFill>
    </fill>
    <fill>
      <patternFill patternType="solid">
        <fgColor rgb="FFF79646"/>
        <bgColor indexed="64"/>
      </patternFill>
    </fill>
    <fill>
      <patternFill patternType="solid">
        <fgColor rgb="FFEBFFE5"/>
        <bgColor indexed="64"/>
      </patternFill>
    </fill>
    <fill>
      <patternFill patternType="solid">
        <fgColor rgb="FFD9EAD3"/>
        <bgColor indexed="64"/>
      </patternFill>
    </fill>
    <fill>
      <patternFill patternType="solid">
        <fgColor rgb="FFE3F6DD"/>
        <bgColor indexed="64"/>
      </patternFill>
    </fill>
    <fill>
      <patternFill patternType="solid">
        <fgColor rgb="FFDDF0D8"/>
        <bgColor indexed="64"/>
      </patternFill>
    </fill>
    <fill>
      <patternFill patternType="solid">
        <fgColor rgb="FF4BACC6"/>
        <bgColor indexed="64"/>
      </patternFill>
    </fill>
    <fill>
      <patternFill patternType="solid">
        <fgColor rgb="FFD4E6CF"/>
        <bgColor indexed="64"/>
      </patternFill>
    </fill>
    <fill>
      <patternFill patternType="solid">
        <fgColor rgb="FFCBDCC6"/>
        <bgColor indexed="64"/>
      </patternFill>
    </fill>
    <fill>
      <patternFill patternType="solid">
        <fgColor rgb="FF00FF00"/>
        <bgColor indexed="64"/>
      </patternFill>
    </fill>
    <fill>
      <patternFill patternType="solid">
        <fgColor rgb="FFB6D7A8"/>
        <bgColor indexed="64"/>
      </patternFill>
    </fill>
    <fill>
      <patternFill patternType="solid">
        <fgColor rgb="FF38761D"/>
        <bgColor indexed="64"/>
      </patternFill>
    </fill>
    <fill>
      <patternFill patternType="solid">
        <fgColor rgb="FFFFFFFF"/>
        <bgColor indexed="64"/>
      </patternFill>
    </fill>
    <fill>
      <patternFill patternType="solid">
        <fgColor rgb="FFFFEB9C"/>
        <bgColor indexed="64"/>
      </patternFill>
    </fill>
    <fill>
      <patternFill patternType="solid">
        <fgColor rgb="FF6AA84F"/>
        <bgColor indexed="64"/>
      </patternFill>
    </fill>
    <fill>
      <patternFill patternType="solid">
        <fgColor rgb="FF3D85C6"/>
        <bgColor indexed="64"/>
      </patternFill>
    </fill>
  </fills>
  <borders count="11">
    <border>
      <left/>
      <right/>
      <top/>
      <bottom/>
      <diagonal/>
    </border>
    <border>
      <left style="dotted">
        <color indexed="64"/>
      </left>
      <right style="dotted">
        <color indexed="64"/>
      </right>
      <top/>
      <bottom/>
      <diagonal/>
    </border>
    <border>
      <left style="thin">
        <color indexed="64"/>
      </left>
      <right/>
      <top/>
      <bottom/>
      <diagonal/>
    </border>
    <border>
      <left style="dotted">
        <color indexed="64"/>
      </left>
      <right/>
      <top/>
      <bottom/>
      <diagonal/>
    </border>
    <border>
      <left/>
      <right style="dotted">
        <color indexed="64"/>
      </right>
      <top/>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style="thin">
        <color indexed="64"/>
      </top>
      <bottom style="dotted">
        <color indexed="64"/>
      </bottom>
      <diagonal/>
    </border>
    <border>
      <left/>
      <right/>
      <top/>
      <bottom style="thin">
        <color indexed="64"/>
      </bottom>
      <diagonal/>
    </border>
    <border>
      <left/>
      <right/>
      <top/>
      <bottom style="dotted">
        <color indexed="64"/>
      </bottom>
      <diagonal/>
    </border>
    <border>
      <left/>
      <right/>
      <top style="dotted">
        <color indexed="64"/>
      </top>
      <bottom/>
      <diagonal/>
    </border>
    <border>
      <left/>
      <right/>
      <top style="dotted">
        <color indexed="64"/>
      </top>
      <bottom style="dotted">
        <color indexed="64"/>
      </bottom>
      <diagonal/>
    </border>
  </borders>
  <cellStyleXfs count="1">
    <xf numFmtId="0" fontId="0" fillId="0" borderId="0"/>
  </cellStyleXfs>
  <cellXfs count="185">
    <xf numFmtId="0" fontId="0" fillId="0" borderId="0" xfId="0" applyAlignment="1">
      <alignment wrapText="1"/>
    </xf>
    <xf numFmtId="0" fontId="5" fillId="0" borderId="0" xfId="0" applyFont="1" applyAlignment="1">
      <alignment vertical="center" wrapText="1"/>
    </xf>
    <xf numFmtId="0" fontId="12" fillId="0" borderId="0" xfId="0" applyFont="1" applyAlignment="1">
      <alignment vertical="center" wrapText="1"/>
    </xf>
    <xf numFmtId="0" fontId="14" fillId="2" borderId="0" xfId="0" applyFont="1" applyFill="1" applyAlignment="1">
      <alignment vertical="top"/>
    </xf>
    <xf numFmtId="0" fontId="19" fillId="0" borderId="0" xfId="0" applyFont="1" applyAlignment="1">
      <alignment vertical="center" wrapText="1"/>
    </xf>
    <xf numFmtId="0" fontId="20" fillId="0" borderId="0" xfId="0" applyFont="1" applyAlignment="1">
      <alignment vertical="center" wrapText="1"/>
    </xf>
    <xf numFmtId="0" fontId="22" fillId="0" borderId="0" xfId="0" applyFont="1"/>
    <xf numFmtId="0" fontId="23" fillId="0" borderId="0" xfId="0" applyFont="1" applyAlignment="1">
      <alignment wrapText="1"/>
    </xf>
    <xf numFmtId="0" fontId="25" fillId="0" borderId="0" xfId="0" applyFont="1"/>
    <xf numFmtId="0" fontId="26" fillId="0" borderId="0" xfId="0" applyFont="1" applyAlignment="1">
      <alignment wrapText="1"/>
    </xf>
    <xf numFmtId="0" fontId="27" fillId="0" borderId="0" xfId="0" applyFont="1" applyAlignment="1">
      <alignment wrapText="1"/>
    </xf>
    <xf numFmtId="0" fontId="18" fillId="0" borderId="0" xfId="0" applyFont="1" applyAlignment="1">
      <alignment wrapText="1"/>
    </xf>
    <xf numFmtId="0" fontId="5" fillId="0" borderId="8" xfId="0" applyFont="1" applyBorder="1" applyAlignment="1">
      <alignment vertical="center" wrapText="1"/>
    </xf>
    <xf numFmtId="0" fontId="18" fillId="0" borderId="4" xfId="0" applyFont="1" applyBorder="1" applyAlignment="1">
      <alignment wrapText="1"/>
    </xf>
    <xf numFmtId="0" fontId="11" fillId="4" borderId="5" xfId="0" applyFont="1" applyFill="1" applyBorder="1" applyAlignment="1">
      <alignment horizontal="center" vertical="center" wrapText="1"/>
    </xf>
    <xf numFmtId="0" fontId="5" fillId="0" borderId="1" xfId="0" applyFont="1" applyBorder="1" applyAlignment="1">
      <alignment vertical="center" wrapText="1"/>
    </xf>
    <xf numFmtId="0" fontId="11" fillId="0" borderId="5" xfId="0" applyFont="1" applyBorder="1" applyAlignment="1">
      <alignment horizontal="center" vertical="center" wrapText="1"/>
    </xf>
    <xf numFmtId="0" fontId="18" fillId="0" borderId="3" xfId="0" applyFont="1" applyBorder="1" applyAlignment="1">
      <alignment wrapText="1"/>
    </xf>
    <xf numFmtId="0" fontId="11" fillId="6" borderId="5"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9" borderId="5" xfId="0" applyFont="1" applyFill="1" applyBorder="1" applyAlignment="1">
      <alignment horizontal="center" vertical="center" wrapText="1"/>
    </xf>
    <xf numFmtId="0" fontId="5" fillId="0" borderId="3" xfId="0" applyFont="1" applyBorder="1" applyAlignment="1">
      <alignment vertical="center" wrapText="1"/>
    </xf>
    <xf numFmtId="0" fontId="5" fillId="0" borderId="9" xfId="0" applyFont="1" applyBorder="1" applyAlignment="1">
      <alignment vertical="center" wrapText="1"/>
    </xf>
    <xf numFmtId="0" fontId="11" fillId="10" borderId="5" xfId="0" applyFont="1" applyFill="1" applyBorder="1" applyAlignment="1">
      <alignment horizontal="center" vertical="center" wrapText="1"/>
    </xf>
    <xf numFmtId="0" fontId="18" fillId="0" borderId="9" xfId="0" applyFont="1" applyBorder="1" applyAlignment="1">
      <alignment wrapText="1"/>
    </xf>
    <xf numFmtId="0" fontId="5" fillId="0" borderId="7" xfId="0" applyFont="1" applyBorder="1" applyAlignment="1">
      <alignment vertical="center" wrapText="1"/>
    </xf>
    <xf numFmtId="0" fontId="15" fillId="13" borderId="5" xfId="0" applyFont="1" applyFill="1" applyBorder="1" applyAlignment="1">
      <alignment horizontal="center" wrapText="1"/>
    </xf>
    <xf numFmtId="0" fontId="15" fillId="13" borderId="6" xfId="0" applyFont="1" applyFill="1" applyBorder="1" applyAlignment="1">
      <alignment wrapText="1"/>
    </xf>
    <xf numFmtId="0" fontId="5" fillId="12" borderId="5" xfId="0" applyFont="1" applyFill="1" applyBorder="1" applyAlignment="1">
      <alignment horizontal="center" wrapText="1"/>
    </xf>
    <xf numFmtId="0" fontId="5" fillId="12" borderId="5" xfId="0" applyFont="1" applyFill="1" applyBorder="1" applyAlignment="1">
      <alignment wrapText="1"/>
    </xf>
    <xf numFmtId="0" fontId="5" fillId="5" borderId="5" xfId="0" applyFont="1" applyFill="1" applyBorder="1" applyAlignment="1">
      <alignment horizontal="center" wrapText="1"/>
    </xf>
    <xf numFmtId="0" fontId="5" fillId="5" borderId="5" xfId="0" applyFont="1" applyFill="1" applyBorder="1" applyAlignment="1">
      <alignment wrapText="1"/>
    </xf>
    <xf numFmtId="0" fontId="7" fillId="17" borderId="0" xfId="0" applyFont="1" applyFill="1" applyAlignment="1">
      <alignment horizontal="center" vertical="center" wrapText="1"/>
    </xf>
    <xf numFmtId="0" fontId="7" fillId="8" borderId="0" xfId="0" applyFont="1" applyFill="1" applyAlignment="1">
      <alignment horizontal="center" vertical="center" wrapText="1"/>
    </xf>
    <xf numFmtId="0" fontId="7" fillId="3" borderId="0" xfId="0" applyFont="1" applyFill="1" applyAlignment="1">
      <alignment horizontal="center" vertical="center" wrapText="1"/>
    </xf>
    <xf numFmtId="0" fontId="2" fillId="0" borderId="0" xfId="0" applyFont="1" applyAlignment="1">
      <alignment vertical="center" wrapText="1"/>
    </xf>
    <xf numFmtId="0" fontId="2" fillId="0" borderId="0" xfId="0" applyFont="1" applyAlignment="1">
      <alignment horizontal="center" vertical="center" wrapText="1"/>
    </xf>
    <xf numFmtId="9" fontId="2" fillId="0" borderId="0" xfId="0" applyNumberFormat="1" applyFont="1" applyAlignment="1">
      <alignment vertical="center" wrapText="1"/>
    </xf>
    <xf numFmtId="9" fontId="2" fillId="0" borderId="0" xfId="0" applyNumberFormat="1" applyFont="1" applyAlignment="1">
      <alignment horizontal="center" vertical="center" wrapText="1"/>
    </xf>
    <xf numFmtId="0" fontId="17" fillId="15" borderId="0" xfId="0" applyFont="1" applyFill="1" applyAlignment="1">
      <alignment horizontal="left" vertical="center" wrapText="1"/>
    </xf>
    <xf numFmtId="9" fontId="9" fillId="15" borderId="0" xfId="0" applyNumberFormat="1" applyFont="1" applyFill="1" applyAlignment="1">
      <alignment horizontal="center" vertical="center" wrapText="1"/>
    </xf>
    <xf numFmtId="0" fontId="9" fillId="15" borderId="0" xfId="0" applyFont="1" applyFill="1" applyAlignment="1">
      <alignment horizontal="center" vertical="center" wrapText="1"/>
    </xf>
    <xf numFmtId="0" fontId="7" fillId="17" borderId="0" xfId="0" applyFont="1" applyFill="1" applyAlignment="1">
      <alignment horizontal="center" vertical="top" wrapText="1"/>
    </xf>
    <xf numFmtId="0" fontId="2" fillId="0" borderId="0" xfId="0" applyFont="1" applyAlignment="1">
      <alignment vertical="top" wrapText="1"/>
    </xf>
    <xf numFmtId="0" fontId="13" fillId="0" borderId="0" xfId="0" applyFont="1" applyAlignment="1">
      <alignment wrapText="1"/>
    </xf>
    <xf numFmtId="0" fontId="7" fillId="16" borderId="2" xfId="0" applyFont="1" applyFill="1" applyBorder="1" applyAlignment="1">
      <alignment horizontal="left" vertical="top" wrapText="1"/>
    </xf>
    <xf numFmtId="0" fontId="7" fillId="16" borderId="0" xfId="0" applyFont="1" applyFill="1" applyAlignment="1">
      <alignment horizontal="left" vertical="top" wrapText="1"/>
    </xf>
    <xf numFmtId="0" fontId="13" fillId="16" borderId="0" xfId="0" applyFont="1" applyFill="1" applyAlignment="1">
      <alignment wrapText="1"/>
    </xf>
    <xf numFmtId="0" fontId="12" fillId="0" borderId="0" xfId="0" applyFont="1" applyAlignment="1">
      <alignment vertical="top" wrapText="1"/>
    </xf>
    <xf numFmtId="0" fontId="12" fillId="0" borderId="0" xfId="0" applyFont="1"/>
    <xf numFmtId="0" fontId="2" fillId="0" borderId="0" xfId="0" applyFont="1"/>
    <xf numFmtId="0" fontId="2" fillId="0" borderId="0" xfId="0" applyFont="1" applyAlignment="1">
      <alignment wrapText="1"/>
    </xf>
    <xf numFmtId="164" fontId="9" fillId="15" borderId="0" xfId="0" applyNumberFormat="1" applyFont="1" applyFill="1" applyAlignment="1">
      <alignment horizontal="center" vertical="center" wrapText="1"/>
    </xf>
    <xf numFmtId="164" fontId="7" fillId="8" borderId="0" xfId="0" applyNumberFormat="1" applyFont="1" applyFill="1" applyAlignment="1">
      <alignment horizontal="center" vertical="center" wrapText="1"/>
    </xf>
    <xf numFmtId="0" fontId="10" fillId="0" borderId="0" xfId="0" applyFont="1" applyAlignment="1">
      <alignment horizontal="left" vertical="center" wrapText="1"/>
    </xf>
    <xf numFmtId="0" fontId="7" fillId="0" borderId="0" xfId="0" applyFont="1" applyAlignment="1">
      <alignment horizontal="left" vertical="center" wrapText="1"/>
    </xf>
    <xf numFmtId="164" fontId="3" fillId="0" borderId="0" xfId="0" applyNumberFormat="1" applyFont="1" applyAlignment="1">
      <alignment horizontal="center" vertical="center" wrapText="1"/>
    </xf>
    <xf numFmtId="0" fontId="3" fillId="0" borderId="0" xfId="0" applyFont="1" applyAlignment="1">
      <alignment horizontal="center" vertical="center" wrapText="1"/>
    </xf>
    <xf numFmtId="0" fontId="2" fillId="0" borderId="0" xfId="0" applyFont="1" applyAlignment="1">
      <alignment horizontal="left" vertical="center" wrapText="1"/>
    </xf>
    <xf numFmtId="0" fontId="2" fillId="0" borderId="2" xfId="0" applyFont="1" applyBorder="1" applyAlignment="1">
      <alignment vertical="center" wrapText="1"/>
    </xf>
    <xf numFmtId="9" fontId="3" fillId="0" borderId="0" xfId="0" applyNumberFormat="1" applyFont="1" applyAlignment="1">
      <alignment horizontal="center" vertical="center" wrapText="1"/>
    </xf>
    <xf numFmtId="0" fontId="19" fillId="0" borderId="8" xfId="0" applyFont="1" applyBorder="1" applyAlignment="1">
      <alignment vertical="center" wrapText="1"/>
    </xf>
    <xf numFmtId="0" fontId="2" fillId="0" borderId="8" xfId="0" applyFont="1" applyBorder="1" applyAlignment="1">
      <alignment vertical="center" wrapText="1"/>
    </xf>
    <xf numFmtId="9" fontId="3" fillId="0" borderId="8" xfId="0" applyNumberFormat="1" applyFont="1" applyBorder="1" applyAlignment="1">
      <alignment horizontal="center" vertical="center" wrapText="1"/>
    </xf>
    <xf numFmtId="0" fontId="19" fillId="0" borderId="9" xfId="0" applyFont="1" applyBorder="1" applyAlignment="1">
      <alignment vertical="center" wrapText="1"/>
    </xf>
    <xf numFmtId="0" fontId="2" fillId="0" borderId="9" xfId="0" applyFont="1" applyBorder="1" applyAlignment="1">
      <alignment vertical="center" wrapText="1"/>
    </xf>
    <xf numFmtId="9" fontId="3" fillId="0" borderId="9" xfId="0" applyNumberFormat="1" applyFont="1" applyBorder="1" applyAlignment="1">
      <alignment horizontal="center" vertical="center" wrapText="1"/>
    </xf>
    <xf numFmtId="0" fontId="18" fillId="0" borderId="8" xfId="0" applyFont="1" applyBorder="1" applyAlignment="1">
      <alignment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19" fillId="0" borderId="10" xfId="0" applyFont="1" applyBorder="1" applyAlignment="1">
      <alignment vertical="center" wrapText="1"/>
    </xf>
    <xf numFmtId="0" fontId="2" fillId="0" borderId="10" xfId="0" applyFont="1" applyBorder="1" applyAlignment="1">
      <alignment vertical="center" wrapText="1"/>
    </xf>
    <xf numFmtId="164" fontId="3" fillId="0" borderId="10" xfId="0" applyNumberFormat="1" applyFont="1" applyBorder="1" applyAlignment="1">
      <alignment horizontal="center" vertical="center" wrapText="1"/>
    </xf>
    <xf numFmtId="0" fontId="3" fillId="0" borderId="10" xfId="0" applyFont="1" applyBorder="1" applyAlignment="1">
      <alignment horizontal="center" vertical="center" wrapText="1"/>
    </xf>
    <xf numFmtId="164" fontId="3" fillId="0" borderId="9" xfId="0" applyNumberFormat="1" applyFont="1" applyBorder="1" applyAlignment="1">
      <alignment horizontal="center" vertical="center" wrapText="1"/>
    </xf>
    <xf numFmtId="0" fontId="2" fillId="0" borderId="8" xfId="0" applyFont="1" applyBorder="1" applyAlignment="1">
      <alignment horizontal="center" vertical="center" wrapText="1"/>
    </xf>
    <xf numFmtId="164" fontId="3" fillId="0" borderId="8" xfId="0" applyNumberFormat="1" applyFont="1" applyBorder="1" applyAlignment="1">
      <alignment horizontal="center" vertical="center" wrapText="1"/>
    </xf>
    <xf numFmtId="0" fontId="2" fillId="0" borderId="10" xfId="0" applyFont="1" applyBorder="1" applyAlignment="1">
      <alignment horizontal="center" vertical="center" wrapText="1"/>
    </xf>
    <xf numFmtId="9" fontId="3" fillId="0" borderId="10" xfId="0" applyNumberFormat="1" applyFont="1" applyBorder="1" applyAlignment="1">
      <alignment horizontal="center" vertical="center" wrapText="1"/>
    </xf>
    <xf numFmtId="0" fontId="2" fillId="0" borderId="9" xfId="0" applyFont="1" applyBorder="1" applyAlignment="1">
      <alignment horizontal="center" vertical="center" wrapText="1"/>
    </xf>
    <xf numFmtId="0" fontId="10" fillId="0" borderId="8" xfId="0" applyFont="1" applyBorder="1" applyAlignment="1">
      <alignment vertical="center" wrapText="1"/>
    </xf>
    <xf numFmtId="0" fontId="10" fillId="0" borderId="9" xfId="0" applyFont="1" applyBorder="1" applyAlignment="1">
      <alignment vertical="center" wrapText="1"/>
    </xf>
    <xf numFmtId="0" fontId="10" fillId="0" borderId="0" xfId="0" applyFont="1" applyAlignment="1">
      <alignment vertical="center" wrapText="1"/>
    </xf>
    <xf numFmtId="0" fontId="18" fillId="0" borderId="10" xfId="0" applyFont="1" applyBorder="1" applyAlignment="1">
      <alignment wrapText="1"/>
    </xf>
    <xf numFmtId="164" fontId="18" fillId="0" borderId="0" xfId="0" applyNumberFormat="1" applyFont="1" applyAlignment="1">
      <alignment horizontal="center" wrapText="1"/>
    </xf>
    <xf numFmtId="0" fontId="18" fillId="0" borderId="0" xfId="0" applyFont="1" applyAlignment="1">
      <alignment horizontal="center" wrapText="1"/>
    </xf>
    <xf numFmtId="9" fontId="3" fillId="14" borderId="0" xfId="0" applyNumberFormat="1" applyFont="1" applyFill="1" applyAlignment="1">
      <alignment horizontal="center" vertical="center" wrapText="1"/>
    </xf>
    <xf numFmtId="0" fontId="7" fillId="17" borderId="0" xfId="0" applyFont="1" applyFill="1" applyAlignment="1">
      <alignment horizontal="left" vertical="center" wrapText="1"/>
    </xf>
    <xf numFmtId="0" fontId="1" fillId="17" borderId="0" xfId="0" applyFont="1" applyFill="1" applyAlignment="1">
      <alignment horizontal="center" wrapText="1"/>
    </xf>
    <xf numFmtId="0" fontId="2" fillId="17" borderId="0" xfId="0" applyFont="1" applyFill="1" applyAlignment="1">
      <alignment horizontal="center" vertical="center" wrapText="1"/>
    </xf>
    <xf numFmtId="164" fontId="18" fillId="17" borderId="0" xfId="0" applyNumberFormat="1" applyFont="1" applyFill="1" applyAlignment="1">
      <alignment horizontal="center" wrapText="1"/>
    </xf>
    <xf numFmtId="0" fontId="18" fillId="17" borderId="0" xfId="0" applyFont="1" applyFill="1" applyAlignment="1">
      <alignment horizontal="center" wrapText="1"/>
    </xf>
    <xf numFmtId="0" fontId="6" fillId="14" borderId="0" xfId="0" applyFont="1" applyFill="1" applyAlignment="1">
      <alignment horizontal="center" wrapText="1"/>
    </xf>
    <xf numFmtId="0" fontId="6" fillId="14" borderId="0" xfId="0" applyFont="1" applyFill="1" applyAlignment="1">
      <alignment horizontal="center" vertical="center" wrapText="1"/>
    </xf>
    <xf numFmtId="0" fontId="1" fillId="11" borderId="0" xfId="0" applyFont="1" applyFill="1" applyAlignment="1">
      <alignment horizontal="center" vertical="center" wrapText="1"/>
    </xf>
    <xf numFmtId="164" fontId="1" fillId="0" borderId="0" xfId="0" applyNumberFormat="1" applyFont="1" applyAlignment="1">
      <alignment horizontal="center" wrapText="1"/>
    </xf>
    <xf numFmtId="0" fontId="1" fillId="0" borderId="0" xfId="0" applyFont="1" applyAlignment="1">
      <alignment horizontal="center" wrapText="1"/>
    </xf>
    <xf numFmtId="164" fontId="18" fillId="0" borderId="0" xfId="0" applyNumberFormat="1" applyFont="1" applyAlignment="1">
      <alignment wrapText="1"/>
    </xf>
    <xf numFmtId="10" fontId="3" fillId="0" borderId="0" xfId="0" applyNumberFormat="1" applyFont="1" applyAlignment="1">
      <alignment horizontal="center" vertical="center" wrapText="1"/>
    </xf>
    <xf numFmtId="10" fontId="2" fillId="0" borderId="0" xfId="0" applyNumberFormat="1" applyFont="1" applyAlignment="1">
      <alignment horizontal="center" vertical="center" wrapText="1"/>
    </xf>
    <xf numFmtId="164" fontId="21" fillId="15" borderId="0" xfId="0" applyNumberFormat="1" applyFont="1" applyFill="1" applyAlignment="1">
      <alignment horizontal="center" vertical="center" wrapText="1"/>
    </xf>
    <xf numFmtId="0" fontId="18" fillId="0" borderId="0" xfId="0" applyFont="1" applyAlignment="1">
      <alignment vertical="top" wrapText="1"/>
    </xf>
    <xf numFmtId="0" fontId="2" fillId="0" borderId="8" xfId="0" applyFont="1" applyBorder="1" applyAlignment="1">
      <alignment vertical="top" wrapText="1"/>
    </xf>
    <xf numFmtId="9" fontId="2" fillId="0" borderId="8" xfId="0" applyNumberFormat="1" applyFont="1" applyBorder="1" applyAlignment="1">
      <alignment vertical="center" wrapText="1"/>
    </xf>
    <xf numFmtId="0" fontId="18" fillId="0" borderId="9" xfId="0" applyFont="1" applyBorder="1" applyAlignment="1">
      <alignment vertical="top" wrapText="1"/>
    </xf>
    <xf numFmtId="0" fontId="2" fillId="0" borderId="9" xfId="0" applyFont="1" applyBorder="1" applyAlignment="1">
      <alignment vertical="top" wrapText="1"/>
    </xf>
    <xf numFmtId="9" fontId="2" fillId="0" borderId="9" xfId="0" applyNumberFormat="1" applyFont="1" applyBorder="1" applyAlignment="1">
      <alignment vertical="center" wrapText="1"/>
    </xf>
    <xf numFmtId="0" fontId="10" fillId="0" borderId="9" xfId="0" applyFont="1" applyBorder="1" applyAlignment="1">
      <alignment vertical="top" wrapText="1"/>
    </xf>
    <xf numFmtId="0" fontId="18" fillId="0" borderId="8" xfId="0" applyFont="1" applyBorder="1" applyAlignment="1">
      <alignment vertical="top" wrapText="1"/>
    </xf>
    <xf numFmtId="9" fontId="2" fillId="0" borderId="9" xfId="0" applyNumberFormat="1" applyFont="1" applyBorder="1" applyAlignment="1">
      <alignment vertical="top" wrapText="1"/>
    </xf>
    <xf numFmtId="9" fontId="2" fillId="0" borderId="0" xfId="0" applyNumberFormat="1" applyFont="1" applyAlignment="1">
      <alignment wrapText="1"/>
    </xf>
    <xf numFmtId="0" fontId="10" fillId="0" borderId="0" xfId="0" applyFont="1" applyAlignment="1">
      <alignment vertical="top" wrapText="1"/>
    </xf>
    <xf numFmtId="164" fontId="1" fillId="0" borderId="0" xfId="0" applyNumberFormat="1" applyFont="1" applyAlignment="1">
      <alignment horizontal="center" vertical="center" wrapText="1"/>
    </xf>
    <xf numFmtId="164" fontId="1" fillId="17" borderId="0" xfId="0" applyNumberFormat="1" applyFont="1" applyFill="1" applyAlignment="1">
      <alignment horizontal="center" wrapText="1"/>
    </xf>
    <xf numFmtId="164" fontId="1" fillId="17" borderId="0" xfId="0" applyNumberFormat="1" applyFont="1" applyFill="1" applyAlignment="1">
      <alignment horizontal="center" vertical="center" wrapText="1"/>
    </xf>
    <xf numFmtId="0" fontId="1" fillId="0" borderId="0" xfId="0" applyFont="1" applyAlignment="1">
      <alignment wrapText="1"/>
    </xf>
    <xf numFmtId="0" fontId="1" fillId="0" borderId="0" xfId="0" applyFont="1" applyAlignment="1">
      <alignment horizontal="center" vertical="center" wrapText="1"/>
    </xf>
    <xf numFmtId="0" fontId="18" fillId="0" borderId="0" xfId="0" applyFont="1" applyAlignment="1">
      <alignment horizontal="center" vertical="center" wrapText="1"/>
    </xf>
    <xf numFmtId="0" fontId="1" fillId="0" borderId="0" xfId="0" applyFont="1" applyAlignment="1">
      <alignment vertical="center" wrapText="1"/>
    </xf>
    <xf numFmtId="0" fontId="12" fillId="0" borderId="0" xfId="0" applyFont="1" applyAlignment="1">
      <alignment horizontal="left" vertical="center" wrapText="1"/>
    </xf>
    <xf numFmtId="0" fontId="12" fillId="0" borderId="8" xfId="0" applyFont="1" applyBorder="1" applyAlignment="1">
      <alignment horizontal="left" vertical="center" wrapText="1"/>
    </xf>
    <xf numFmtId="0" fontId="12" fillId="0" borderId="9" xfId="0" applyFont="1" applyBorder="1" applyAlignment="1">
      <alignment horizontal="left" vertical="center" wrapText="1"/>
    </xf>
    <xf numFmtId="0" fontId="2" fillId="0" borderId="9" xfId="0" applyFont="1" applyBorder="1" applyAlignment="1">
      <alignment horizontal="left" vertical="center" wrapText="1"/>
    </xf>
    <xf numFmtId="0" fontId="2" fillId="0" borderId="8" xfId="0" applyFont="1" applyBorder="1" applyAlignment="1">
      <alignment horizontal="left" vertical="center" wrapText="1"/>
    </xf>
    <xf numFmtId="0" fontId="2" fillId="0" borderId="10" xfId="0" applyFont="1" applyBorder="1" applyAlignment="1">
      <alignment horizontal="left" vertical="center" wrapText="1"/>
    </xf>
    <xf numFmtId="0" fontId="1" fillId="14" borderId="0" xfId="0" applyFont="1" applyFill="1" applyAlignment="1">
      <alignment horizontal="center" wrapText="1"/>
    </xf>
    <xf numFmtId="0" fontId="2" fillId="0" borderId="0" xfId="0" applyFont="1" applyAlignment="1">
      <alignment horizontal="center" vertical="center" wrapText="1"/>
    </xf>
    <xf numFmtId="0" fontId="0" fillId="0" borderId="9" xfId="0" applyBorder="1" applyAlignment="1">
      <alignment wrapText="1"/>
    </xf>
    <xf numFmtId="0" fontId="1" fillId="14" borderId="0" xfId="0" applyFont="1" applyFill="1" applyAlignment="1">
      <alignment horizontal="center" vertical="center" wrapText="1"/>
    </xf>
    <xf numFmtId="0" fontId="5" fillId="9" borderId="5" xfId="0" applyFont="1" applyFill="1" applyBorder="1" applyAlignment="1">
      <alignment vertical="center" wrapText="1"/>
    </xf>
    <xf numFmtId="0" fontId="5" fillId="10" borderId="5" xfId="0" applyFont="1" applyFill="1" applyBorder="1" applyAlignment="1">
      <alignment vertical="center" wrapText="1"/>
    </xf>
    <xf numFmtId="0" fontId="1" fillId="0" borderId="0" xfId="0" applyFont="1" applyAlignment="1">
      <alignment vertical="center" wrapText="1"/>
    </xf>
    <xf numFmtId="0" fontId="5" fillId="0" borderId="0" xfId="0" applyFont="1" applyAlignment="1">
      <alignment horizontal="left" vertical="top" wrapText="1"/>
    </xf>
    <xf numFmtId="0" fontId="5" fillId="4" borderId="5" xfId="0" applyFont="1" applyFill="1" applyBorder="1" applyAlignment="1">
      <alignment vertical="center" wrapText="1"/>
    </xf>
    <xf numFmtId="0" fontId="5" fillId="0" borderId="5" xfId="0" applyFont="1" applyBorder="1" applyAlignment="1">
      <alignment vertical="center" wrapText="1"/>
    </xf>
    <xf numFmtId="0" fontId="5" fillId="6" borderId="5" xfId="0" applyFont="1" applyFill="1" applyBorder="1" applyAlignment="1">
      <alignment vertical="center" wrapText="1"/>
    </xf>
    <xf numFmtId="0" fontId="5" fillId="7" borderId="5" xfId="0" applyFont="1" applyFill="1" applyBorder="1" applyAlignment="1">
      <alignment vertical="center" wrapText="1"/>
    </xf>
    <xf numFmtId="0" fontId="5" fillId="12" borderId="5" xfId="0" applyFont="1" applyFill="1" applyBorder="1" applyAlignment="1">
      <alignment horizontal="center" wrapText="1"/>
    </xf>
    <xf numFmtId="0" fontId="11" fillId="0" borderId="0" xfId="0" applyFont="1" applyAlignment="1">
      <alignment vertical="center" wrapText="1"/>
    </xf>
    <xf numFmtId="0" fontId="5" fillId="0" borderId="0" xfId="0" applyFont="1" applyAlignment="1">
      <alignment vertical="center"/>
    </xf>
    <xf numFmtId="0" fontId="18" fillId="0" borderId="0" xfId="0" applyFont="1" applyAlignment="1">
      <alignment wrapText="1"/>
    </xf>
    <xf numFmtId="0" fontId="7" fillId="16" borderId="0" xfId="0" applyFont="1" applyFill="1" applyAlignment="1">
      <alignment horizontal="left" vertical="center" wrapText="1"/>
    </xf>
    <xf numFmtId="0" fontId="2" fillId="0" borderId="0" xfId="0" applyFont="1" applyAlignment="1">
      <alignment vertical="center" wrapText="1"/>
    </xf>
    <xf numFmtId="0" fontId="16" fillId="15" borderId="2" xfId="0" applyFont="1" applyFill="1" applyBorder="1" applyAlignment="1">
      <alignment horizontal="left" vertical="center"/>
    </xf>
    <xf numFmtId="0" fontId="16" fillId="15" borderId="0" xfId="0" applyFont="1" applyFill="1" applyAlignment="1">
      <alignment horizontal="left" vertical="center"/>
    </xf>
    <xf numFmtId="0" fontId="3" fillId="0" borderId="0" xfId="0" applyFont="1" applyAlignment="1">
      <alignment horizontal="center" vertical="center" wrapText="1"/>
    </xf>
    <xf numFmtId="9" fontId="2" fillId="0" borderId="0" xfId="0" applyNumberFormat="1" applyFont="1" applyAlignment="1">
      <alignment vertical="center" wrapText="1"/>
    </xf>
    <xf numFmtId="0" fontId="16" fillId="15" borderId="0" xfId="0" applyFont="1" applyFill="1" applyAlignment="1">
      <alignment horizontal="left" vertical="center" wrapText="1"/>
    </xf>
    <xf numFmtId="0" fontId="7" fillId="16" borderId="2" xfId="0" applyFont="1" applyFill="1" applyBorder="1" applyAlignment="1">
      <alignment horizontal="left" vertical="top" wrapText="1"/>
    </xf>
    <xf numFmtId="0" fontId="7" fillId="16" borderId="0" xfId="0" applyFont="1" applyFill="1" applyAlignment="1">
      <alignment horizontal="left" vertical="top" wrapText="1"/>
    </xf>
    <xf numFmtId="0" fontId="13" fillId="0" borderId="0" xfId="0" applyFont="1" applyAlignment="1">
      <alignment wrapText="1"/>
    </xf>
    <xf numFmtId="0" fontId="7" fillId="17" borderId="0" xfId="0" applyFont="1" applyFill="1" applyAlignment="1">
      <alignment horizontal="left" vertical="center" wrapText="1"/>
    </xf>
    <xf numFmtId="0" fontId="24" fillId="17" borderId="0" xfId="0" applyFont="1" applyFill="1" applyAlignment="1">
      <alignment horizontal="left" vertical="center" wrapText="1"/>
    </xf>
    <xf numFmtId="164" fontId="7" fillId="8" borderId="0" xfId="0" applyNumberFormat="1" applyFont="1" applyFill="1" applyAlignment="1">
      <alignment horizontal="left" vertical="center" wrapText="1"/>
    </xf>
    <xf numFmtId="0" fontId="7" fillId="0" borderId="0" xfId="0" applyFont="1" applyAlignment="1">
      <alignment horizontal="left" vertical="center" wrapText="1"/>
    </xf>
    <xf numFmtId="0" fontId="18" fillId="17" borderId="0" xfId="0" applyFont="1" applyFill="1" applyAlignment="1">
      <alignment horizontal="left" wrapText="1"/>
    </xf>
    <xf numFmtId="164" fontId="18" fillId="17" borderId="0" xfId="0" applyNumberFormat="1" applyFont="1" applyFill="1" applyAlignment="1">
      <alignment horizontal="left" wrapText="1"/>
    </xf>
    <xf numFmtId="164" fontId="3" fillId="16" borderId="0" xfId="0" applyNumberFormat="1" applyFont="1" applyFill="1" applyAlignment="1">
      <alignment horizontal="center" vertical="center" wrapText="1"/>
    </xf>
    <xf numFmtId="0" fontId="3" fillId="16" borderId="0" xfId="0" applyFont="1" applyFill="1" applyAlignment="1">
      <alignment horizontal="center" vertical="center" wrapText="1"/>
    </xf>
    <xf numFmtId="164" fontId="3" fillId="0" borderId="8" xfId="0" applyNumberFormat="1" applyFont="1" applyBorder="1" applyAlignment="1">
      <alignment horizontal="center" vertical="center" wrapText="1"/>
    </xf>
    <xf numFmtId="0" fontId="3" fillId="0" borderId="8" xfId="0" applyFont="1" applyBorder="1" applyAlignment="1">
      <alignment horizontal="center" vertical="center" wrapText="1"/>
    </xf>
    <xf numFmtId="164" fontId="3" fillId="0" borderId="10" xfId="0" applyNumberFormat="1" applyFont="1" applyBorder="1" applyAlignment="1">
      <alignment horizontal="center" vertical="center" wrapText="1"/>
    </xf>
    <xf numFmtId="0" fontId="3" fillId="0" borderId="10" xfId="0" applyFont="1" applyBorder="1" applyAlignment="1">
      <alignment horizontal="center" vertical="center" wrapText="1"/>
    </xf>
    <xf numFmtId="164" fontId="3" fillId="0" borderId="9" xfId="0" applyNumberFormat="1" applyFont="1" applyBorder="1" applyAlignment="1">
      <alignment horizontal="center" vertical="center" wrapText="1"/>
    </xf>
    <xf numFmtId="164" fontId="3" fillId="0" borderId="0" xfId="0" applyNumberFormat="1" applyFont="1" applyAlignment="1">
      <alignment horizontal="center" vertical="center" wrapText="1"/>
    </xf>
    <xf numFmtId="0" fontId="3" fillId="0" borderId="9" xfId="0" applyFont="1" applyBorder="1" applyAlignment="1">
      <alignment horizontal="center" vertical="center" wrapText="1"/>
    </xf>
    <xf numFmtId="0" fontId="7" fillId="16" borderId="8" xfId="0" applyFont="1" applyFill="1" applyBorder="1" applyAlignment="1">
      <alignment horizontal="left" vertical="center" wrapText="1"/>
    </xf>
    <xf numFmtId="164" fontId="3" fillId="16" borderId="8" xfId="0" applyNumberFormat="1" applyFont="1" applyFill="1" applyBorder="1" applyAlignment="1">
      <alignment horizontal="center" vertical="center" wrapText="1"/>
    </xf>
    <xf numFmtId="0" fontId="3" fillId="16" borderId="8" xfId="0" applyFont="1" applyFill="1" applyBorder="1" applyAlignment="1">
      <alignment horizontal="center" vertical="center" wrapText="1"/>
    </xf>
    <xf numFmtId="0" fontId="7" fillId="16" borderId="2" xfId="0" applyFont="1" applyFill="1" applyBorder="1" applyAlignment="1">
      <alignment horizontal="left" vertical="center" wrapText="1"/>
    </xf>
    <xf numFmtId="0" fontId="3" fillId="16" borderId="0" xfId="0" applyFont="1" applyFill="1" applyAlignment="1">
      <alignment horizontal="left" vertical="center" wrapText="1"/>
    </xf>
    <xf numFmtId="0" fontId="7" fillId="16" borderId="0" xfId="0" applyFont="1" applyFill="1" applyAlignment="1">
      <alignment horizontal="left" vertical="center"/>
    </xf>
    <xf numFmtId="9" fontId="3" fillId="16" borderId="0" xfId="0" applyNumberFormat="1" applyFont="1" applyFill="1" applyAlignment="1">
      <alignment horizontal="center" vertical="center" wrapText="1"/>
    </xf>
    <xf numFmtId="164" fontId="1" fillId="17" borderId="0" xfId="0" applyNumberFormat="1" applyFont="1" applyFill="1" applyAlignment="1">
      <alignment horizontal="center" wrapText="1"/>
    </xf>
    <xf numFmtId="164" fontId="1" fillId="17" borderId="0" xfId="0" applyNumberFormat="1" applyFont="1" applyFill="1" applyAlignment="1">
      <alignment horizontal="center" vertical="center" wrapText="1"/>
    </xf>
    <xf numFmtId="164" fontId="7" fillId="8" borderId="0" xfId="0" applyNumberFormat="1" applyFont="1" applyFill="1" applyAlignment="1">
      <alignment horizontal="center" vertical="center" wrapText="1"/>
    </xf>
    <xf numFmtId="164" fontId="7" fillId="0" borderId="0" xfId="0" applyNumberFormat="1" applyFont="1" applyAlignment="1">
      <alignment horizontal="center" vertical="center" wrapText="1"/>
    </xf>
    <xf numFmtId="0" fontId="4" fillId="17" borderId="0" xfId="0" applyFont="1" applyFill="1" applyAlignment="1">
      <alignment horizontal="left" vertical="center" wrapText="1"/>
    </xf>
    <xf numFmtId="0" fontId="4" fillId="17" borderId="0" xfId="0" applyFont="1" applyFill="1" applyAlignment="1">
      <alignment horizontal="center" vertical="center" wrapText="1"/>
    </xf>
    <xf numFmtId="164" fontId="4" fillId="17" borderId="0" xfId="0" applyNumberFormat="1" applyFont="1" applyFill="1" applyAlignment="1">
      <alignment horizontal="center" vertical="center" wrapText="1"/>
    </xf>
    <xf numFmtId="0" fontId="8" fillId="17" borderId="0" xfId="0" applyFont="1" applyFill="1" applyAlignment="1">
      <alignment horizontal="center" vertical="center" wrapText="1"/>
    </xf>
    <xf numFmtId="164" fontId="7" fillId="16" borderId="0" xfId="0" applyNumberFormat="1" applyFont="1" applyFill="1" applyAlignment="1">
      <alignment horizontal="center" vertical="center" wrapText="1"/>
    </xf>
    <xf numFmtId="0" fontId="2" fillId="0" borderId="0" xfId="0" applyFont="1" applyAlignment="1">
      <alignment horizontal="center" vertical="center" wrapText="1"/>
    </xf>
    <xf numFmtId="0" fontId="4" fillId="16" borderId="0" xfId="0" applyFont="1" applyFill="1" applyAlignment="1">
      <alignment horizontal="left" vertical="center" wrapText="1"/>
    </xf>
    <xf numFmtId="164" fontId="4" fillId="16" borderId="0" xfId="0" applyNumberFormat="1" applyFont="1" applyFill="1" applyAlignment="1">
      <alignment horizontal="center" vertical="center" wrapText="1"/>
    </xf>
  </cellXfs>
  <cellStyles count="1">
    <cellStyle name="Normal" xfId="0" builtinId="0"/>
  </cellStyles>
  <dxfs count="1">
    <dxf>
      <fill>
        <patternFill patternType="solid">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5876925" cy="7724775"/>
    <xdr:pic>
      <xdr:nvPicPr>
        <xdr:cNvPr id="2" name="image00.png"/>
        <xdr:cNvPicPr preferRelativeResize="0"/>
      </xdr:nvPicPr>
      <xdr:blipFill>
        <a:blip xmlns:r="http://schemas.openxmlformats.org/officeDocument/2006/relationships" r:embed="rId1" cstate="print"/>
        <a:stretch>
          <a:fillRect/>
        </a:stretch>
      </xdr:blipFill>
      <xdr:spPr>
        <a:xfrm>
          <a:off x="0" y="0"/>
          <a:ext cx="5876925" cy="7724775"/>
        </a:xfrm>
        <a:prstGeom prst="rect">
          <a:avLst/>
        </a:prstGeom>
        <a:noFill/>
      </xdr:spPr>
    </xdr:pic>
    <xdr:clientData fLocksWithSheet="0"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1"/>
  <sheetViews>
    <sheetView showGridLines="0" workbookViewId="0"/>
  </sheetViews>
  <sheetFormatPr defaultColWidth="17.140625" defaultRowHeight="12.75" customHeight="1" x14ac:dyDescent="0.2"/>
  <cols>
    <col min="2" max="2" width="20.42578125" customWidth="1"/>
  </cols>
  <sheetData>
    <row r="1" spans="1:20" x14ac:dyDescent="0.2">
      <c r="A1" s="11"/>
      <c r="B1" s="11"/>
      <c r="C1" s="11"/>
      <c r="D1" s="11"/>
      <c r="E1" s="11"/>
      <c r="F1" s="11"/>
      <c r="G1" s="11"/>
      <c r="H1" s="11"/>
      <c r="I1" s="11"/>
      <c r="J1" s="11"/>
      <c r="K1" s="11"/>
      <c r="L1" s="11"/>
      <c r="M1" s="11"/>
      <c r="N1" s="11"/>
      <c r="O1" s="11"/>
      <c r="P1" s="11"/>
      <c r="Q1" s="11"/>
      <c r="R1" s="11"/>
      <c r="S1" s="11"/>
      <c r="T1" s="11"/>
    </row>
    <row r="2" spans="1:20" x14ac:dyDescent="0.2">
      <c r="A2" s="11"/>
      <c r="B2" s="5" t="s">
        <v>0</v>
      </c>
      <c r="C2" s="5"/>
      <c r="D2" s="5"/>
      <c r="E2" s="1"/>
      <c r="F2" s="1"/>
      <c r="G2" s="1"/>
      <c r="H2" s="1"/>
      <c r="I2" s="1"/>
      <c r="J2" s="1"/>
      <c r="K2" s="11"/>
      <c r="L2" s="11"/>
      <c r="M2" s="11"/>
      <c r="N2" s="11"/>
      <c r="O2" s="11"/>
      <c r="P2" s="11"/>
      <c r="Q2" s="11"/>
      <c r="R2" s="11"/>
      <c r="S2" s="11"/>
      <c r="T2" s="11"/>
    </row>
    <row r="3" spans="1:20" x14ac:dyDescent="0.2">
      <c r="A3" s="11"/>
      <c r="B3" s="12"/>
      <c r="C3" s="12"/>
      <c r="D3" s="12"/>
      <c r="E3" s="12"/>
      <c r="F3" s="12"/>
      <c r="G3" s="1"/>
      <c r="H3" s="12"/>
      <c r="I3" s="12"/>
      <c r="J3" s="12"/>
      <c r="K3" s="11"/>
      <c r="L3" s="11"/>
      <c r="M3" s="11"/>
      <c r="N3" s="11"/>
      <c r="O3" s="11"/>
      <c r="P3" s="11"/>
      <c r="Q3" s="11"/>
      <c r="R3" s="11"/>
      <c r="S3" s="11"/>
      <c r="T3" s="11"/>
    </row>
    <row r="4" spans="1:20" ht="52.5" customHeight="1" x14ac:dyDescent="0.2">
      <c r="A4" s="13"/>
      <c r="B4" s="14" t="s">
        <v>1</v>
      </c>
      <c r="C4" s="133" t="s">
        <v>2</v>
      </c>
      <c r="D4" s="133"/>
      <c r="E4" s="133"/>
      <c r="F4" s="133"/>
      <c r="G4" s="15"/>
      <c r="H4" s="16" t="s">
        <v>3</v>
      </c>
      <c r="I4" s="134" t="s">
        <v>4</v>
      </c>
      <c r="J4" s="134"/>
      <c r="K4" s="17"/>
      <c r="L4" s="11"/>
      <c r="M4" s="11"/>
      <c r="N4" s="11"/>
      <c r="O4" s="11"/>
      <c r="P4" s="11"/>
      <c r="Q4" s="11"/>
      <c r="R4" s="11"/>
      <c r="S4" s="11"/>
      <c r="T4" s="11"/>
    </row>
    <row r="5" spans="1:20" ht="52.5" customHeight="1" x14ac:dyDescent="0.2">
      <c r="A5" s="13"/>
      <c r="B5" s="18" t="s">
        <v>5</v>
      </c>
      <c r="C5" s="135" t="s">
        <v>6</v>
      </c>
      <c r="D5" s="135"/>
      <c r="E5" s="135"/>
      <c r="F5" s="135"/>
      <c r="G5" s="15"/>
      <c r="H5" s="16" t="s">
        <v>7</v>
      </c>
      <c r="I5" s="134" t="s">
        <v>8</v>
      </c>
      <c r="J5" s="134"/>
      <c r="K5" s="17"/>
      <c r="L5" s="11"/>
      <c r="M5" s="11"/>
      <c r="N5" s="11"/>
      <c r="O5" s="11"/>
      <c r="P5" s="11"/>
      <c r="Q5" s="11"/>
      <c r="R5" s="11"/>
      <c r="S5" s="11"/>
      <c r="T5" s="11"/>
    </row>
    <row r="6" spans="1:20" ht="52.5" customHeight="1" x14ac:dyDescent="0.2">
      <c r="A6" s="13"/>
      <c r="B6" s="19" t="s">
        <v>9</v>
      </c>
      <c r="C6" s="136" t="s">
        <v>10</v>
      </c>
      <c r="D6" s="136"/>
      <c r="E6" s="136"/>
      <c r="F6" s="136"/>
      <c r="G6" s="15"/>
      <c r="H6" s="16"/>
      <c r="I6" s="134" t="s">
        <v>11</v>
      </c>
      <c r="J6" s="134"/>
      <c r="K6" s="17"/>
      <c r="L6" s="11"/>
      <c r="M6" s="11"/>
      <c r="N6" s="11"/>
      <c r="O6" s="11"/>
      <c r="P6" s="11"/>
      <c r="Q6" s="11"/>
      <c r="R6" s="11"/>
      <c r="S6" s="11"/>
      <c r="T6" s="11"/>
    </row>
    <row r="7" spans="1:20" ht="52.5" customHeight="1" x14ac:dyDescent="0.2">
      <c r="A7" s="13"/>
      <c r="B7" s="20" t="s">
        <v>12</v>
      </c>
      <c r="C7" s="129" t="s">
        <v>13</v>
      </c>
      <c r="D7" s="129"/>
      <c r="E7" s="129"/>
      <c r="F7" s="129"/>
      <c r="G7" s="21"/>
      <c r="H7" s="22"/>
      <c r="I7" s="22"/>
      <c r="J7" s="22"/>
      <c r="K7" s="11"/>
      <c r="L7" s="11"/>
      <c r="M7" s="11"/>
      <c r="N7" s="11"/>
      <c r="O7" s="11"/>
      <c r="P7" s="11"/>
      <c r="Q7" s="11"/>
      <c r="R7" s="11"/>
      <c r="S7" s="11"/>
      <c r="T7" s="11"/>
    </row>
    <row r="8" spans="1:20" ht="52.5" customHeight="1" x14ac:dyDescent="0.2">
      <c r="A8" s="13"/>
      <c r="B8" s="23" t="s">
        <v>14</v>
      </c>
      <c r="C8" s="130" t="s">
        <v>15</v>
      </c>
      <c r="D8" s="130"/>
      <c r="E8" s="130"/>
      <c r="F8" s="130"/>
      <c r="G8" s="21"/>
      <c r="H8" s="1"/>
      <c r="I8" s="1"/>
      <c r="J8" s="1"/>
      <c r="K8" s="11"/>
      <c r="L8" s="11"/>
      <c r="M8" s="11"/>
      <c r="N8" s="11"/>
      <c r="O8" s="11"/>
      <c r="P8" s="11"/>
      <c r="Q8" s="11"/>
      <c r="R8" s="11"/>
      <c r="S8" s="11"/>
      <c r="T8" s="11"/>
    </row>
    <row r="9" spans="1:20" ht="25.5" customHeight="1" x14ac:dyDescent="0.2">
      <c r="A9" s="11"/>
      <c r="B9" s="24"/>
      <c r="C9" s="24"/>
      <c r="D9" s="24"/>
      <c r="E9" s="24"/>
      <c r="F9" s="24"/>
      <c r="G9" s="11"/>
      <c r="H9" s="11"/>
      <c r="I9" s="11"/>
      <c r="J9" s="11"/>
      <c r="K9" s="11"/>
      <c r="L9" s="11"/>
      <c r="M9" s="11"/>
      <c r="N9" s="11"/>
      <c r="O9" s="11"/>
      <c r="P9" s="11"/>
      <c r="Q9" s="11"/>
      <c r="R9" s="11"/>
      <c r="S9" s="11"/>
      <c r="T9" s="11"/>
    </row>
    <row r="10" spans="1:20" ht="8.25" customHeight="1" x14ac:dyDescent="0.2">
      <c r="A10" s="11"/>
      <c r="B10" s="11"/>
      <c r="C10" s="11"/>
      <c r="D10" s="11"/>
      <c r="E10" s="11"/>
      <c r="F10" s="11"/>
      <c r="G10" s="11"/>
      <c r="H10" s="11"/>
      <c r="I10" s="11"/>
      <c r="J10" s="11"/>
      <c r="K10" s="11"/>
      <c r="L10" s="11"/>
      <c r="M10" s="11"/>
      <c r="N10" s="11"/>
      <c r="O10" s="11"/>
      <c r="P10" s="11"/>
      <c r="Q10" s="11"/>
      <c r="R10" s="11"/>
      <c r="S10" s="11"/>
      <c r="T10" s="11"/>
    </row>
    <row r="11" spans="1:20" x14ac:dyDescent="0.2">
      <c r="A11" s="11"/>
      <c r="B11" s="131" t="s">
        <v>16</v>
      </c>
      <c r="C11" s="131"/>
      <c r="D11" s="131"/>
      <c r="E11" s="131"/>
      <c r="F11" s="131"/>
      <c r="G11" s="131"/>
      <c r="H11" s="11"/>
      <c r="I11" s="11"/>
      <c r="J11" s="11"/>
      <c r="K11" s="11"/>
      <c r="L11" s="11"/>
      <c r="M11" s="11"/>
      <c r="N11" s="11"/>
      <c r="O11" s="11"/>
      <c r="P11" s="11"/>
      <c r="Q11" s="11"/>
      <c r="R11" s="11"/>
      <c r="S11" s="11"/>
      <c r="T11" s="11"/>
    </row>
    <row r="12" spans="1:20" x14ac:dyDescent="0.2">
      <c r="A12" s="11"/>
      <c r="B12" s="132" t="s">
        <v>17</v>
      </c>
      <c r="C12" s="132"/>
      <c r="D12" s="132"/>
      <c r="E12" s="132"/>
      <c r="F12" s="132"/>
      <c r="G12" s="132"/>
      <c r="H12" s="11"/>
      <c r="I12" s="11"/>
      <c r="J12" s="11"/>
      <c r="K12" s="11"/>
      <c r="L12" s="11"/>
      <c r="M12" s="11"/>
      <c r="N12" s="11"/>
      <c r="O12" s="11"/>
      <c r="P12" s="11"/>
      <c r="Q12" s="11"/>
      <c r="R12" s="11"/>
      <c r="S12" s="11"/>
      <c r="T12" s="11"/>
    </row>
    <row r="13" spans="1:20" x14ac:dyDescent="0.2">
      <c r="A13" s="11"/>
      <c r="B13" s="132"/>
      <c r="C13" s="132"/>
      <c r="D13" s="132"/>
      <c r="E13" s="132"/>
      <c r="F13" s="132"/>
      <c r="G13" s="132"/>
      <c r="H13" s="11"/>
      <c r="I13" s="11"/>
      <c r="J13" s="11"/>
      <c r="K13" s="11"/>
      <c r="L13" s="11"/>
      <c r="M13" s="11"/>
      <c r="N13" s="11"/>
      <c r="O13" s="11"/>
      <c r="P13" s="11"/>
      <c r="Q13" s="11"/>
      <c r="R13" s="11"/>
      <c r="S13" s="11"/>
      <c r="T13" s="11"/>
    </row>
    <row r="14" spans="1:20" x14ac:dyDescent="0.2">
      <c r="A14" s="11"/>
      <c r="B14" s="132"/>
      <c r="C14" s="132"/>
      <c r="D14" s="132"/>
      <c r="E14" s="132"/>
      <c r="F14" s="132"/>
      <c r="G14" s="132"/>
      <c r="H14" s="11"/>
      <c r="I14" s="11"/>
      <c r="J14" s="11"/>
      <c r="K14" s="11"/>
      <c r="L14" s="11"/>
      <c r="M14" s="11"/>
      <c r="N14" s="11"/>
      <c r="O14" s="11"/>
      <c r="P14" s="11"/>
      <c r="Q14" s="11"/>
      <c r="R14" s="11"/>
      <c r="S14" s="11"/>
      <c r="T14" s="11"/>
    </row>
    <row r="15" spans="1:20" x14ac:dyDescent="0.2">
      <c r="A15" s="11"/>
      <c r="B15" s="132"/>
      <c r="C15" s="132"/>
      <c r="D15" s="132"/>
      <c r="E15" s="132"/>
      <c r="F15" s="132"/>
      <c r="G15" s="132"/>
      <c r="H15" s="11"/>
      <c r="I15" s="11"/>
      <c r="J15" s="11"/>
      <c r="K15" s="11"/>
      <c r="L15" s="11"/>
      <c r="M15" s="11"/>
      <c r="N15" s="11"/>
      <c r="O15" s="11"/>
      <c r="P15" s="11"/>
      <c r="Q15" s="11"/>
      <c r="R15" s="11"/>
      <c r="S15" s="11"/>
      <c r="T15" s="11"/>
    </row>
    <row r="16" spans="1:20" x14ac:dyDescent="0.2">
      <c r="A16" s="11"/>
      <c r="B16" s="132"/>
      <c r="C16" s="132"/>
      <c r="D16" s="132"/>
      <c r="E16" s="132"/>
      <c r="F16" s="132"/>
      <c r="G16" s="132"/>
      <c r="H16" s="11"/>
      <c r="I16" s="11"/>
      <c r="J16" s="11"/>
      <c r="K16" s="11"/>
      <c r="L16" s="11"/>
      <c r="M16" s="11"/>
      <c r="N16" s="11"/>
      <c r="O16" s="11"/>
      <c r="P16" s="11"/>
      <c r="Q16" s="11"/>
      <c r="R16" s="11"/>
      <c r="S16" s="11"/>
      <c r="T16" s="11"/>
    </row>
    <row r="17" spans="1:20" x14ac:dyDescent="0.2">
      <c r="A17" s="11"/>
      <c r="B17" s="132"/>
      <c r="C17" s="132"/>
      <c r="D17" s="132"/>
      <c r="E17" s="132"/>
      <c r="F17" s="132"/>
      <c r="G17" s="132"/>
      <c r="H17" s="11"/>
      <c r="I17" s="11"/>
      <c r="J17" s="11"/>
      <c r="K17" s="11"/>
      <c r="L17" s="11"/>
      <c r="M17" s="11"/>
      <c r="N17" s="11"/>
      <c r="O17" s="11"/>
      <c r="P17" s="11"/>
      <c r="Q17" s="11"/>
      <c r="R17" s="11"/>
      <c r="S17" s="11"/>
      <c r="T17" s="11"/>
    </row>
    <row r="18" spans="1:20" x14ac:dyDescent="0.2">
      <c r="A18" s="11"/>
      <c r="B18" s="132"/>
      <c r="C18" s="132"/>
      <c r="D18" s="132"/>
      <c r="E18" s="132"/>
      <c r="F18" s="132"/>
      <c r="G18" s="132"/>
      <c r="H18" s="11"/>
      <c r="I18" s="11"/>
      <c r="J18" s="11"/>
      <c r="K18" s="11"/>
      <c r="L18" s="11"/>
      <c r="M18" s="11"/>
      <c r="N18" s="11"/>
      <c r="O18" s="11"/>
      <c r="P18" s="11"/>
      <c r="Q18" s="11"/>
      <c r="R18" s="11"/>
      <c r="S18" s="11"/>
      <c r="T18" s="11"/>
    </row>
    <row r="19" spans="1:20" x14ac:dyDescent="0.2">
      <c r="A19" s="11"/>
      <c r="B19" s="132"/>
      <c r="C19" s="132"/>
      <c r="D19" s="132"/>
      <c r="E19" s="132"/>
      <c r="F19" s="132"/>
      <c r="G19" s="132"/>
      <c r="H19" s="11"/>
      <c r="I19" s="11"/>
      <c r="J19" s="11"/>
      <c r="K19" s="11"/>
      <c r="L19" s="11"/>
      <c r="M19" s="11"/>
      <c r="N19" s="11"/>
      <c r="O19" s="11"/>
      <c r="P19" s="11"/>
      <c r="Q19" s="11"/>
      <c r="R19" s="11"/>
      <c r="S19" s="11"/>
      <c r="T19" s="11"/>
    </row>
    <row r="20" spans="1:20" x14ac:dyDescent="0.2">
      <c r="A20" s="11"/>
      <c r="B20" s="132"/>
      <c r="C20" s="132"/>
      <c r="D20" s="132"/>
      <c r="E20" s="132"/>
      <c r="F20" s="132"/>
      <c r="G20" s="132"/>
      <c r="H20" s="11"/>
      <c r="I20" s="11"/>
      <c r="J20" s="11"/>
      <c r="K20" s="11"/>
      <c r="L20" s="11"/>
      <c r="M20" s="11"/>
      <c r="N20" s="11"/>
      <c r="O20" s="11"/>
      <c r="P20" s="11"/>
      <c r="Q20" s="11"/>
      <c r="R20" s="11"/>
      <c r="S20" s="11"/>
      <c r="T20" s="11"/>
    </row>
    <row r="21" spans="1:20" x14ac:dyDescent="0.2">
      <c r="A21" s="11"/>
      <c r="B21" s="132"/>
      <c r="C21" s="132"/>
      <c r="D21" s="132"/>
      <c r="E21" s="132"/>
      <c r="F21" s="132"/>
      <c r="G21" s="132"/>
      <c r="H21" s="11"/>
      <c r="I21" s="11"/>
      <c r="J21" s="11"/>
      <c r="K21" s="11"/>
      <c r="L21" s="11"/>
      <c r="M21" s="11"/>
      <c r="N21" s="11"/>
      <c r="O21" s="11"/>
      <c r="P21" s="11"/>
      <c r="Q21" s="11"/>
      <c r="R21" s="11"/>
      <c r="S21" s="11"/>
      <c r="T21" s="11"/>
    </row>
    <row r="22" spans="1:20" x14ac:dyDescent="0.2">
      <c r="A22" s="11"/>
      <c r="B22" s="132"/>
      <c r="C22" s="132"/>
      <c r="D22" s="132"/>
      <c r="E22" s="132"/>
      <c r="F22" s="132"/>
      <c r="G22" s="132"/>
      <c r="H22" s="11"/>
      <c r="I22" s="11"/>
      <c r="J22" s="11"/>
      <c r="K22" s="11"/>
      <c r="L22" s="11"/>
      <c r="M22" s="11"/>
      <c r="N22" s="11"/>
      <c r="O22" s="11"/>
      <c r="P22" s="11"/>
      <c r="Q22" s="11"/>
      <c r="R22" s="11"/>
      <c r="S22" s="11"/>
      <c r="T22" s="11"/>
    </row>
    <row r="23" spans="1:20" x14ac:dyDescent="0.2">
      <c r="A23" s="11"/>
      <c r="B23" s="132"/>
      <c r="C23" s="132"/>
      <c r="D23" s="132"/>
      <c r="E23" s="132"/>
      <c r="F23" s="132"/>
      <c r="G23" s="132"/>
      <c r="H23" s="11"/>
      <c r="I23" s="11"/>
      <c r="J23" s="11"/>
      <c r="K23" s="11"/>
      <c r="L23" s="11"/>
      <c r="M23" s="11"/>
      <c r="N23" s="11"/>
      <c r="O23" s="11"/>
      <c r="P23" s="11"/>
      <c r="Q23" s="11"/>
      <c r="R23" s="11"/>
      <c r="S23" s="11"/>
      <c r="T23" s="11"/>
    </row>
    <row r="24" spans="1:20" x14ac:dyDescent="0.2">
      <c r="A24" s="11"/>
      <c r="B24" s="11"/>
      <c r="C24" s="11"/>
      <c r="D24" s="11"/>
      <c r="E24" s="11"/>
      <c r="F24" s="11"/>
      <c r="G24" s="11"/>
      <c r="H24" s="11"/>
      <c r="I24" s="11"/>
      <c r="J24" s="11"/>
      <c r="K24" s="11"/>
      <c r="L24" s="11"/>
      <c r="M24" s="11"/>
      <c r="N24" s="11"/>
      <c r="O24" s="11"/>
      <c r="P24" s="11"/>
      <c r="Q24" s="11"/>
      <c r="R24" s="11"/>
      <c r="S24" s="11"/>
      <c r="T24" s="11"/>
    </row>
    <row r="25" spans="1:20" x14ac:dyDescent="0.2">
      <c r="A25" s="11"/>
      <c r="B25" s="11"/>
      <c r="C25" s="11"/>
      <c r="D25" s="11"/>
      <c r="E25" s="11"/>
      <c r="F25" s="11"/>
      <c r="G25" s="11"/>
      <c r="H25" s="11"/>
      <c r="I25" s="11"/>
      <c r="J25" s="11"/>
      <c r="K25" s="11"/>
      <c r="L25" s="11"/>
      <c r="M25" s="11"/>
      <c r="N25" s="11"/>
      <c r="O25" s="11"/>
      <c r="P25" s="11"/>
      <c r="Q25" s="11"/>
      <c r="R25" s="11"/>
      <c r="S25" s="11"/>
      <c r="T25" s="11"/>
    </row>
    <row r="26" spans="1:20" x14ac:dyDescent="0.2">
      <c r="A26" s="11"/>
      <c r="B26" s="11"/>
      <c r="C26" s="11"/>
      <c r="D26" s="11"/>
      <c r="E26" s="11"/>
      <c r="F26" s="11"/>
      <c r="G26" s="11"/>
      <c r="H26" s="11"/>
      <c r="I26" s="11"/>
      <c r="J26" s="11"/>
      <c r="K26" s="11"/>
      <c r="L26" s="11"/>
      <c r="M26" s="11"/>
      <c r="N26" s="11"/>
      <c r="O26" s="11"/>
      <c r="P26" s="11"/>
      <c r="Q26" s="11"/>
      <c r="R26" s="11"/>
      <c r="S26" s="11"/>
      <c r="T26" s="11"/>
    </row>
    <row r="27" spans="1:20" x14ac:dyDescent="0.2">
      <c r="A27" s="11"/>
      <c r="B27" s="11"/>
      <c r="C27" s="11"/>
      <c r="D27" s="11"/>
      <c r="E27" s="11"/>
      <c r="F27" s="11"/>
      <c r="G27" s="11"/>
      <c r="H27" s="11"/>
      <c r="I27" s="11"/>
      <c r="J27" s="11"/>
      <c r="K27" s="11"/>
      <c r="L27" s="11"/>
      <c r="M27" s="11"/>
      <c r="N27" s="11"/>
      <c r="O27" s="11"/>
      <c r="P27" s="11"/>
      <c r="Q27" s="11"/>
      <c r="R27" s="11"/>
      <c r="S27" s="11"/>
      <c r="T27" s="11"/>
    </row>
    <row r="28" spans="1:20" x14ac:dyDescent="0.2">
      <c r="A28" s="11"/>
      <c r="B28" s="11"/>
      <c r="C28" s="11"/>
      <c r="D28" s="11"/>
      <c r="E28" s="11"/>
      <c r="F28" s="11"/>
      <c r="G28" s="11"/>
      <c r="H28" s="11"/>
      <c r="I28" s="11"/>
      <c r="J28" s="11"/>
      <c r="K28" s="11"/>
      <c r="L28" s="11"/>
      <c r="M28" s="11"/>
      <c r="N28" s="11"/>
      <c r="O28" s="11"/>
      <c r="P28" s="11"/>
      <c r="Q28" s="11"/>
      <c r="R28" s="11"/>
      <c r="S28" s="11"/>
      <c r="T28" s="11"/>
    </row>
    <row r="29" spans="1:20" x14ac:dyDescent="0.2">
      <c r="A29" s="11"/>
      <c r="B29" s="11"/>
      <c r="C29" s="11"/>
      <c r="D29" s="11"/>
      <c r="E29" s="11"/>
      <c r="F29" s="11"/>
      <c r="G29" s="11"/>
      <c r="H29" s="11"/>
      <c r="I29" s="11"/>
      <c r="J29" s="11"/>
      <c r="K29" s="11"/>
      <c r="L29" s="11"/>
      <c r="M29" s="11"/>
      <c r="N29" s="11"/>
      <c r="O29" s="11"/>
      <c r="P29" s="11"/>
      <c r="Q29" s="11"/>
      <c r="R29" s="11"/>
      <c r="S29" s="11"/>
      <c r="T29" s="11"/>
    </row>
    <row r="30" spans="1:20" x14ac:dyDescent="0.2">
      <c r="A30" s="11"/>
      <c r="B30" s="11"/>
      <c r="C30" s="11"/>
      <c r="D30" s="11"/>
      <c r="E30" s="11"/>
      <c r="F30" s="11"/>
      <c r="G30" s="11"/>
      <c r="H30" s="11"/>
      <c r="I30" s="11"/>
      <c r="J30" s="11"/>
      <c r="K30" s="11"/>
      <c r="L30" s="11"/>
      <c r="M30" s="11"/>
      <c r="N30" s="11"/>
      <c r="O30" s="11"/>
      <c r="P30" s="11"/>
      <c r="Q30" s="11"/>
      <c r="R30" s="11"/>
      <c r="S30" s="11"/>
      <c r="T30" s="11"/>
    </row>
    <row r="31" spans="1:20" x14ac:dyDescent="0.2">
      <c r="A31" s="11"/>
      <c r="B31" s="11"/>
      <c r="C31" s="11"/>
      <c r="D31" s="11"/>
      <c r="E31" s="11"/>
      <c r="F31" s="11"/>
      <c r="G31" s="11"/>
      <c r="H31" s="11"/>
      <c r="I31" s="11"/>
      <c r="J31" s="11"/>
      <c r="K31" s="11"/>
      <c r="L31" s="11"/>
      <c r="M31" s="11"/>
      <c r="N31" s="11"/>
      <c r="O31" s="11"/>
      <c r="P31" s="11"/>
      <c r="Q31" s="11"/>
      <c r="R31" s="11"/>
      <c r="S31" s="11"/>
      <c r="T31" s="11"/>
    </row>
    <row r="32" spans="1:20" x14ac:dyDescent="0.2">
      <c r="A32" s="11"/>
      <c r="B32" s="11"/>
      <c r="C32" s="11"/>
      <c r="D32" s="11"/>
      <c r="E32" s="11"/>
      <c r="F32" s="11"/>
      <c r="G32" s="11"/>
      <c r="H32" s="11"/>
      <c r="I32" s="11"/>
      <c r="J32" s="11"/>
      <c r="K32" s="11"/>
      <c r="L32" s="11"/>
      <c r="M32" s="11"/>
      <c r="N32" s="11"/>
      <c r="O32" s="11"/>
      <c r="P32" s="11"/>
      <c r="Q32" s="11"/>
      <c r="R32" s="11"/>
      <c r="S32" s="11"/>
      <c r="T32" s="11"/>
    </row>
    <row r="33" spans="1:20" x14ac:dyDescent="0.2">
      <c r="A33" s="11"/>
      <c r="B33" s="11"/>
      <c r="C33" s="11"/>
      <c r="D33" s="11"/>
      <c r="E33" s="11"/>
      <c r="F33" s="11"/>
      <c r="G33" s="11"/>
      <c r="H33" s="11"/>
      <c r="I33" s="11"/>
      <c r="J33" s="11"/>
      <c r="K33" s="11"/>
      <c r="L33" s="11"/>
      <c r="M33" s="11"/>
      <c r="N33" s="11"/>
      <c r="O33" s="11"/>
      <c r="P33" s="11"/>
      <c r="Q33" s="11"/>
      <c r="R33" s="11"/>
      <c r="S33" s="11"/>
      <c r="T33" s="11"/>
    </row>
    <row r="34" spans="1:20" x14ac:dyDescent="0.2">
      <c r="A34" s="11"/>
      <c r="B34" s="11"/>
      <c r="C34" s="11"/>
      <c r="D34" s="11"/>
      <c r="E34" s="11"/>
      <c r="F34" s="11"/>
      <c r="G34" s="11"/>
      <c r="H34" s="11"/>
      <c r="I34" s="11"/>
      <c r="J34" s="11"/>
      <c r="K34" s="11"/>
      <c r="L34" s="11"/>
      <c r="M34" s="11"/>
      <c r="N34" s="11"/>
      <c r="O34" s="11"/>
      <c r="P34" s="11"/>
      <c r="Q34" s="11"/>
      <c r="R34" s="11"/>
      <c r="S34" s="11"/>
      <c r="T34" s="11"/>
    </row>
    <row r="35" spans="1:20" x14ac:dyDescent="0.2">
      <c r="A35" s="11"/>
      <c r="B35" s="11"/>
      <c r="C35" s="11"/>
      <c r="D35" s="11"/>
      <c r="E35" s="11"/>
      <c r="F35" s="11"/>
      <c r="G35" s="11"/>
      <c r="H35" s="11"/>
      <c r="I35" s="11"/>
      <c r="J35" s="11"/>
      <c r="K35" s="11"/>
      <c r="L35" s="11"/>
      <c r="M35" s="11"/>
      <c r="N35" s="11"/>
      <c r="O35" s="11"/>
      <c r="P35" s="11"/>
      <c r="Q35" s="11"/>
      <c r="R35" s="11"/>
      <c r="S35" s="11"/>
      <c r="T35" s="11"/>
    </row>
    <row r="36" spans="1:20" x14ac:dyDescent="0.2">
      <c r="A36" s="11"/>
      <c r="B36" s="11"/>
      <c r="C36" s="11"/>
      <c r="D36" s="11"/>
      <c r="E36" s="11"/>
      <c r="F36" s="11"/>
      <c r="G36" s="11"/>
      <c r="H36" s="11"/>
      <c r="I36" s="11"/>
      <c r="J36" s="11"/>
      <c r="K36" s="11"/>
      <c r="L36" s="11"/>
      <c r="M36" s="11"/>
      <c r="N36" s="11"/>
      <c r="O36" s="11"/>
      <c r="P36" s="11"/>
      <c r="Q36" s="11"/>
      <c r="R36" s="11"/>
      <c r="S36" s="11"/>
      <c r="T36" s="11"/>
    </row>
    <row r="37" spans="1:20" x14ac:dyDescent="0.2">
      <c r="A37" s="11"/>
      <c r="B37" s="11"/>
      <c r="C37" s="11"/>
      <c r="D37" s="11"/>
      <c r="E37" s="11"/>
      <c r="F37" s="11"/>
      <c r="G37" s="11"/>
      <c r="H37" s="11"/>
      <c r="I37" s="11"/>
      <c r="J37" s="11"/>
      <c r="K37" s="11"/>
      <c r="L37" s="11"/>
      <c r="M37" s="11"/>
      <c r="N37" s="11"/>
      <c r="O37" s="11"/>
      <c r="P37" s="11"/>
      <c r="Q37" s="11"/>
      <c r="R37" s="11"/>
      <c r="S37" s="11"/>
      <c r="T37" s="11"/>
    </row>
    <row r="38" spans="1:20" x14ac:dyDescent="0.2">
      <c r="A38" s="11"/>
      <c r="B38" s="11"/>
      <c r="C38" s="11"/>
      <c r="D38" s="11"/>
      <c r="E38" s="11"/>
      <c r="F38" s="11"/>
      <c r="G38" s="11"/>
      <c r="H38" s="11"/>
      <c r="I38" s="11"/>
      <c r="J38" s="11"/>
      <c r="K38" s="11"/>
      <c r="L38" s="11"/>
      <c r="M38" s="11"/>
      <c r="N38" s="11"/>
      <c r="O38" s="11"/>
      <c r="P38" s="11"/>
      <c r="Q38" s="11"/>
      <c r="R38" s="11"/>
      <c r="S38" s="11"/>
      <c r="T38" s="11"/>
    </row>
    <row r="39" spans="1:20" x14ac:dyDescent="0.2">
      <c r="A39" s="11"/>
      <c r="B39" s="11"/>
      <c r="C39" s="11"/>
      <c r="D39" s="11"/>
      <c r="E39" s="11"/>
      <c r="F39" s="11"/>
      <c r="G39" s="11"/>
      <c r="H39" s="11"/>
      <c r="I39" s="11"/>
      <c r="J39" s="11"/>
      <c r="K39" s="11"/>
      <c r="L39" s="11"/>
      <c r="M39" s="11"/>
      <c r="N39" s="11"/>
      <c r="O39" s="11"/>
      <c r="P39" s="11"/>
      <c r="Q39" s="11"/>
      <c r="R39" s="11"/>
      <c r="S39" s="11"/>
      <c r="T39" s="11"/>
    </row>
    <row r="40" spans="1:20" x14ac:dyDescent="0.2">
      <c r="A40" s="11"/>
      <c r="B40" s="11"/>
      <c r="C40" s="11"/>
      <c r="D40" s="11"/>
      <c r="E40" s="11"/>
      <c r="F40" s="11"/>
      <c r="G40" s="11"/>
      <c r="H40" s="11"/>
      <c r="I40" s="11"/>
      <c r="J40" s="11"/>
      <c r="K40" s="11"/>
      <c r="L40" s="11"/>
      <c r="M40" s="11"/>
      <c r="N40" s="11"/>
      <c r="O40" s="11"/>
      <c r="P40" s="11"/>
      <c r="Q40" s="11"/>
      <c r="R40" s="11"/>
      <c r="S40" s="11"/>
      <c r="T40" s="11"/>
    </row>
    <row r="41" spans="1:20" x14ac:dyDescent="0.2">
      <c r="A41" s="11"/>
      <c r="B41" s="11"/>
      <c r="C41" s="11"/>
      <c r="D41" s="11"/>
      <c r="E41" s="11"/>
      <c r="F41" s="11"/>
      <c r="G41" s="11"/>
      <c r="H41" s="11"/>
      <c r="I41" s="11"/>
      <c r="J41" s="11"/>
      <c r="K41" s="11"/>
      <c r="L41" s="11"/>
      <c r="M41" s="11"/>
      <c r="N41" s="11"/>
      <c r="O41" s="11"/>
      <c r="P41" s="11"/>
      <c r="Q41" s="11"/>
      <c r="R41" s="11"/>
      <c r="S41" s="11"/>
      <c r="T41" s="11"/>
    </row>
    <row r="42" spans="1:20" x14ac:dyDescent="0.2">
      <c r="A42" s="11"/>
      <c r="B42" s="11"/>
      <c r="C42" s="11"/>
      <c r="D42" s="11"/>
      <c r="E42" s="11"/>
      <c r="F42" s="11"/>
      <c r="G42" s="11"/>
      <c r="H42" s="11"/>
      <c r="I42" s="11"/>
      <c r="J42" s="11"/>
      <c r="K42" s="11"/>
      <c r="L42" s="11"/>
      <c r="M42" s="11"/>
      <c r="N42" s="11"/>
      <c r="O42" s="11"/>
      <c r="P42" s="11"/>
      <c r="Q42" s="11"/>
      <c r="R42" s="11"/>
      <c r="S42" s="11"/>
      <c r="T42" s="11"/>
    </row>
    <row r="43" spans="1:20" x14ac:dyDescent="0.2">
      <c r="A43" s="11"/>
      <c r="B43" s="11"/>
      <c r="C43" s="11"/>
      <c r="D43" s="11"/>
      <c r="E43" s="11"/>
      <c r="F43" s="11"/>
      <c r="G43" s="11"/>
      <c r="H43" s="11"/>
      <c r="I43" s="11"/>
      <c r="J43" s="11"/>
      <c r="K43" s="11"/>
      <c r="L43" s="11"/>
      <c r="M43" s="11"/>
      <c r="N43" s="11"/>
      <c r="O43" s="11"/>
      <c r="P43" s="11"/>
      <c r="Q43" s="11"/>
      <c r="R43" s="11"/>
      <c r="S43" s="11"/>
      <c r="T43" s="11"/>
    </row>
    <row r="44" spans="1:20" x14ac:dyDescent="0.2">
      <c r="A44" s="11"/>
      <c r="B44" s="11"/>
      <c r="C44" s="11"/>
      <c r="D44" s="11"/>
      <c r="E44" s="11"/>
      <c r="F44" s="11"/>
      <c r="G44" s="11"/>
      <c r="H44" s="11"/>
      <c r="I44" s="11"/>
      <c r="J44" s="11"/>
      <c r="K44" s="11"/>
      <c r="L44" s="11"/>
      <c r="M44" s="11"/>
      <c r="N44" s="11"/>
      <c r="O44" s="11"/>
      <c r="P44" s="11"/>
      <c r="Q44" s="11"/>
      <c r="R44" s="11"/>
      <c r="S44" s="11"/>
      <c r="T44" s="11"/>
    </row>
    <row r="45" spans="1:20" x14ac:dyDescent="0.2">
      <c r="A45" s="11"/>
      <c r="B45" s="11"/>
      <c r="C45" s="11"/>
      <c r="D45" s="11"/>
      <c r="E45" s="11"/>
      <c r="F45" s="11"/>
      <c r="G45" s="11"/>
      <c r="H45" s="11"/>
      <c r="I45" s="11"/>
      <c r="J45" s="11"/>
      <c r="K45" s="11"/>
      <c r="L45" s="11"/>
      <c r="M45" s="11"/>
      <c r="N45" s="11"/>
      <c r="O45" s="11"/>
      <c r="P45" s="11"/>
      <c r="Q45" s="11"/>
      <c r="R45" s="11"/>
      <c r="S45" s="11"/>
      <c r="T45" s="11"/>
    </row>
    <row r="46" spans="1:20" x14ac:dyDescent="0.2">
      <c r="A46" s="11"/>
      <c r="B46" s="11"/>
      <c r="C46" s="11"/>
      <c r="D46" s="11"/>
      <c r="E46" s="11"/>
      <c r="F46" s="11"/>
      <c r="G46" s="11"/>
      <c r="H46" s="11"/>
      <c r="I46" s="11"/>
      <c r="J46" s="11"/>
      <c r="K46" s="11"/>
      <c r="L46" s="11"/>
      <c r="M46" s="11"/>
      <c r="N46" s="11"/>
      <c r="O46" s="11"/>
      <c r="P46" s="11"/>
      <c r="Q46" s="11"/>
      <c r="R46" s="11"/>
      <c r="S46" s="11"/>
      <c r="T46" s="11"/>
    </row>
    <row r="47" spans="1:20" x14ac:dyDescent="0.2">
      <c r="A47" s="11"/>
      <c r="B47" s="11"/>
      <c r="C47" s="11"/>
      <c r="D47" s="11"/>
      <c r="E47" s="11"/>
      <c r="F47" s="11"/>
      <c r="G47" s="11"/>
      <c r="H47" s="11"/>
      <c r="I47" s="11"/>
      <c r="J47" s="11"/>
      <c r="K47" s="11"/>
      <c r="L47" s="11"/>
      <c r="M47" s="11"/>
      <c r="N47" s="11"/>
      <c r="O47" s="11"/>
      <c r="P47" s="11"/>
      <c r="Q47" s="11"/>
      <c r="R47" s="11"/>
      <c r="S47" s="11"/>
      <c r="T47" s="11"/>
    </row>
    <row r="48" spans="1:20" x14ac:dyDescent="0.2">
      <c r="A48" s="11"/>
      <c r="B48" s="11"/>
      <c r="C48" s="11"/>
      <c r="D48" s="11"/>
      <c r="E48" s="11"/>
      <c r="F48" s="11"/>
      <c r="G48" s="11"/>
      <c r="H48" s="11"/>
      <c r="I48" s="11"/>
      <c r="J48" s="11"/>
      <c r="K48" s="11"/>
      <c r="L48" s="11"/>
      <c r="M48" s="11"/>
      <c r="N48" s="11"/>
      <c r="O48" s="11"/>
      <c r="P48" s="11"/>
      <c r="Q48" s="11"/>
      <c r="R48" s="11"/>
      <c r="S48" s="11"/>
      <c r="T48" s="11"/>
    </row>
    <row r="49" spans="1:20" x14ac:dyDescent="0.2">
      <c r="A49" s="11"/>
      <c r="B49" s="11"/>
      <c r="C49" s="11"/>
      <c r="D49" s="11"/>
      <c r="E49" s="11"/>
      <c r="F49" s="11"/>
      <c r="G49" s="11"/>
      <c r="H49" s="11"/>
      <c r="I49" s="11"/>
      <c r="J49" s="11"/>
      <c r="K49" s="11"/>
      <c r="L49" s="11"/>
      <c r="M49" s="11"/>
      <c r="N49" s="11"/>
      <c r="O49" s="11"/>
      <c r="P49" s="11"/>
      <c r="Q49" s="11"/>
      <c r="R49" s="11"/>
      <c r="S49" s="11"/>
      <c r="T49" s="11"/>
    </row>
    <row r="50" spans="1:20" x14ac:dyDescent="0.2">
      <c r="A50" s="11"/>
      <c r="B50" s="11"/>
      <c r="C50" s="11"/>
      <c r="D50" s="11"/>
      <c r="E50" s="11"/>
      <c r="F50" s="11"/>
      <c r="G50" s="11"/>
      <c r="H50" s="11"/>
      <c r="I50" s="11"/>
      <c r="J50" s="11"/>
      <c r="K50" s="11"/>
      <c r="L50" s="11"/>
      <c r="M50" s="11"/>
      <c r="N50" s="11"/>
      <c r="O50" s="11"/>
      <c r="P50" s="11"/>
      <c r="Q50" s="11"/>
      <c r="R50" s="11"/>
      <c r="S50" s="11"/>
      <c r="T50" s="11"/>
    </row>
    <row r="51" spans="1:20" x14ac:dyDescent="0.2">
      <c r="A51" s="11"/>
      <c r="B51" s="11"/>
      <c r="C51" s="11"/>
      <c r="D51" s="11"/>
      <c r="E51" s="11"/>
      <c r="F51" s="11"/>
      <c r="G51" s="11"/>
      <c r="H51" s="11"/>
      <c r="I51" s="11"/>
      <c r="J51" s="11"/>
      <c r="K51" s="11"/>
      <c r="L51" s="11"/>
      <c r="M51" s="11"/>
      <c r="N51" s="11"/>
      <c r="O51" s="11"/>
      <c r="P51" s="11"/>
      <c r="Q51" s="11"/>
      <c r="R51" s="11"/>
      <c r="S51" s="11"/>
      <c r="T51" s="11"/>
    </row>
    <row r="52" spans="1:20" x14ac:dyDescent="0.2">
      <c r="A52" s="11"/>
      <c r="B52" s="11"/>
      <c r="C52" s="11"/>
      <c r="D52" s="11"/>
      <c r="E52" s="11"/>
      <c r="F52" s="11"/>
      <c r="G52" s="11"/>
      <c r="H52" s="11"/>
      <c r="I52" s="11"/>
      <c r="J52" s="11"/>
      <c r="K52" s="11"/>
      <c r="L52" s="11"/>
      <c r="M52" s="11"/>
      <c r="N52" s="11"/>
      <c r="O52" s="11"/>
      <c r="P52" s="11"/>
      <c r="Q52" s="11"/>
      <c r="R52" s="11"/>
      <c r="S52" s="11"/>
      <c r="T52" s="11"/>
    </row>
    <row r="53" spans="1:20" x14ac:dyDescent="0.2">
      <c r="A53" s="11"/>
      <c r="B53" s="11"/>
      <c r="C53" s="11"/>
      <c r="D53" s="11"/>
      <c r="E53" s="11"/>
      <c r="F53" s="11"/>
      <c r="G53" s="11"/>
      <c r="H53" s="11"/>
      <c r="I53" s="11"/>
      <c r="J53" s="11"/>
      <c r="K53" s="11"/>
      <c r="L53" s="11"/>
      <c r="M53" s="11"/>
      <c r="N53" s="11"/>
      <c r="O53" s="11"/>
      <c r="P53" s="11"/>
      <c r="Q53" s="11"/>
      <c r="R53" s="11"/>
      <c r="S53" s="11"/>
      <c r="T53" s="11"/>
    </row>
    <row r="54" spans="1:20" x14ac:dyDescent="0.2">
      <c r="A54" s="11"/>
      <c r="B54" s="11"/>
      <c r="C54" s="11"/>
      <c r="D54" s="11"/>
      <c r="E54" s="11"/>
      <c r="F54" s="11"/>
      <c r="G54" s="11"/>
      <c r="H54" s="11"/>
      <c r="I54" s="11"/>
      <c r="J54" s="11"/>
      <c r="K54" s="11"/>
      <c r="L54" s="11"/>
      <c r="M54" s="11"/>
      <c r="N54" s="11"/>
      <c r="O54" s="11"/>
      <c r="P54" s="11"/>
      <c r="Q54" s="11"/>
      <c r="R54" s="11"/>
      <c r="S54" s="11"/>
      <c r="T54" s="11"/>
    </row>
    <row r="55" spans="1:20" x14ac:dyDescent="0.2">
      <c r="A55" s="11"/>
      <c r="B55" s="11"/>
      <c r="C55" s="11"/>
      <c r="D55" s="11"/>
      <c r="E55" s="11"/>
      <c r="F55" s="11"/>
      <c r="G55" s="11"/>
      <c r="H55" s="11"/>
      <c r="I55" s="11"/>
      <c r="J55" s="11"/>
      <c r="K55" s="11"/>
      <c r="L55" s="11"/>
      <c r="M55" s="11"/>
      <c r="N55" s="11"/>
      <c r="O55" s="11"/>
      <c r="P55" s="11"/>
      <c r="Q55" s="11"/>
      <c r="R55" s="11"/>
      <c r="S55" s="11"/>
      <c r="T55" s="11"/>
    </row>
    <row r="56" spans="1:20" x14ac:dyDescent="0.2">
      <c r="A56" s="11"/>
      <c r="B56" s="11"/>
      <c r="C56" s="11"/>
      <c r="D56" s="11"/>
      <c r="E56" s="11"/>
      <c r="F56" s="11"/>
      <c r="G56" s="11"/>
      <c r="H56" s="11"/>
      <c r="I56" s="11"/>
      <c r="J56" s="11"/>
      <c r="K56" s="11"/>
      <c r="L56" s="11"/>
      <c r="M56" s="11"/>
      <c r="N56" s="11"/>
      <c r="O56" s="11"/>
      <c r="P56" s="11"/>
      <c r="Q56" s="11"/>
      <c r="R56" s="11"/>
      <c r="S56" s="11"/>
      <c r="T56" s="11"/>
    </row>
    <row r="57" spans="1:20" x14ac:dyDescent="0.2">
      <c r="A57" s="11"/>
      <c r="B57" s="11"/>
      <c r="C57" s="11"/>
      <c r="D57" s="11"/>
      <c r="E57" s="11"/>
      <c r="F57" s="11"/>
      <c r="G57" s="11"/>
      <c r="H57" s="11"/>
      <c r="I57" s="11"/>
      <c r="J57" s="11"/>
      <c r="K57" s="11"/>
      <c r="L57" s="11"/>
      <c r="M57" s="11"/>
      <c r="N57" s="11"/>
      <c r="O57" s="11"/>
      <c r="P57" s="11"/>
      <c r="Q57" s="11"/>
      <c r="R57" s="11"/>
      <c r="S57" s="11"/>
      <c r="T57" s="11"/>
    </row>
    <row r="58" spans="1:20" x14ac:dyDescent="0.2">
      <c r="A58" s="11"/>
      <c r="B58" s="11"/>
      <c r="C58" s="11"/>
      <c r="D58" s="11"/>
      <c r="E58" s="11"/>
      <c r="F58" s="11"/>
      <c r="G58" s="11"/>
      <c r="H58" s="11"/>
      <c r="I58" s="11"/>
      <c r="J58" s="11"/>
      <c r="K58" s="11"/>
      <c r="L58" s="11"/>
      <c r="M58" s="11"/>
      <c r="N58" s="11"/>
      <c r="O58" s="11"/>
      <c r="P58" s="11"/>
      <c r="Q58" s="11"/>
      <c r="R58" s="11"/>
      <c r="S58" s="11"/>
      <c r="T58" s="11"/>
    </row>
    <row r="59" spans="1:20" x14ac:dyDescent="0.2">
      <c r="A59" s="11"/>
      <c r="B59" s="11"/>
      <c r="C59" s="11"/>
      <c r="D59" s="11"/>
      <c r="E59" s="11"/>
      <c r="F59" s="11"/>
      <c r="G59" s="11"/>
      <c r="H59" s="11"/>
      <c r="I59" s="11"/>
      <c r="J59" s="11"/>
      <c r="K59" s="11"/>
      <c r="L59" s="11"/>
      <c r="M59" s="11"/>
      <c r="N59" s="11"/>
      <c r="O59" s="11"/>
      <c r="P59" s="11"/>
      <c r="Q59" s="11"/>
      <c r="R59" s="11"/>
      <c r="S59" s="11"/>
      <c r="T59" s="11"/>
    </row>
    <row r="60" spans="1:20" x14ac:dyDescent="0.2">
      <c r="A60" s="11"/>
      <c r="B60" s="11"/>
      <c r="C60" s="11"/>
      <c r="D60" s="11"/>
      <c r="E60" s="11"/>
      <c r="F60" s="11"/>
      <c r="G60" s="11"/>
      <c r="H60" s="11"/>
      <c r="I60" s="11"/>
      <c r="J60" s="11"/>
      <c r="K60" s="11"/>
      <c r="L60" s="11"/>
      <c r="M60" s="11"/>
      <c r="N60" s="11"/>
      <c r="O60" s="11"/>
      <c r="P60" s="11"/>
      <c r="Q60" s="11"/>
      <c r="R60" s="11"/>
      <c r="S60" s="11"/>
      <c r="T60" s="11"/>
    </row>
    <row r="61" spans="1:20" x14ac:dyDescent="0.2">
      <c r="A61" s="11"/>
      <c r="B61" s="11"/>
      <c r="C61" s="11"/>
      <c r="D61" s="11"/>
      <c r="E61" s="11"/>
      <c r="F61" s="11"/>
      <c r="G61" s="11"/>
      <c r="H61" s="11"/>
      <c r="I61" s="11"/>
      <c r="J61" s="11"/>
      <c r="K61" s="11"/>
      <c r="L61" s="11"/>
      <c r="M61" s="11"/>
      <c r="N61" s="11"/>
      <c r="O61" s="11"/>
      <c r="P61" s="11"/>
      <c r="Q61" s="11"/>
      <c r="R61" s="11"/>
      <c r="S61" s="11"/>
      <c r="T61" s="11"/>
    </row>
    <row r="62" spans="1:20" x14ac:dyDescent="0.2">
      <c r="A62" s="11"/>
      <c r="B62" s="11"/>
      <c r="C62" s="11"/>
      <c r="D62" s="11"/>
      <c r="E62" s="11"/>
      <c r="F62" s="11"/>
      <c r="G62" s="11"/>
      <c r="H62" s="11"/>
      <c r="I62" s="11"/>
      <c r="J62" s="11"/>
      <c r="K62" s="11"/>
      <c r="L62" s="11"/>
      <c r="M62" s="11"/>
      <c r="N62" s="11"/>
      <c r="O62" s="11"/>
      <c r="P62" s="11"/>
      <c r="Q62" s="11"/>
      <c r="R62" s="11"/>
      <c r="S62" s="11"/>
      <c r="T62" s="11"/>
    </row>
    <row r="63" spans="1:20" x14ac:dyDescent="0.2">
      <c r="A63" s="11"/>
      <c r="B63" s="11"/>
      <c r="C63" s="11"/>
      <c r="D63" s="11"/>
      <c r="E63" s="11"/>
      <c r="F63" s="11"/>
      <c r="G63" s="11"/>
      <c r="H63" s="11"/>
      <c r="I63" s="11"/>
      <c r="J63" s="11"/>
      <c r="K63" s="11"/>
      <c r="L63" s="11"/>
      <c r="M63" s="11"/>
      <c r="N63" s="11"/>
      <c r="O63" s="11"/>
      <c r="P63" s="11"/>
      <c r="Q63" s="11"/>
      <c r="R63" s="11"/>
      <c r="S63" s="11"/>
      <c r="T63" s="11"/>
    </row>
    <row r="64" spans="1:20" x14ac:dyDescent="0.2">
      <c r="A64" s="11"/>
      <c r="B64" s="11"/>
      <c r="C64" s="11"/>
      <c r="D64" s="11"/>
      <c r="E64" s="11"/>
      <c r="F64" s="11"/>
      <c r="G64" s="11"/>
      <c r="H64" s="11"/>
      <c r="I64" s="11"/>
      <c r="J64" s="11"/>
      <c r="K64" s="11"/>
      <c r="L64" s="11"/>
      <c r="M64" s="11"/>
      <c r="N64" s="11"/>
      <c r="O64" s="11"/>
      <c r="P64" s="11"/>
      <c r="Q64" s="11"/>
      <c r="R64" s="11"/>
      <c r="S64" s="11"/>
      <c r="T64" s="11"/>
    </row>
    <row r="65" spans="1:20" x14ac:dyDescent="0.2">
      <c r="A65" s="11"/>
      <c r="B65" s="11"/>
      <c r="C65" s="11"/>
      <c r="D65" s="11"/>
      <c r="E65" s="11"/>
      <c r="F65" s="11"/>
      <c r="G65" s="11"/>
      <c r="H65" s="11"/>
      <c r="I65" s="11"/>
      <c r="J65" s="11"/>
      <c r="K65" s="11"/>
      <c r="L65" s="11"/>
      <c r="M65" s="11"/>
      <c r="N65" s="11"/>
      <c r="O65" s="11"/>
      <c r="P65" s="11"/>
      <c r="Q65" s="11"/>
      <c r="R65" s="11"/>
      <c r="S65" s="11"/>
      <c r="T65" s="11"/>
    </row>
    <row r="66" spans="1:20" x14ac:dyDescent="0.2">
      <c r="A66" s="11"/>
      <c r="B66" s="11"/>
      <c r="C66" s="11"/>
      <c r="D66" s="11"/>
      <c r="E66" s="11"/>
      <c r="F66" s="11"/>
      <c r="G66" s="11"/>
      <c r="H66" s="11"/>
      <c r="I66" s="11"/>
      <c r="J66" s="11"/>
      <c r="K66" s="11"/>
      <c r="L66" s="11"/>
      <c r="M66" s="11"/>
      <c r="N66" s="11"/>
      <c r="O66" s="11"/>
      <c r="P66" s="11"/>
      <c r="Q66" s="11"/>
      <c r="R66" s="11"/>
      <c r="S66" s="11"/>
      <c r="T66" s="11"/>
    </row>
    <row r="67" spans="1:20" x14ac:dyDescent="0.2">
      <c r="A67" s="11"/>
      <c r="B67" s="11"/>
      <c r="C67" s="11"/>
      <c r="D67" s="11"/>
      <c r="E67" s="11"/>
      <c r="F67" s="11"/>
      <c r="G67" s="11"/>
      <c r="H67" s="11"/>
      <c r="I67" s="11"/>
      <c r="J67" s="11"/>
      <c r="K67" s="11"/>
      <c r="L67" s="11"/>
      <c r="M67" s="11"/>
      <c r="N67" s="11"/>
      <c r="O67" s="11"/>
      <c r="P67" s="11"/>
      <c r="Q67" s="11"/>
      <c r="R67" s="11"/>
      <c r="S67" s="11"/>
      <c r="T67" s="11"/>
    </row>
    <row r="68" spans="1:20" x14ac:dyDescent="0.2">
      <c r="A68" s="11"/>
      <c r="B68" s="11"/>
      <c r="C68" s="11"/>
      <c r="D68" s="11"/>
      <c r="E68" s="11"/>
      <c r="F68" s="11"/>
      <c r="G68" s="11"/>
      <c r="H68" s="11"/>
      <c r="I68" s="11"/>
      <c r="J68" s="11"/>
      <c r="K68" s="11"/>
      <c r="L68" s="11"/>
      <c r="M68" s="11"/>
      <c r="N68" s="11"/>
      <c r="O68" s="11"/>
      <c r="P68" s="11"/>
      <c r="Q68" s="11"/>
      <c r="R68" s="11"/>
      <c r="S68" s="11"/>
      <c r="T68" s="11"/>
    </row>
    <row r="69" spans="1:20" x14ac:dyDescent="0.2">
      <c r="A69" s="11"/>
      <c r="B69" s="11"/>
      <c r="C69" s="11"/>
      <c r="D69" s="11"/>
      <c r="E69" s="11"/>
      <c r="F69" s="11"/>
      <c r="G69" s="11"/>
      <c r="H69" s="11"/>
      <c r="I69" s="11"/>
      <c r="J69" s="11"/>
      <c r="K69" s="11"/>
      <c r="L69" s="11"/>
      <c r="M69" s="11"/>
      <c r="N69" s="11"/>
      <c r="O69" s="11"/>
      <c r="P69" s="11"/>
      <c r="Q69" s="11"/>
      <c r="R69" s="11"/>
      <c r="S69" s="11"/>
      <c r="T69" s="11"/>
    </row>
    <row r="70" spans="1:20" x14ac:dyDescent="0.2">
      <c r="A70" s="11"/>
      <c r="B70" s="11"/>
      <c r="C70" s="11"/>
      <c r="D70" s="11"/>
      <c r="E70" s="11"/>
      <c r="F70" s="11"/>
      <c r="G70" s="11"/>
      <c r="H70" s="11"/>
      <c r="I70" s="11"/>
      <c r="J70" s="11"/>
      <c r="K70" s="11"/>
      <c r="L70" s="11"/>
      <c r="M70" s="11"/>
      <c r="N70" s="11"/>
      <c r="O70" s="11"/>
      <c r="P70" s="11"/>
      <c r="Q70" s="11"/>
      <c r="R70" s="11"/>
      <c r="S70" s="11"/>
      <c r="T70" s="11"/>
    </row>
    <row r="71" spans="1:20" x14ac:dyDescent="0.2">
      <c r="A71" s="11"/>
      <c r="B71" s="11"/>
      <c r="C71" s="11"/>
      <c r="D71" s="11"/>
      <c r="E71" s="11"/>
      <c r="F71" s="11"/>
      <c r="G71" s="11"/>
      <c r="H71" s="11"/>
      <c r="I71" s="11"/>
      <c r="J71" s="11"/>
      <c r="K71" s="11"/>
      <c r="L71" s="11"/>
      <c r="M71" s="11"/>
      <c r="N71" s="11"/>
      <c r="O71" s="11"/>
      <c r="P71" s="11"/>
      <c r="Q71" s="11"/>
      <c r="R71" s="11"/>
      <c r="S71" s="11"/>
      <c r="T71" s="11"/>
    </row>
    <row r="72" spans="1:20" x14ac:dyDescent="0.2">
      <c r="A72" s="11"/>
      <c r="B72" s="11"/>
      <c r="C72" s="11"/>
      <c r="D72" s="11"/>
      <c r="E72" s="11"/>
      <c r="F72" s="11"/>
      <c r="G72" s="11"/>
      <c r="H72" s="11"/>
      <c r="I72" s="11"/>
      <c r="J72" s="11"/>
      <c r="K72" s="11"/>
      <c r="L72" s="11"/>
      <c r="M72" s="11"/>
      <c r="N72" s="11"/>
      <c r="O72" s="11"/>
      <c r="P72" s="11"/>
      <c r="Q72" s="11"/>
      <c r="R72" s="11"/>
      <c r="S72" s="11"/>
      <c r="T72" s="11"/>
    </row>
    <row r="73" spans="1:20" x14ac:dyDescent="0.2">
      <c r="A73" s="11"/>
      <c r="B73" s="11"/>
      <c r="C73" s="11"/>
      <c r="D73" s="11"/>
      <c r="E73" s="11"/>
      <c r="F73" s="11"/>
      <c r="G73" s="11"/>
      <c r="H73" s="11"/>
      <c r="I73" s="11"/>
      <c r="J73" s="11"/>
      <c r="K73" s="11"/>
      <c r="L73" s="11"/>
      <c r="M73" s="11"/>
      <c r="N73" s="11"/>
      <c r="O73" s="11"/>
      <c r="P73" s="11"/>
      <c r="Q73" s="11"/>
      <c r="R73" s="11"/>
      <c r="S73" s="11"/>
      <c r="T73" s="11"/>
    </row>
    <row r="74" spans="1:20" x14ac:dyDescent="0.2">
      <c r="A74" s="11"/>
      <c r="B74" s="11"/>
      <c r="C74" s="11"/>
      <c r="D74" s="11"/>
      <c r="E74" s="11"/>
      <c r="F74" s="11"/>
      <c r="G74" s="11"/>
      <c r="H74" s="11"/>
      <c r="I74" s="11"/>
      <c r="J74" s="11"/>
      <c r="K74" s="11"/>
      <c r="L74" s="11"/>
      <c r="M74" s="11"/>
      <c r="N74" s="11"/>
      <c r="O74" s="11"/>
      <c r="P74" s="11"/>
      <c r="Q74" s="11"/>
      <c r="R74" s="11"/>
      <c r="S74" s="11"/>
      <c r="T74" s="11"/>
    </row>
    <row r="75" spans="1:20" x14ac:dyDescent="0.2">
      <c r="A75" s="11"/>
      <c r="B75" s="11"/>
      <c r="C75" s="11"/>
      <c r="D75" s="11"/>
      <c r="E75" s="11"/>
      <c r="F75" s="11"/>
      <c r="G75" s="11"/>
      <c r="H75" s="11"/>
      <c r="I75" s="11"/>
      <c r="J75" s="11"/>
      <c r="K75" s="11"/>
      <c r="L75" s="11"/>
      <c r="M75" s="11"/>
      <c r="N75" s="11"/>
      <c r="O75" s="11"/>
      <c r="P75" s="11"/>
      <c r="Q75" s="11"/>
      <c r="R75" s="11"/>
      <c r="S75" s="11"/>
      <c r="T75" s="11"/>
    </row>
    <row r="76" spans="1:20" x14ac:dyDescent="0.2">
      <c r="A76" s="11"/>
      <c r="B76" s="11"/>
      <c r="C76" s="11"/>
      <c r="D76" s="11"/>
      <c r="E76" s="11"/>
      <c r="F76" s="11"/>
      <c r="G76" s="11"/>
      <c r="H76" s="11"/>
      <c r="I76" s="11"/>
      <c r="J76" s="11"/>
      <c r="K76" s="11"/>
      <c r="L76" s="11"/>
      <c r="M76" s="11"/>
      <c r="N76" s="11"/>
      <c r="O76" s="11"/>
      <c r="P76" s="11"/>
      <c r="Q76" s="11"/>
      <c r="R76" s="11"/>
      <c r="S76" s="11"/>
      <c r="T76" s="11"/>
    </row>
    <row r="77" spans="1:20" x14ac:dyDescent="0.2">
      <c r="A77" s="11"/>
      <c r="B77" s="11"/>
      <c r="C77" s="11"/>
      <c r="D77" s="11"/>
      <c r="E77" s="11"/>
      <c r="F77" s="11"/>
      <c r="G77" s="11"/>
      <c r="H77" s="11"/>
      <c r="I77" s="11"/>
      <c r="J77" s="11"/>
      <c r="K77" s="11"/>
      <c r="L77" s="11"/>
      <c r="M77" s="11"/>
      <c r="N77" s="11"/>
      <c r="O77" s="11"/>
      <c r="P77" s="11"/>
      <c r="Q77" s="11"/>
      <c r="R77" s="11"/>
      <c r="S77" s="11"/>
      <c r="T77" s="11"/>
    </row>
    <row r="78" spans="1:20" x14ac:dyDescent="0.2">
      <c r="A78" s="11"/>
      <c r="B78" s="11"/>
      <c r="C78" s="11"/>
      <c r="D78" s="11"/>
      <c r="E78" s="11"/>
      <c r="F78" s="11"/>
      <c r="G78" s="11"/>
      <c r="H78" s="11"/>
      <c r="I78" s="11"/>
      <c r="J78" s="11"/>
      <c r="K78" s="11"/>
      <c r="L78" s="11"/>
      <c r="M78" s="11"/>
      <c r="N78" s="11"/>
      <c r="O78" s="11"/>
      <c r="P78" s="11"/>
      <c r="Q78" s="11"/>
      <c r="R78" s="11"/>
      <c r="S78" s="11"/>
      <c r="T78" s="11"/>
    </row>
    <row r="79" spans="1:20" x14ac:dyDescent="0.2">
      <c r="A79" s="11"/>
      <c r="B79" s="11"/>
      <c r="C79" s="11"/>
      <c r="D79" s="11"/>
      <c r="E79" s="11"/>
      <c r="F79" s="11"/>
      <c r="G79" s="11"/>
      <c r="H79" s="11"/>
      <c r="I79" s="11"/>
      <c r="J79" s="11"/>
      <c r="K79" s="11"/>
      <c r="L79" s="11"/>
      <c r="M79" s="11"/>
      <c r="N79" s="11"/>
      <c r="O79" s="11"/>
      <c r="P79" s="11"/>
      <c r="Q79" s="11"/>
      <c r="R79" s="11"/>
      <c r="S79" s="11"/>
      <c r="T79" s="11"/>
    </row>
    <row r="80" spans="1:20" x14ac:dyDescent="0.2">
      <c r="A80" s="11"/>
      <c r="B80" s="11"/>
      <c r="C80" s="11"/>
      <c r="D80" s="11"/>
      <c r="E80" s="11"/>
      <c r="F80" s="11"/>
      <c r="G80" s="11"/>
      <c r="H80" s="11"/>
      <c r="I80" s="11"/>
      <c r="J80" s="11"/>
      <c r="K80" s="11"/>
      <c r="L80" s="11"/>
      <c r="M80" s="11"/>
      <c r="N80" s="11"/>
      <c r="O80" s="11"/>
      <c r="P80" s="11"/>
      <c r="Q80" s="11"/>
      <c r="R80" s="11"/>
      <c r="S80" s="11"/>
      <c r="T80" s="11"/>
    </row>
    <row r="81" spans="1:20" x14ac:dyDescent="0.2">
      <c r="A81" s="11"/>
      <c r="B81" s="11"/>
      <c r="C81" s="11"/>
      <c r="D81" s="11"/>
      <c r="E81" s="11"/>
      <c r="F81" s="11"/>
      <c r="G81" s="11"/>
      <c r="H81" s="11"/>
      <c r="I81" s="11"/>
      <c r="J81" s="11"/>
      <c r="K81" s="11"/>
      <c r="L81" s="11"/>
      <c r="M81" s="11"/>
      <c r="N81" s="11"/>
      <c r="O81" s="11"/>
      <c r="P81" s="11"/>
      <c r="Q81" s="11"/>
      <c r="R81" s="11"/>
      <c r="S81" s="11"/>
      <c r="T81" s="11"/>
    </row>
    <row r="82" spans="1:20" x14ac:dyDescent="0.2">
      <c r="A82" s="11"/>
      <c r="B82" s="11"/>
      <c r="C82" s="11"/>
      <c r="D82" s="11"/>
      <c r="E82" s="11"/>
      <c r="F82" s="11"/>
      <c r="G82" s="11"/>
      <c r="H82" s="11"/>
      <c r="I82" s="11"/>
      <c r="J82" s="11"/>
      <c r="K82" s="11"/>
      <c r="L82" s="11"/>
      <c r="M82" s="11"/>
      <c r="N82" s="11"/>
      <c r="O82" s="11"/>
      <c r="P82" s="11"/>
      <c r="Q82" s="11"/>
      <c r="R82" s="11"/>
      <c r="S82" s="11"/>
      <c r="T82" s="11"/>
    </row>
    <row r="83" spans="1:20" x14ac:dyDescent="0.2">
      <c r="A83" s="11"/>
      <c r="B83" s="11"/>
      <c r="C83" s="11"/>
      <c r="D83" s="11"/>
      <c r="E83" s="11"/>
      <c r="F83" s="11"/>
      <c r="G83" s="11"/>
      <c r="H83" s="11"/>
      <c r="I83" s="11"/>
      <c r="J83" s="11"/>
      <c r="K83" s="11"/>
      <c r="L83" s="11"/>
      <c r="M83" s="11"/>
      <c r="N83" s="11"/>
      <c r="O83" s="11"/>
      <c r="P83" s="11"/>
      <c r="Q83" s="11"/>
      <c r="R83" s="11"/>
      <c r="S83" s="11"/>
      <c r="T83" s="11"/>
    </row>
    <row r="84" spans="1:20" x14ac:dyDescent="0.2">
      <c r="A84" s="11"/>
      <c r="B84" s="11"/>
      <c r="C84" s="11"/>
      <c r="D84" s="11"/>
      <c r="E84" s="11"/>
      <c r="F84" s="11"/>
      <c r="G84" s="11"/>
      <c r="H84" s="11"/>
      <c r="I84" s="11"/>
      <c r="J84" s="11"/>
      <c r="K84" s="11"/>
      <c r="L84" s="11"/>
      <c r="M84" s="11"/>
      <c r="N84" s="11"/>
      <c r="O84" s="11"/>
      <c r="P84" s="11"/>
      <c r="Q84" s="11"/>
      <c r="R84" s="11"/>
      <c r="S84" s="11"/>
      <c r="T84" s="11"/>
    </row>
    <row r="85" spans="1:20" x14ac:dyDescent="0.2">
      <c r="A85" s="11"/>
      <c r="B85" s="11"/>
      <c r="C85" s="11"/>
      <c r="D85" s="11"/>
      <c r="E85" s="11"/>
      <c r="F85" s="11"/>
      <c r="G85" s="11"/>
      <c r="H85" s="11"/>
      <c r="I85" s="11"/>
      <c r="J85" s="11"/>
      <c r="K85" s="11"/>
      <c r="L85" s="11"/>
      <c r="M85" s="11"/>
      <c r="N85" s="11"/>
      <c r="O85" s="11"/>
      <c r="P85" s="11"/>
      <c r="Q85" s="11"/>
      <c r="R85" s="11"/>
      <c r="S85" s="11"/>
      <c r="T85" s="11"/>
    </row>
    <row r="86" spans="1:20" x14ac:dyDescent="0.2">
      <c r="A86" s="11"/>
      <c r="B86" s="11"/>
      <c r="C86" s="11"/>
      <c r="D86" s="11"/>
      <c r="E86" s="11"/>
      <c r="F86" s="11"/>
      <c r="G86" s="11"/>
      <c r="H86" s="11"/>
      <c r="I86" s="11"/>
      <c r="J86" s="11"/>
      <c r="K86" s="11"/>
      <c r="L86" s="11"/>
      <c r="M86" s="11"/>
      <c r="N86" s="11"/>
      <c r="O86" s="11"/>
      <c r="P86" s="11"/>
      <c r="Q86" s="11"/>
      <c r="R86" s="11"/>
      <c r="S86" s="11"/>
      <c r="T86" s="11"/>
    </row>
    <row r="87" spans="1:20" x14ac:dyDescent="0.2">
      <c r="A87" s="11"/>
      <c r="B87" s="11"/>
      <c r="C87" s="11"/>
      <c r="D87" s="11"/>
      <c r="E87" s="11"/>
      <c r="F87" s="11"/>
      <c r="G87" s="11"/>
      <c r="H87" s="11"/>
      <c r="I87" s="11"/>
      <c r="J87" s="11"/>
      <c r="K87" s="11"/>
      <c r="L87" s="11"/>
      <c r="M87" s="11"/>
      <c r="N87" s="11"/>
      <c r="O87" s="11"/>
      <c r="P87" s="11"/>
      <c r="Q87" s="11"/>
      <c r="R87" s="11"/>
      <c r="S87" s="11"/>
      <c r="T87" s="11"/>
    </row>
    <row r="88" spans="1:20" x14ac:dyDescent="0.2">
      <c r="A88" s="11"/>
      <c r="B88" s="11"/>
      <c r="C88" s="11"/>
      <c r="D88" s="11"/>
      <c r="E88" s="11"/>
      <c r="F88" s="11"/>
      <c r="G88" s="11"/>
      <c r="H88" s="11"/>
      <c r="I88" s="11"/>
      <c r="J88" s="11"/>
      <c r="K88" s="11"/>
      <c r="L88" s="11"/>
      <c r="M88" s="11"/>
      <c r="N88" s="11"/>
      <c r="O88" s="11"/>
      <c r="P88" s="11"/>
      <c r="Q88" s="11"/>
      <c r="R88" s="11"/>
      <c r="S88" s="11"/>
      <c r="T88" s="11"/>
    </row>
    <row r="89" spans="1:20" x14ac:dyDescent="0.2">
      <c r="A89" s="11"/>
      <c r="B89" s="11"/>
      <c r="C89" s="11"/>
      <c r="D89" s="11"/>
      <c r="E89" s="11"/>
      <c r="F89" s="11"/>
      <c r="G89" s="11"/>
      <c r="H89" s="11"/>
      <c r="I89" s="11"/>
      <c r="J89" s="11"/>
      <c r="K89" s="11"/>
      <c r="L89" s="11"/>
      <c r="M89" s="11"/>
      <c r="N89" s="11"/>
      <c r="O89" s="11"/>
      <c r="P89" s="11"/>
      <c r="Q89" s="11"/>
      <c r="R89" s="11"/>
      <c r="S89" s="11"/>
      <c r="T89" s="11"/>
    </row>
    <row r="90" spans="1:20" x14ac:dyDescent="0.2">
      <c r="A90" s="11"/>
      <c r="B90" s="11"/>
      <c r="C90" s="11"/>
      <c r="D90" s="11"/>
      <c r="E90" s="11"/>
      <c r="F90" s="11"/>
      <c r="G90" s="11"/>
      <c r="H90" s="11"/>
      <c r="I90" s="11"/>
      <c r="J90" s="11"/>
      <c r="K90" s="11"/>
      <c r="L90" s="11"/>
      <c r="M90" s="11"/>
      <c r="N90" s="11"/>
      <c r="O90" s="11"/>
      <c r="P90" s="11"/>
      <c r="Q90" s="11"/>
      <c r="R90" s="11"/>
      <c r="S90" s="11"/>
      <c r="T90" s="11"/>
    </row>
    <row r="91" spans="1:20" x14ac:dyDescent="0.2">
      <c r="A91" s="11"/>
      <c r="B91" s="11"/>
      <c r="C91" s="11"/>
      <c r="D91" s="11"/>
      <c r="E91" s="11"/>
      <c r="F91" s="11"/>
      <c r="G91" s="11"/>
      <c r="H91" s="11"/>
      <c r="I91" s="11"/>
      <c r="J91" s="11"/>
      <c r="K91" s="11"/>
      <c r="L91" s="11"/>
      <c r="M91" s="11"/>
      <c r="N91" s="11"/>
      <c r="O91" s="11"/>
      <c r="P91" s="11"/>
      <c r="Q91" s="11"/>
      <c r="R91" s="11"/>
      <c r="S91" s="11"/>
      <c r="T91" s="11"/>
    </row>
    <row r="92" spans="1:20" x14ac:dyDescent="0.2">
      <c r="A92" s="11"/>
      <c r="B92" s="11"/>
      <c r="C92" s="11"/>
      <c r="D92" s="11"/>
      <c r="E92" s="11"/>
      <c r="F92" s="11"/>
      <c r="G92" s="11"/>
      <c r="H92" s="11"/>
      <c r="I92" s="11"/>
      <c r="J92" s="11"/>
      <c r="K92" s="11"/>
      <c r="L92" s="11"/>
      <c r="M92" s="11"/>
      <c r="N92" s="11"/>
      <c r="O92" s="11"/>
      <c r="P92" s="11"/>
      <c r="Q92" s="11"/>
      <c r="R92" s="11"/>
      <c r="S92" s="11"/>
      <c r="T92" s="11"/>
    </row>
    <row r="93" spans="1:20" x14ac:dyDescent="0.2">
      <c r="A93" s="11"/>
      <c r="B93" s="11"/>
      <c r="C93" s="11"/>
      <c r="D93" s="11"/>
      <c r="E93" s="11"/>
      <c r="F93" s="11"/>
      <c r="G93" s="11"/>
      <c r="H93" s="11"/>
      <c r="I93" s="11"/>
      <c r="J93" s="11"/>
      <c r="K93" s="11"/>
      <c r="L93" s="11"/>
      <c r="M93" s="11"/>
      <c r="N93" s="11"/>
      <c r="O93" s="11"/>
      <c r="P93" s="11"/>
      <c r="Q93" s="11"/>
      <c r="R93" s="11"/>
      <c r="S93" s="11"/>
      <c r="T93" s="11"/>
    </row>
    <row r="94" spans="1:20" x14ac:dyDescent="0.2">
      <c r="A94" s="11"/>
      <c r="B94" s="11"/>
      <c r="C94" s="11"/>
      <c r="D94" s="11"/>
      <c r="E94" s="11"/>
      <c r="F94" s="11"/>
      <c r="G94" s="11"/>
      <c r="H94" s="11"/>
      <c r="I94" s="11"/>
      <c r="J94" s="11"/>
      <c r="K94" s="11"/>
      <c r="L94" s="11"/>
      <c r="M94" s="11"/>
      <c r="N94" s="11"/>
      <c r="O94" s="11"/>
      <c r="P94" s="11"/>
      <c r="Q94" s="11"/>
      <c r="R94" s="11"/>
      <c r="S94" s="11"/>
      <c r="T94" s="11"/>
    </row>
    <row r="95" spans="1:20" x14ac:dyDescent="0.2">
      <c r="A95" s="11"/>
      <c r="B95" s="11"/>
      <c r="C95" s="11"/>
      <c r="D95" s="11"/>
      <c r="E95" s="11"/>
      <c r="F95" s="11"/>
      <c r="G95" s="11"/>
      <c r="H95" s="11"/>
      <c r="I95" s="11"/>
      <c r="J95" s="11"/>
      <c r="K95" s="11"/>
      <c r="L95" s="11"/>
      <c r="M95" s="11"/>
      <c r="N95" s="11"/>
      <c r="O95" s="11"/>
      <c r="P95" s="11"/>
      <c r="Q95" s="11"/>
      <c r="R95" s="11"/>
      <c r="S95" s="11"/>
      <c r="T95" s="11"/>
    </row>
    <row r="96" spans="1:20" x14ac:dyDescent="0.2">
      <c r="A96" s="11"/>
      <c r="B96" s="11"/>
      <c r="C96" s="11"/>
      <c r="D96" s="11"/>
      <c r="E96" s="11"/>
      <c r="F96" s="11"/>
      <c r="G96" s="11"/>
      <c r="H96" s="11"/>
      <c r="I96" s="11"/>
      <c r="J96" s="11"/>
      <c r="K96" s="11"/>
      <c r="L96" s="11"/>
      <c r="M96" s="11"/>
      <c r="N96" s="11"/>
      <c r="O96" s="11"/>
      <c r="P96" s="11"/>
      <c r="Q96" s="11"/>
      <c r="R96" s="11"/>
      <c r="S96" s="11"/>
      <c r="T96" s="11"/>
    </row>
    <row r="97" spans="1:20" x14ac:dyDescent="0.2">
      <c r="A97" s="11"/>
      <c r="B97" s="11"/>
      <c r="C97" s="11"/>
      <c r="D97" s="11"/>
      <c r="E97" s="11"/>
      <c r="F97" s="11"/>
      <c r="G97" s="11"/>
      <c r="H97" s="11"/>
      <c r="I97" s="11"/>
      <c r="J97" s="11"/>
      <c r="K97" s="11"/>
      <c r="L97" s="11"/>
      <c r="M97" s="11"/>
      <c r="N97" s="11"/>
      <c r="O97" s="11"/>
      <c r="P97" s="11"/>
      <c r="Q97" s="11"/>
      <c r="R97" s="11"/>
      <c r="S97" s="11"/>
      <c r="T97" s="11"/>
    </row>
    <row r="98" spans="1:20" x14ac:dyDescent="0.2">
      <c r="A98" s="11"/>
      <c r="B98" s="11"/>
      <c r="C98" s="11"/>
      <c r="D98" s="11"/>
      <c r="E98" s="11"/>
      <c r="F98" s="11"/>
      <c r="G98" s="11"/>
      <c r="H98" s="11"/>
      <c r="I98" s="11"/>
      <c r="J98" s="11"/>
      <c r="K98" s="11"/>
      <c r="L98" s="11"/>
      <c r="M98" s="11"/>
      <c r="N98" s="11"/>
      <c r="O98" s="11"/>
      <c r="P98" s="11"/>
      <c r="Q98" s="11"/>
      <c r="R98" s="11"/>
      <c r="S98" s="11"/>
      <c r="T98" s="11"/>
    </row>
    <row r="99" spans="1:20" x14ac:dyDescent="0.2">
      <c r="A99" s="11"/>
      <c r="B99" s="11"/>
      <c r="C99" s="11"/>
      <c r="D99" s="11"/>
      <c r="E99" s="11"/>
      <c r="F99" s="11"/>
      <c r="G99" s="11"/>
      <c r="H99" s="11"/>
      <c r="I99" s="11"/>
      <c r="J99" s="11"/>
      <c r="K99" s="11"/>
      <c r="L99" s="11"/>
      <c r="M99" s="11"/>
      <c r="N99" s="11"/>
      <c r="O99" s="11"/>
      <c r="P99" s="11"/>
      <c r="Q99" s="11"/>
      <c r="R99" s="11"/>
      <c r="S99" s="11"/>
      <c r="T99" s="11"/>
    </row>
    <row r="100" spans="1:20" x14ac:dyDescent="0.2">
      <c r="A100" s="11"/>
      <c r="B100" s="11"/>
      <c r="C100" s="11"/>
      <c r="D100" s="11"/>
      <c r="E100" s="11"/>
      <c r="F100" s="11"/>
      <c r="G100" s="11"/>
      <c r="H100" s="11"/>
      <c r="I100" s="11"/>
      <c r="J100" s="11"/>
      <c r="K100" s="11"/>
      <c r="L100" s="11"/>
      <c r="M100" s="11"/>
      <c r="N100" s="11"/>
      <c r="O100" s="11"/>
      <c r="P100" s="11"/>
      <c r="Q100" s="11"/>
      <c r="R100" s="11"/>
      <c r="S100" s="11"/>
      <c r="T100" s="11"/>
    </row>
    <row r="101" spans="1:20" x14ac:dyDescent="0.2">
      <c r="A101" s="11"/>
      <c r="B101" s="11"/>
      <c r="C101" s="11"/>
      <c r="D101" s="11"/>
      <c r="E101" s="11"/>
      <c r="F101" s="11"/>
      <c r="G101" s="11"/>
      <c r="H101" s="11"/>
      <c r="I101" s="11"/>
      <c r="J101" s="11"/>
      <c r="K101" s="11"/>
      <c r="L101" s="11"/>
      <c r="M101" s="11"/>
      <c r="N101" s="11"/>
      <c r="O101" s="11"/>
      <c r="P101" s="11"/>
      <c r="Q101" s="11"/>
      <c r="R101" s="11"/>
      <c r="S101" s="11"/>
      <c r="T101" s="11"/>
    </row>
  </sheetData>
  <mergeCells count="10">
    <mergeCell ref="I4:J4"/>
    <mergeCell ref="C5:F5"/>
    <mergeCell ref="I5:J5"/>
    <mergeCell ref="C6:F6"/>
    <mergeCell ref="I6:J6"/>
    <mergeCell ref="C7:F7"/>
    <mergeCell ref="C8:F8"/>
    <mergeCell ref="B11:G11"/>
    <mergeCell ref="B12:G23"/>
    <mergeCell ref="C4:F4"/>
  </mergeCell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pane ySplit="2" topLeftCell="A3" activePane="bottomLeft" state="frozen"/>
      <selection pane="bottomLeft" activeCell="A3" sqref="A3"/>
    </sheetView>
  </sheetViews>
  <sheetFormatPr defaultColWidth="17.140625" defaultRowHeight="12.75" customHeight="1" x14ac:dyDescent="0.2"/>
  <cols>
    <col min="1" max="5" width="30.7109375" customWidth="1"/>
    <col min="6" max="8" width="9.28515625" customWidth="1"/>
    <col min="9" max="9" width="35" customWidth="1"/>
  </cols>
  <sheetData>
    <row r="1" spans="1:9" ht="31.5" customHeight="1" x14ac:dyDescent="0.2">
      <c r="A1" s="147" t="s">
        <v>277</v>
      </c>
      <c r="B1" s="147"/>
      <c r="C1" s="147"/>
      <c r="D1" s="147"/>
      <c r="E1" s="147"/>
      <c r="F1" s="39"/>
      <c r="G1" s="100"/>
      <c r="H1" s="100"/>
      <c r="I1" s="39"/>
    </row>
    <row r="2" spans="1:9" ht="21" x14ac:dyDescent="0.2">
      <c r="A2" s="32" t="s">
        <v>1</v>
      </c>
      <c r="B2" s="32" t="s">
        <v>5</v>
      </c>
      <c r="C2" s="32" t="s">
        <v>9</v>
      </c>
      <c r="D2" s="32" t="s">
        <v>12</v>
      </c>
      <c r="E2" s="32" t="s">
        <v>14</v>
      </c>
      <c r="F2" s="32" t="s">
        <v>43</v>
      </c>
      <c r="G2" s="53" t="s">
        <v>148</v>
      </c>
      <c r="H2" s="53" t="s">
        <v>149</v>
      </c>
      <c r="I2" s="34" t="s">
        <v>25</v>
      </c>
    </row>
    <row r="3" spans="1:9" x14ac:dyDescent="0.2">
      <c r="A3" s="141" t="s">
        <v>41</v>
      </c>
      <c r="B3" s="141"/>
      <c r="C3" s="141"/>
      <c r="D3" s="141"/>
      <c r="E3" s="141"/>
      <c r="F3" s="141"/>
      <c r="G3" s="181"/>
      <c r="H3" s="181"/>
      <c r="I3" s="141"/>
    </row>
    <row r="4" spans="1:9" x14ac:dyDescent="0.2">
      <c r="A4" s="123" t="s">
        <v>278</v>
      </c>
      <c r="B4" s="123"/>
      <c r="C4" s="123"/>
      <c r="D4" s="62"/>
      <c r="E4" s="62"/>
      <c r="F4" s="36"/>
      <c r="G4" s="76">
        <f>COUNTIF(F4:F4, "Y")</f>
        <v>0</v>
      </c>
      <c r="H4" s="76">
        <f>COUNTA(F4:F4)</f>
        <v>0</v>
      </c>
      <c r="I4" s="62"/>
    </row>
    <row r="5" spans="1:9" x14ac:dyDescent="0.2">
      <c r="A5" s="71"/>
      <c r="B5" s="124" t="s">
        <v>279</v>
      </c>
      <c r="C5" s="124"/>
      <c r="D5" s="71"/>
      <c r="E5" s="71"/>
      <c r="F5" s="36"/>
      <c r="G5" s="72">
        <f>COUNTIF(F5:F5, "Y")</f>
        <v>0</v>
      </c>
      <c r="H5" s="72">
        <f>COUNTA(F5:F5)</f>
        <v>0</v>
      </c>
      <c r="I5" s="71"/>
    </row>
    <row r="6" spans="1:9" x14ac:dyDescent="0.2">
      <c r="A6" s="124"/>
      <c r="B6" s="83"/>
      <c r="C6" s="124" t="s">
        <v>280</v>
      </c>
      <c r="D6" s="71"/>
      <c r="E6" s="71"/>
      <c r="F6" s="36"/>
      <c r="G6" s="72">
        <f>COUNTIF(F6:F6, "Y")</f>
        <v>0</v>
      </c>
      <c r="H6" s="72">
        <f>COUNTA(F6:F6)</f>
        <v>0</v>
      </c>
      <c r="I6" s="71"/>
    </row>
    <row r="7" spans="1:9" x14ac:dyDescent="0.2">
      <c r="A7" s="65"/>
      <c r="B7" s="65"/>
      <c r="C7" s="24"/>
      <c r="D7" s="65" t="s">
        <v>281</v>
      </c>
      <c r="E7" s="65"/>
      <c r="F7" s="36"/>
      <c r="G7" s="74">
        <f>COUNTIF(F7:F7, "Y")</f>
        <v>0</v>
      </c>
      <c r="H7" s="74">
        <f>COUNTA(F7:F7)</f>
        <v>0</v>
      </c>
      <c r="I7" s="65"/>
    </row>
    <row r="8" spans="1:9" x14ac:dyDescent="0.2">
      <c r="A8" s="151" t="s">
        <v>206</v>
      </c>
      <c r="B8" s="151"/>
      <c r="C8" s="151"/>
      <c r="D8" s="152"/>
      <c r="E8" s="151"/>
      <c r="F8" s="151"/>
      <c r="G8" s="175"/>
      <c r="H8" s="176"/>
      <c r="I8" s="151"/>
    </row>
    <row r="9" spans="1:9" x14ac:dyDescent="0.2">
      <c r="A9" s="60">
        <f>IFERROR(ROUND((SUM(G4)/SUM(H4)),2),0)</f>
        <v>0</v>
      </c>
      <c r="B9" s="60">
        <f>IFERROR(ROUND((SUM(G5)/SUM(H5)),2),0)</f>
        <v>0</v>
      </c>
      <c r="C9" s="60">
        <f>IFERROR(ROUND((SUM(G6)/SUM(H6)),2),0)</f>
        <v>0</v>
      </c>
      <c r="D9" s="60">
        <f>IFERROR(ROUND((SUM(G7)/SUM(H7)),2),0)</f>
        <v>0</v>
      </c>
      <c r="E9" s="60">
        <v>0</v>
      </c>
      <c r="F9" s="57"/>
      <c r="G9" s="112"/>
      <c r="H9" s="112"/>
      <c r="I9" s="57"/>
    </row>
    <row r="10" spans="1:9" x14ac:dyDescent="0.2">
      <c r="A10" s="151" t="s">
        <v>207</v>
      </c>
      <c r="B10" s="155"/>
      <c r="C10" s="155"/>
      <c r="D10" s="155"/>
      <c r="E10" s="155"/>
      <c r="F10" s="155"/>
      <c r="G10" s="174"/>
      <c r="H10" s="174"/>
      <c r="I10" s="155"/>
    </row>
    <row r="11" spans="1:9" x14ac:dyDescent="0.2">
      <c r="A11" s="86">
        <v>0.8</v>
      </c>
      <c r="B11" s="86">
        <v>0.8</v>
      </c>
      <c r="C11" s="86">
        <v>0.8</v>
      </c>
      <c r="D11" s="86">
        <v>0.8</v>
      </c>
      <c r="E11" s="86">
        <v>0.8</v>
      </c>
      <c r="F11" s="85"/>
      <c r="G11" s="112"/>
      <c r="H11" s="112"/>
      <c r="I11" s="85"/>
    </row>
    <row r="12" spans="1:9" x14ac:dyDescent="0.2">
      <c r="A12" s="87"/>
      <c r="B12" s="88"/>
      <c r="C12" s="88"/>
      <c r="D12" s="88"/>
      <c r="E12" s="89"/>
      <c r="F12" s="32" t="s">
        <v>44</v>
      </c>
      <c r="G12" s="114"/>
      <c r="H12" s="114"/>
      <c r="I12" s="91"/>
    </row>
    <row r="13" spans="1:9" ht="26.25" customHeight="1" x14ac:dyDescent="0.2">
      <c r="A13" s="92" t="e">
        <f ca="1">IF(GTE(A9,A11),"D1", "")</f>
        <v>#NAME?</v>
      </c>
      <c r="B13" s="92" t="e">
        <f ca="1">IF(AND(IF((A13=""), FALSE, TRUE), GTE(B9,B11)),"D2","" )</f>
        <v>#NAME?</v>
      </c>
      <c r="C13" s="92" t="e">
        <f ca="1">IF(AND(IF((B13=""), FALSE, TRUE), GTE(C9,C11)),"D3","")</f>
        <v>#NAME?</v>
      </c>
      <c r="D13" s="92" t="e">
        <f ca="1">IF(AND(IF((C13=""), FALSE, TRUE),GTE(D9,D11)),"D4", "")</f>
        <v>#NAME?</v>
      </c>
      <c r="E13" s="93" t="e">
        <f ca="1">IF(AND(IF((D13=""), FALSE, TRUE), GTE(E9,E11)),"D5", "")</f>
        <v>#NAME?</v>
      </c>
      <c r="F13" s="94" t="e">
        <f>IF(IF((A13=""), FALSE, TRUE),CHOOSE(COUNTA(A13:E13),'Assesment Rules'!B4,'Assesment Rules'!B5,'Assesment Rules'!B6,'Assesment Rules'!B7,'Assesment Rules'!B8), "None")</f>
        <v>#NAME?</v>
      </c>
      <c r="G13" s="112"/>
      <c r="H13" s="112"/>
      <c r="I13" s="57"/>
    </row>
    <row r="14" spans="1:9" ht="75" customHeight="1" x14ac:dyDescent="0.2">
      <c r="A14" s="7"/>
      <c r="B14" s="11"/>
      <c r="C14" s="11"/>
      <c r="D14" s="11"/>
      <c r="E14" s="11"/>
      <c r="F14" s="11"/>
      <c r="G14" s="112"/>
      <c r="H14" s="112"/>
      <c r="I14" s="11"/>
    </row>
    <row r="15" spans="1:9" x14ac:dyDescent="0.2">
      <c r="A15" s="141" t="s">
        <v>265</v>
      </c>
      <c r="B15" s="141"/>
      <c r="C15" s="141"/>
      <c r="D15" s="141"/>
      <c r="E15" s="141"/>
      <c r="F15" s="141"/>
      <c r="G15" s="164"/>
      <c r="H15" s="164"/>
      <c r="I15" s="142"/>
    </row>
    <row r="16" spans="1:9" x14ac:dyDescent="0.2">
      <c r="A16" s="35" t="s">
        <v>278</v>
      </c>
      <c r="B16" s="36"/>
      <c r="C16" s="35"/>
      <c r="D16" s="2"/>
      <c r="E16" s="35"/>
      <c r="F16" s="11"/>
      <c r="G16" s="56"/>
      <c r="H16" s="56"/>
      <c r="I16" s="35"/>
    </row>
    <row r="17" spans="1:9" x14ac:dyDescent="0.2">
      <c r="A17" s="35"/>
      <c r="B17" s="35"/>
      <c r="C17" s="35"/>
      <c r="D17" s="2"/>
      <c r="E17" s="35"/>
      <c r="F17" s="35"/>
      <c r="G17" s="56"/>
      <c r="H17" s="56"/>
      <c r="I17" s="35"/>
    </row>
    <row r="18" spans="1:9" x14ac:dyDescent="0.2">
      <c r="A18" s="35"/>
      <c r="B18" s="35"/>
      <c r="C18" s="35"/>
      <c r="D18" s="2"/>
      <c r="E18" s="35"/>
      <c r="F18" s="35"/>
      <c r="G18" s="56"/>
      <c r="H18" s="56"/>
      <c r="I18" s="35"/>
    </row>
    <row r="19" spans="1:9" x14ac:dyDescent="0.2">
      <c r="A19" s="35"/>
      <c r="B19" s="35"/>
      <c r="C19" s="35"/>
      <c r="D19" s="2"/>
      <c r="E19" s="35"/>
      <c r="F19" s="35"/>
      <c r="G19" s="56"/>
      <c r="H19" s="56"/>
      <c r="I19" s="35"/>
    </row>
    <row r="20" spans="1:9" x14ac:dyDescent="0.2">
      <c r="A20" s="35"/>
      <c r="B20" s="35"/>
      <c r="C20" s="35"/>
      <c r="D20" s="2"/>
      <c r="E20" s="35"/>
      <c r="F20" s="35"/>
      <c r="G20" s="56"/>
      <c r="H20" s="56"/>
      <c r="I20" s="35"/>
    </row>
    <row r="21" spans="1:9" x14ac:dyDescent="0.2">
      <c r="A21" s="35"/>
      <c r="B21" s="35"/>
      <c r="C21" s="35"/>
      <c r="D21" s="2"/>
      <c r="E21" s="35"/>
      <c r="F21" s="35"/>
      <c r="G21" s="56"/>
      <c r="H21" s="56"/>
      <c r="I21" s="35"/>
    </row>
    <row r="22" spans="1:9" x14ac:dyDescent="0.2">
      <c r="A22" s="35"/>
      <c r="B22" s="35"/>
      <c r="C22" s="35"/>
      <c r="D22" s="2"/>
      <c r="E22" s="35"/>
      <c r="F22" s="35"/>
      <c r="G22" s="56"/>
      <c r="H22" s="56"/>
      <c r="I22" s="35"/>
    </row>
    <row r="23" spans="1:9" x14ac:dyDescent="0.2">
      <c r="A23" s="35"/>
      <c r="B23" s="35"/>
      <c r="C23" s="35"/>
      <c r="D23" s="2"/>
      <c r="E23" s="35"/>
      <c r="F23" s="35"/>
      <c r="G23" s="56"/>
      <c r="H23" s="56"/>
      <c r="I23" s="35"/>
    </row>
    <row r="24" spans="1:9" x14ac:dyDescent="0.2">
      <c r="A24" s="35"/>
      <c r="B24" s="35"/>
      <c r="C24" s="35"/>
      <c r="D24" s="2"/>
      <c r="E24" s="35"/>
      <c r="F24" s="35"/>
      <c r="G24" s="56"/>
      <c r="H24" s="56"/>
      <c r="I24" s="35"/>
    </row>
    <row r="25" spans="1:9" x14ac:dyDescent="0.2">
      <c r="A25" s="35"/>
      <c r="B25" s="35"/>
      <c r="C25" s="35"/>
      <c r="D25" s="2"/>
      <c r="E25" s="35"/>
      <c r="F25" s="35"/>
      <c r="G25" s="56"/>
      <c r="H25" s="56"/>
      <c r="I25" s="35"/>
    </row>
    <row r="26" spans="1:9" x14ac:dyDescent="0.2">
      <c r="A26" s="35"/>
      <c r="B26" s="35"/>
      <c r="C26" s="35"/>
      <c r="D26" s="2"/>
      <c r="E26" s="35"/>
      <c r="F26" s="35"/>
      <c r="G26" s="56"/>
      <c r="H26" s="56"/>
      <c r="I26" s="35"/>
    </row>
    <row r="27" spans="1:9" x14ac:dyDescent="0.2">
      <c r="A27" s="35"/>
      <c r="B27" s="35"/>
      <c r="C27" s="35"/>
      <c r="D27" s="2"/>
      <c r="E27" s="35"/>
      <c r="F27" s="35"/>
      <c r="G27" s="56"/>
      <c r="H27" s="56"/>
      <c r="I27" s="35"/>
    </row>
  </sheetData>
  <mergeCells count="5">
    <mergeCell ref="A1:E1"/>
    <mergeCell ref="A3:I3"/>
    <mergeCell ref="A8:I8"/>
    <mergeCell ref="A10:I10"/>
    <mergeCell ref="A15:I15"/>
  </mergeCells>
  <pageMargins left="0" right="0" top="0" bottom="0" header="0" footer="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workbookViewId="0">
      <pane ySplit="2" topLeftCell="A3" activePane="bottomLeft" state="frozen"/>
      <selection pane="bottomLeft" activeCell="A3" sqref="A3"/>
    </sheetView>
  </sheetViews>
  <sheetFormatPr defaultColWidth="17.140625" defaultRowHeight="12.75" customHeight="1" x14ac:dyDescent="0.2"/>
  <cols>
    <col min="1" max="5" width="30.7109375" customWidth="1"/>
    <col min="6" max="8" width="9.28515625" customWidth="1"/>
    <col min="9" max="9" width="35" customWidth="1"/>
  </cols>
  <sheetData>
    <row r="1" spans="1:9" ht="31.5" customHeight="1" x14ac:dyDescent="0.2">
      <c r="A1" s="147" t="s">
        <v>282</v>
      </c>
      <c r="B1" s="147"/>
      <c r="C1" s="147"/>
      <c r="D1" s="147"/>
      <c r="E1" s="147"/>
      <c r="F1" s="39"/>
      <c r="G1" s="100"/>
      <c r="H1" s="100"/>
      <c r="I1" s="39"/>
    </row>
    <row r="2" spans="1:9" ht="21" x14ac:dyDescent="0.2">
      <c r="A2" s="32" t="s">
        <v>1</v>
      </c>
      <c r="B2" s="32" t="s">
        <v>5</v>
      </c>
      <c r="C2" s="32" t="s">
        <v>9</v>
      </c>
      <c r="D2" s="32" t="s">
        <v>12</v>
      </c>
      <c r="E2" s="32" t="s">
        <v>14</v>
      </c>
      <c r="F2" s="32" t="s">
        <v>43</v>
      </c>
      <c r="G2" s="53" t="s">
        <v>148</v>
      </c>
      <c r="H2" s="53" t="s">
        <v>149</v>
      </c>
      <c r="I2" s="34" t="s">
        <v>25</v>
      </c>
    </row>
    <row r="3" spans="1:9" ht="15" x14ac:dyDescent="0.2">
      <c r="A3" s="183" t="s">
        <v>283</v>
      </c>
      <c r="B3" s="183"/>
      <c r="C3" s="183"/>
      <c r="D3" s="183"/>
      <c r="E3" s="183"/>
      <c r="F3" s="183"/>
      <c r="G3" s="184"/>
      <c r="H3" s="184"/>
      <c r="I3" s="183"/>
    </row>
    <row r="4" spans="1:9" x14ac:dyDescent="0.2">
      <c r="A4" s="141" t="s">
        <v>284</v>
      </c>
      <c r="B4" s="141"/>
      <c r="C4" s="141"/>
      <c r="D4" s="141"/>
      <c r="E4" s="141"/>
      <c r="F4" s="141"/>
      <c r="G4" s="181"/>
      <c r="H4" s="164">
        <f>COUNTA(F4:F4)</f>
        <v>0</v>
      </c>
      <c r="I4" s="141"/>
    </row>
    <row r="5" spans="1:9" x14ac:dyDescent="0.2">
      <c r="A5" s="58" t="s">
        <v>285</v>
      </c>
      <c r="B5" s="58"/>
      <c r="C5" s="58"/>
      <c r="D5" s="35"/>
      <c r="E5" s="35"/>
      <c r="F5" s="36"/>
      <c r="G5" s="164">
        <f>COUNTIF(F5:F11, "Y")</f>
        <v>0</v>
      </c>
      <c r="H5" s="164">
        <f>COUNTA(F5:F11)</f>
        <v>0</v>
      </c>
      <c r="I5" s="35"/>
    </row>
    <row r="6" spans="1:9" ht="21" x14ac:dyDescent="0.2">
      <c r="A6" s="58" t="s">
        <v>286</v>
      </c>
      <c r="B6" s="58"/>
      <c r="C6" s="58"/>
      <c r="D6" s="35"/>
      <c r="E6" s="35"/>
      <c r="F6" s="36"/>
      <c r="G6" s="164"/>
      <c r="H6" s="164"/>
      <c r="I6" s="35"/>
    </row>
    <row r="7" spans="1:9" ht="21" x14ac:dyDescent="0.2">
      <c r="A7" s="58" t="s">
        <v>287</v>
      </c>
      <c r="B7" s="58"/>
      <c r="C7" s="58"/>
      <c r="D7" s="35"/>
      <c r="E7" s="35"/>
      <c r="F7" s="36"/>
      <c r="G7" s="164"/>
      <c r="H7" s="164"/>
      <c r="I7" s="35"/>
    </row>
    <row r="8" spans="1:9" x14ac:dyDescent="0.2">
      <c r="A8" s="58" t="s">
        <v>288</v>
      </c>
      <c r="B8" s="58"/>
      <c r="C8" s="58"/>
      <c r="D8" s="35"/>
      <c r="E8" s="35"/>
      <c r="F8" s="36"/>
      <c r="G8" s="164"/>
      <c r="H8" s="164"/>
      <c r="I8" s="35"/>
    </row>
    <row r="9" spans="1:9" ht="21" x14ac:dyDescent="0.2">
      <c r="A9" s="58" t="s">
        <v>289</v>
      </c>
      <c r="B9" s="58"/>
      <c r="C9" s="58"/>
      <c r="D9" s="35"/>
      <c r="E9" s="35"/>
      <c r="F9" s="36"/>
      <c r="G9" s="164"/>
      <c r="H9" s="164"/>
      <c r="I9" s="35"/>
    </row>
    <row r="10" spans="1:9" x14ac:dyDescent="0.2">
      <c r="A10" s="58" t="s">
        <v>290</v>
      </c>
      <c r="B10" s="58"/>
      <c r="C10" s="58"/>
      <c r="D10" s="35"/>
      <c r="E10" s="35"/>
      <c r="F10" s="36"/>
      <c r="G10" s="164"/>
      <c r="H10" s="164"/>
      <c r="I10" s="35"/>
    </row>
    <row r="11" spans="1:9" x14ac:dyDescent="0.2">
      <c r="A11" s="58" t="s">
        <v>291</v>
      </c>
      <c r="B11" s="123"/>
      <c r="C11" s="123"/>
      <c r="D11" s="62"/>
      <c r="E11" s="62"/>
      <c r="F11" s="36"/>
      <c r="G11" s="164"/>
      <c r="H11" s="164"/>
      <c r="I11" s="35"/>
    </row>
    <row r="12" spans="1:9" ht="21" x14ac:dyDescent="0.2">
      <c r="A12" s="58"/>
      <c r="B12" s="65" t="s">
        <v>292</v>
      </c>
      <c r="C12" s="65"/>
      <c r="D12" s="65"/>
      <c r="E12" s="65"/>
      <c r="F12" s="36"/>
      <c r="G12" s="164">
        <f>COUNTIF(F12:F16, "Y")</f>
        <v>0</v>
      </c>
      <c r="H12" s="164">
        <f>COUNTA(F12:F16)</f>
        <v>0</v>
      </c>
      <c r="I12" s="35"/>
    </row>
    <row r="13" spans="1:9" x14ac:dyDescent="0.2">
      <c r="A13" s="58"/>
      <c r="B13" s="35" t="s">
        <v>293</v>
      </c>
      <c r="C13" s="58"/>
      <c r="D13" s="35"/>
      <c r="E13" s="35"/>
      <c r="F13" s="36"/>
      <c r="G13" s="164"/>
      <c r="H13" s="164"/>
      <c r="I13" s="35"/>
    </row>
    <row r="14" spans="1:9" ht="21" x14ac:dyDescent="0.2">
      <c r="A14" s="58"/>
      <c r="B14" s="35" t="s">
        <v>294</v>
      </c>
      <c r="C14" s="58"/>
      <c r="D14" s="35"/>
      <c r="E14" s="35"/>
      <c r="F14" s="36"/>
      <c r="G14" s="164"/>
      <c r="H14" s="164"/>
      <c r="I14" s="35"/>
    </row>
    <row r="15" spans="1:9" x14ac:dyDescent="0.2">
      <c r="A15" s="58"/>
      <c r="B15" s="35" t="s">
        <v>295</v>
      </c>
      <c r="C15" s="58"/>
      <c r="D15" s="35"/>
      <c r="E15" s="35"/>
      <c r="F15" s="36"/>
      <c r="G15" s="164"/>
      <c r="H15" s="164"/>
      <c r="I15" s="35"/>
    </row>
    <row r="16" spans="1:9" x14ac:dyDescent="0.2">
      <c r="A16" s="123"/>
      <c r="B16" s="62" t="s">
        <v>296</v>
      </c>
      <c r="C16" s="123"/>
      <c r="D16" s="62"/>
      <c r="E16" s="62"/>
      <c r="F16" s="36"/>
      <c r="G16" s="164"/>
      <c r="H16" s="164"/>
      <c r="I16" s="35"/>
    </row>
    <row r="17" spans="1:9" x14ac:dyDescent="0.2">
      <c r="A17" s="65"/>
      <c r="B17" s="122"/>
      <c r="C17" s="65" t="s">
        <v>297</v>
      </c>
      <c r="D17" s="65"/>
      <c r="E17" s="65"/>
      <c r="F17" s="36"/>
      <c r="G17" s="164">
        <f>COUNTIF(F17:F18, "Y")</f>
        <v>0</v>
      </c>
      <c r="H17" s="164">
        <f>COUNTA(F17:F18)</f>
        <v>0</v>
      </c>
      <c r="I17" s="35"/>
    </row>
    <row r="18" spans="1:9" x14ac:dyDescent="0.2">
      <c r="A18" s="58"/>
      <c r="B18" s="58"/>
      <c r="C18" s="35" t="s">
        <v>298</v>
      </c>
      <c r="D18" s="35"/>
      <c r="E18" s="35"/>
      <c r="F18" s="36"/>
      <c r="G18" s="164"/>
      <c r="H18" s="164"/>
      <c r="I18" s="35"/>
    </row>
    <row r="19" spans="1:9" x14ac:dyDescent="0.2">
      <c r="A19" s="141" t="s">
        <v>299</v>
      </c>
      <c r="B19" s="141"/>
      <c r="C19" s="141"/>
      <c r="D19" s="141"/>
      <c r="E19" s="141"/>
      <c r="F19" s="141"/>
      <c r="G19" s="181"/>
      <c r="H19" s="164">
        <f>COUNTA(F19:F19)</f>
        <v>0</v>
      </c>
      <c r="I19" s="141"/>
    </row>
    <row r="20" spans="1:9" x14ac:dyDescent="0.2">
      <c r="A20" s="62" t="s">
        <v>300</v>
      </c>
      <c r="B20" s="123"/>
      <c r="C20" s="123"/>
      <c r="D20" s="62"/>
      <c r="E20" s="62"/>
      <c r="F20" s="36"/>
      <c r="G20" s="76">
        <f>COUNTIF(F20:F20, "Y")</f>
        <v>0</v>
      </c>
      <c r="H20" s="56">
        <f>COUNTA(F20:F20)</f>
        <v>0</v>
      </c>
      <c r="I20" s="35"/>
    </row>
    <row r="21" spans="1:9" ht="21" x14ac:dyDescent="0.2">
      <c r="A21" s="122"/>
      <c r="B21" s="65" t="s">
        <v>301</v>
      </c>
      <c r="C21" s="65"/>
      <c r="D21" s="65"/>
      <c r="E21" s="65"/>
      <c r="F21" s="36"/>
      <c r="G21" s="161">
        <f>COUNTIF(F21:F23, "Y")</f>
        <v>0</v>
      </c>
      <c r="H21" s="159">
        <f>COUNTA(F21:F23)</f>
        <v>0</v>
      </c>
      <c r="I21" s="35"/>
    </row>
    <row r="22" spans="1:9" ht="21" x14ac:dyDescent="0.2">
      <c r="A22" s="58"/>
      <c r="B22" s="35" t="s">
        <v>302</v>
      </c>
      <c r="C22" s="58"/>
      <c r="D22" s="35"/>
      <c r="E22" s="35"/>
      <c r="F22" s="36"/>
      <c r="G22" s="159"/>
      <c r="H22" s="159"/>
      <c r="I22" s="35"/>
    </row>
    <row r="23" spans="1:9" ht="21" x14ac:dyDescent="0.2">
      <c r="A23" s="62"/>
      <c r="B23" s="62" t="s">
        <v>303</v>
      </c>
      <c r="C23" s="123"/>
      <c r="D23" s="62"/>
      <c r="E23" s="62"/>
      <c r="F23" s="36"/>
      <c r="G23" s="159"/>
      <c r="H23" s="159"/>
      <c r="I23" s="35"/>
    </row>
    <row r="24" spans="1:9" x14ac:dyDescent="0.2">
      <c r="A24" s="122"/>
      <c r="B24" s="122"/>
      <c r="C24" s="65" t="s">
        <v>304</v>
      </c>
      <c r="D24" s="65"/>
      <c r="E24" s="65"/>
      <c r="F24" s="36"/>
      <c r="G24" s="163">
        <f>COUNTIF(F24:F26, "Y")</f>
        <v>0</v>
      </c>
      <c r="H24" s="163">
        <f>COUNTA(F24:F26)</f>
        <v>0</v>
      </c>
      <c r="I24" s="35"/>
    </row>
    <row r="25" spans="1:9" ht="31.5" x14ac:dyDescent="0.2">
      <c r="A25" s="58"/>
      <c r="B25" s="58"/>
      <c r="C25" s="35" t="s">
        <v>305</v>
      </c>
      <c r="D25" s="35"/>
      <c r="E25" s="35"/>
      <c r="F25" s="36"/>
      <c r="G25" s="159"/>
      <c r="H25" s="159"/>
      <c r="I25" s="35"/>
    </row>
    <row r="26" spans="1:9" ht="31.5" x14ac:dyDescent="0.2">
      <c r="A26" s="58"/>
      <c r="B26" s="58"/>
      <c r="C26" s="35" t="s">
        <v>306</v>
      </c>
      <c r="D26" s="35"/>
      <c r="E26" s="35"/>
      <c r="F26" s="36"/>
      <c r="G26" s="164"/>
      <c r="H26" s="164"/>
      <c r="I26" s="35"/>
    </row>
    <row r="27" spans="1:9" x14ac:dyDescent="0.2">
      <c r="A27" s="141" t="s">
        <v>307</v>
      </c>
      <c r="B27" s="141"/>
      <c r="C27" s="141"/>
      <c r="D27" s="141"/>
      <c r="E27" s="141"/>
      <c r="F27" s="141"/>
      <c r="G27" s="181"/>
      <c r="H27" s="164">
        <f>COUNTA(F27:F27)</f>
        <v>0</v>
      </c>
      <c r="I27" s="141"/>
    </row>
    <row r="28" spans="1:9" ht="31.5" x14ac:dyDescent="0.2">
      <c r="A28" s="35" t="s">
        <v>308</v>
      </c>
      <c r="B28" s="58"/>
      <c r="C28" s="58"/>
      <c r="D28" s="35"/>
      <c r="E28" s="35"/>
      <c r="F28" s="36"/>
      <c r="G28" s="159">
        <f>COUNTIF(F28:F29, "Y")</f>
        <v>0</v>
      </c>
      <c r="H28" s="159">
        <f>COUNTA(F28:F29)</f>
        <v>0</v>
      </c>
      <c r="I28" s="35"/>
    </row>
    <row r="29" spans="1:9" ht="21" x14ac:dyDescent="0.2">
      <c r="A29" s="62" t="s">
        <v>309</v>
      </c>
      <c r="B29" s="58"/>
      <c r="C29" s="123"/>
      <c r="D29" s="62"/>
      <c r="E29" s="62"/>
      <c r="F29" s="36"/>
      <c r="G29" s="159"/>
      <c r="H29" s="159"/>
      <c r="I29" s="35"/>
    </row>
    <row r="30" spans="1:9" x14ac:dyDescent="0.2">
      <c r="A30" s="65"/>
      <c r="B30" s="35" t="s">
        <v>310</v>
      </c>
      <c r="C30" s="65"/>
      <c r="D30" s="65"/>
      <c r="E30" s="65"/>
      <c r="F30" s="36"/>
      <c r="G30" s="161">
        <f>COUNTIF(F30:F31, "Y")</f>
        <v>0</v>
      </c>
      <c r="H30" s="161">
        <f>COUNTA(F30:F31)</f>
        <v>0</v>
      </c>
      <c r="I30" s="35"/>
    </row>
    <row r="31" spans="1:9" ht="21" x14ac:dyDescent="0.2">
      <c r="A31" s="62"/>
      <c r="B31" s="62" t="s">
        <v>311</v>
      </c>
      <c r="C31" s="123"/>
      <c r="D31" s="62"/>
      <c r="E31" s="62"/>
      <c r="F31" s="36"/>
      <c r="G31" s="159"/>
      <c r="H31" s="159"/>
      <c r="I31" s="35"/>
    </row>
    <row r="32" spans="1:9" ht="31.5" x14ac:dyDescent="0.2">
      <c r="A32" s="65"/>
      <c r="B32" s="122"/>
      <c r="C32" s="65" t="s">
        <v>312</v>
      </c>
      <c r="D32" s="65"/>
      <c r="E32" s="65"/>
      <c r="F32" s="36"/>
      <c r="G32" s="74">
        <f>COUNTIF(F32:F32, "Y")</f>
        <v>0</v>
      </c>
      <c r="H32" s="74">
        <f>COUNTA(F32:F32)</f>
        <v>0</v>
      </c>
      <c r="I32" s="35"/>
    </row>
    <row r="33" spans="1:9" x14ac:dyDescent="0.2">
      <c r="A33" s="141" t="s">
        <v>313</v>
      </c>
      <c r="B33" s="141"/>
      <c r="C33" s="141"/>
      <c r="D33" s="141"/>
      <c r="E33" s="141"/>
      <c r="F33" s="141"/>
      <c r="G33" s="181"/>
      <c r="H33" s="164"/>
      <c r="I33" s="141"/>
    </row>
    <row r="34" spans="1:9" ht="31.5" x14ac:dyDescent="0.2">
      <c r="A34" s="35" t="s">
        <v>314</v>
      </c>
      <c r="B34" s="35"/>
      <c r="C34" s="35"/>
      <c r="D34" s="35"/>
      <c r="E34" s="35"/>
      <c r="F34" s="36"/>
      <c r="G34" s="159">
        <f>COUNTIF(F34:F35, "Y")</f>
        <v>0</v>
      </c>
      <c r="H34" s="159">
        <f>COUNTA(F34:F35)</f>
        <v>0</v>
      </c>
      <c r="I34" s="35"/>
    </row>
    <row r="35" spans="1:9" ht="52.5" x14ac:dyDescent="0.2">
      <c r="A35" s="62" t="s">
        <v>315</v>
      </c>
      <c r="B35" s="62"/>
      <c r="C35" s="62"/>
      <c r="D35" s="62"/>
      <c r="E35" s="62"/>
      <c r="F35" s="36"/>
      <c r="G35" s="159"/>
      <c r="H35" s="159"/>
      <c r="I35" s="35"/>
    </row>
    <row r="36" spans="1:9" x14ac:dyDescent="0.2">
      <c r="A36" s="65"/>
      <c r="B36" s="65" t="s">
        <v>316</v>
      </c>
      <c r="C36" s="65"/>
      <c r="D36" s="65"/>
      <c r="E36" s="65"/>
      <c r="F36" s="36"/>
      <c r="G36" s="163">
        <f>COUNTIF(F36:F38, "Y")</f>
        <v>0</v>
      </c>
      <c r="H36" s="163">
        <f>COUNTA(F36:F38)</f>
        <v>0</v>
      </c>
      <c r="I36" s="35"/>
    </row>
    <row r="37" spans="1:9" ht="21" x14ac:dyDescent="0.2">
      <c r="A37" s="35"/>
      <c r="B37" s="35" t="s">
        <v>317</v>
      </c>
      <c r="C37" s="35"/>
      <c r="D37" s="35"/>
      <c r="E37" s="35"/>
      <c r="F37" s="36"/>
      <c r="G37" s="159"/>
      <c r="H37" s="159"/>
      <c r="I37" s="35"/>
    </row>
    <row r="38" spans="1:9" x14ac:dyDescent="0.2">
      <c r="A38" s="35"/>
      <c r="B38" s="35" t="s">
        <v>318</v>
      </c>
      <c r="C38" s="35"/>
      <c r="D38" s="35"/>
      <c r="E38" s="35"/>
      <c r="F38" s="36"/>
      <c r="G38" s="164"/>
      <c r="H38" s="164"/>
      <c r="I38" s="35"/>
    </row>
    <row r="39" spans="1:9" x14ac:dyDescent="0.2">
      <c r="A39" s="141" t="s">
        <v>319</v>
      </c>
      <c r="B39" s="141"/>
      <c r="C39" s="141"/>
      <c r="D39" s="141"/>
      <c r="E39" s="141"/>
      <c r="F39" s="141"/>
      <c r="G39" s="181"/>
      <c r="H39" s="164"/>
      <c r="I39" s="141"/>
    </row>
    <row r="40" spans="1:9" ht="21" x14ac:dyDescent="0.2">
      <c r="A40" s="62" t="s">
        <v>320</v>
      </c>
      <c r="B40" s="62"/>
      <c r="C40" s="62"/>
      <c r="D40" s="62"/>
      <c r="E40" s="62"/>
      <c r="F40" s="36"/>
      <c r="G40" s="76">
        <f>COUNTIF(F40:F40, "Y")</f>
        <v>0</v>
      </c>
      <c r="H40" s="56">
        <f>COUNTA(F40:F40)</f>
        <v>0</v>
      </c>
      <c r="I40" s="35"/>
    </row>
    <row r="41" spans="1:9" x14ac:dyDescent="0.2">
      <c r="A41" s="65"/>
      <c r="B41" s="65" t="s">
        <v>321</v>
      </c>
      <c r="C41" s="65"/>
      <c r="D41" s="65"/>
      <c r="E41" s="65"/>
      <c r="F41" s="36"/>
      <c r="G41" s="163">
        <f>COUNTIF(F41:F42, "Y")</f>
        <v>0</v>
      </c>
      <c r="H41" s="164">
        <f>COUNTA(F41:F42)</f>
        <v>0</v>
      </c>
      <c r="I41" s="35"/>
    </row>
    <row r="42" spans="1:9" ht="21" x14ac:dyDescent="0.2">
      <c r="A42" s="35"/>
      <c r="B42" s="35" t="s">
        <v>322</v>
      </c>
      <c r="C42" s="62"/>
      <c r="D42" s="35"/>
      <c r="E42" s="35"/>
      <c r="F42" s="36"/>
      <c r="G42" s="164"/>
      <c r="H42" s="164"/>
      <c r="I42" s="35"/>
    </row>
    <row r="43" spans="1:9" ht="21" x14ac:dyDescent="0.2">
      <c r="A43" s="35"/>
      <c r="B43" s="35"/>
      <c r="C43" s="65" t="s">
        <v>323</v>
      </c>
      <c r="D43" s="35"/>
      <c r="E43" s="35"/>
      <c r="F43" s="36"/>
      <c r="G43" s="164">
        <f>COUNTIF(F43:F44, "Y")</f>
        <v>0</v>
      </c>
      <c r="H43" s="164">
        <f>COUNTA(F43:F44)</f>
        <v>0</v>
      </c>
      <c r="I43" s="35"/>
    </row>
    <row r="44" spans="1:9" x14ac:dyDescent="0.2">
      <c r="A44" s="35"/>
      <c r="B44" s="35"/>
      <c r="C44" s="35" t="s">
        <v>324</v>
      </c>
      <c r="D44" s="35"/>
      <c r="E44" s="35"/>
      <c r="F44" s="36"/>
      <c r="G44" s="164"/>
      <c r="H44" s="164"/>
      <c r="I44" s="35"/>
    </row>
    <row r="45" spans="1:9" x14ac:dyDescent="0.2">
      <c r="A45" s="141" t="s">
        <v>325</v>
      </c>
      <c r="B45" s="141"/>
      <c r="C45" s="141"/>
      <c r="D45" s="141"/>
      <c r="E45" s="141"/>
      <c r="F45" s="141"/>
      <c r="G45" s="164">
        <v>0</v>
      </c>
      <c r="H45" s="164">
        <v>0</v>
      </c>
      <c r="I45" s="141"/>
    </row>
    <row r="46" spans="1:9" x14ac:dyDescent="0.2">
      <c r="A46" s="62" t="s">
        <v>326</v>
      </c>
      <c r="B46" s="62"/>
      <c r="C46" s="62"/>
      <c r="D46" s="62"/>
      <c r="E46" s="62"/>
      <c r="F46" s="36"/>
      <c r="G46" s="56">
        <f>COUNTIF(F46:F46, "Y")</f>
        <v>0</v>
      </c>
      <c r="H46" s="56">
        <f>COUNTA(F46:F46)</f>
        <v>0</v>
      </c>
      <c r="I46" s="35"/>
    </row>
    <row r="47" spans="1:9" x14ac:dyDescent="0.2">
      <c r="A47" s="65"/>
      <c r="B47" s="65" t="s">
        <v>327</v>
      </c>
      <c r="C47" s="65"/>
      <c r="D47" s="65"/>
      <c r="E47" s="65"/>
      <c r="F47" s="36"/>
      <c r="G47" s="164">
        <f>COUNTIF(F47:F49, "Y")</f>
        <v>0</v>
      </c>
      <c r="H47" s="164">
        <f>COUNTA(F47:F49)</f>
        <v>0</v>
      </c>
      <c r="I47" s="35"/>
    </row>
    <row r="48" spans="1:9" x14ac:dyDescent="0.2">
      <c r="A48" s="35"/>
      <c r="B48" s="35" t="s">
        <v>328</v>
      </c>
      <c r="C48" s="35"/>
      <c r="D48" s="35"/>
      <c r="E48" s="35"/>
      <c r="F48" s="36"/>
      <c r="G48" s="164"/>
      <c r="H48" s="164"/>
      <c r="I48" s="35"/>
    </row>
    <row r="49" spans="1:9" x14ac:dyDescent="0.2">
      <c r="A49" s="62"/>
      <c r="B49" s="62" t="s">
        <v>329</v>
      </c>
      <c r="C49" s="62"/>
      <c r="D49" s="62"/>
      <c r="E49" s="62"/>
      <c r="F49" s="36"/>
      <c r="G49" s="164"/>
      <c r="H49" s="164"/>
      <c r="I49" s="35"/>
    </row>
    <row r="50" spans="1:9" ht="21" x14ac:dyDescent="0.2">
      <c r="A50" s="65"/>
      <c r="B50" s="65"/>
      <c r="C50" s="65" t="s">
        <v>330</v>
      </c>
      <c r="D50" s="65"/>
      <c r="E50" s="65"/>
      <c r="F50" s="36"/>
      <c r="G50" s="164">
        <f>COUNTIF(F50:F51, "Y")</f>
        <v>0</v>
      </c>
      <c r="H50" s="164">
        <f>COUNTA(F50:F51)</f>
        <v>0</v>
      </c>
      <c r="I50" s="35"/>
    </row>
    <row r="51" spans="1:9" x14ac:dyDescent="0.2">
      <c r="A51" s="62"/>
      <c r="B51" s="62"/>
      <c r="C51" s="62" t="s">
        <v>331</v>
      </c>
      <c r="D51" s="62"/>
      <c r="E51" s="62"/>
      <c r="F51" s="36"/>
      <c r="G51" s="164"/>
      <c r="H51" s="164"/>
      <c r="I51" s="35"/>
    </row>
    <row r="52" spans="1:9" ht="21" x14ac:dyDescent="0.2">
      <c r="A52" s="65"/>
      <c r="B52" s="65"/>
      <c r="C52" s="65"/>
      <c r="D52" s="65" t="s">
        <v>332</v>
      </c>
      <c r="E52" s="65"/>
      <c r="F52" s="36"/>
      <c r="G52" s="56">
        <f>COUNTIF(F52:F52, "Y")</f>
        <v>0</v>
      </c>
      <c r="H52" s="56">
        <f>COUNTA(F52:F52)</f>
        <v>0</v>
      </c>
      <c r="I52" s="35"/>
    </row>
    <row r="53" spans="1:9" x14ac:dyDescent="0.2">
      <c r="A53" s="166" t="s">
        <v>333</v>
      </c>
      <c r="B53" s="166"/>
      <c r="C53" s="166"/>
      <c r="D53" s="166"/>
      <c r="E53" s="166"/>
      <c r="F53" s="166"/>
      <c r="G53" s="159"/>
      <c r="H53" s="159"/>
      <c r="I53" s="166"/>
    </row>
    <row r="54" spans="1:9" ht="21" x14ac:dyDescent="0.2">
      <c r="A54" s="65"/>
      <c r="B54" s="65" t="s">
        <v>334</v>
      </c>
      <c r="C54" s="65"/>
      <c r="D54" s="65"/>
      <c r="E54" s="65"/>
      <c r="F54" s="79"/>
      <c r="G54" s="163">
        <f>COUNTIF(F54:F55, "Y")</f>
        <v>0</v>
      </c>
      <c r="H54" s="163">
        <f>COUNTA(F54:F55)</f>
        <v>0</v>
      </c>
      <c r="I54" s="65">
        <f>SUM(H5,H20,H28,H34,H40,H46)</f>
        <v>0</v>
      </c>
    </row>
    <row r="55" spans="1:9" x14ac:dyDescent="0.2">
      <c r="A55" s="35"/>
      <c r="B55" s="35" t="s">
        <v>335</v>
      </c>
      <c r="C55" s="35"/>
      <c r="D55" s="35"/>
      <c r="E55" s="35"/>
      <c r="F55" s="36"/>
      <c r="G55" s="164"/>
      <c r="H55" s="164"/>
      <c r="I55" s="35">
        <f>SUM(G5,G20,G28,G34,G40,G46)</f>
        <v>0</v>
      </c>
    </row>
    <row r="56" spans="1:9" x14ac:dyDescent="0.2">
      <c r="A56" s="141" t="s">
        <v>336</v>
      </c>
      <c r="B56" s="141"/>
      <c r="C56" s="141"/>
      <c r="D56" s="141"/>
      <c r="E56" s="141"/>
      <c r="F56" s="141"/>
      <c r="G56" s="164"/>
      <c r="H56" s="164"/>
      <c r="I56" s="141"/>
    </row>
    <row r="57" spans="1:9" x14ac:dyDescent="0.2">
      <c r="A57" s="35"/>
      <c r="B57" s="35" t="s">
        <v>337</v>
      </c>
      <c r="C57" s="35"/>
      <c r="D57" s="35"/>
      <c r="E57" s="35"/>
      <c r="F57" s="36"/>
      <c r="G57" s="56">
        <f>COUNTIF(F57:F57, "Y")</f>
        <v>0</v>
      </c>
      <c r="H57" s="56">
        <f>COUNTA(F57:F57)</f>
        <v>0</v>
      </c>
      <c r="I57" s="35"/>
    </row>
    <row r="58" spans="1:9" x14ac:dyDescent="0.2">
      <c r="A58" s="141" t="s">
        <v>338</v>
      </c>
      <c r="B58" s="141"/>
      <c r="C58" s="141"/>
      <c r="D58" s="141"/>
      <c r="E58" s="141"/>
      <c r="F58" s="141"/>
      <c r="G58" s="164"/>
      <c r="H58" s="164"/>
      <c r="I58" s="141"/>
    </row>
    <row r="59" spans="1:9" ht="21" x14ac:dyDescent="0.2">
      <c r="A59" s="35"/>
      <c r="B59" s="35" t="s">
        <v>339</v>
      </c>
      <c r="C59" s="35"/>
      <c r="D59" s="35"/>
      <c r="E59" s="35"/>
      <c r="F59" s="36"/>
      <c r="G59" s="164">
        <f>COUNTIF(F59:F60, "Y")</f>
        <v>0</v>
      </c>
      <c r="H59" s="164">
        <f>COUNTA(F59:F60)</f>
        <v>0</v>
      </c>
      <c r="I59" s="35"/>
    </row>
    <row r="60" spans="1:9" x14ac:dyDescent="0.2">
      <c r="A60" s="35"/>
      <c r="B60" s="35" t="s">
        <v>340</v>
      </c>
      <c r="C60" s="35"/>
      <c r="D60" s="35"/>
      <c r="E60" s="35"/>
      <c r="F60" s="36"/>
      <c r="G60" s="164"/>
      <c r="H60" s="164"/>
      <c r="I60" s="35"/>
    </row>
    <row r="61" spans="1:9" x14ac:dyDescent="0.2">
      <c r="A61" s="141" t="s">
        <v>341</v>
      </c>
      <c r="B61" s="141"/>
      <c r="C61" s="141"/>
      <c r="D61" s="141"/>
      <c r="E61" s="141"/>
      <c r="F61" s="141"/>
      <c r="G61" s="164"/>
      <c r="H61" s="164"/>
      <c r="I61" s="141"/>
    </row>
    <row r="62" spans="1:9" ht="21" x14ac:dyDescent="0.2">
      <c r="A62" s="62"/>
      <c r="B62" s="62" t="s">
        <v>342</v>
      </c>
      <c r="C62" s="62"/>
      <c r="D62" s="62"/>
      <c r="E62" s="62"/>
      <c r="F62" s="36"/>
      <c r="G62" s="56">
        <f>COUNTIF(F62:F62, "Y")</f>
        <v>0</v>
      </c>
      <c r="H62" s="56">
        <f>COUNTA(F62:F62)</f>
        <v>0</v>
      </c>
      <c r="I62" s="35"/>
    </row>
    <row r="63" spans="1:9" ht="21" x14ac:dyDescent="0.2">
      <c r="A63" s="65"/>
      <c r="B63" s="65"/>
      <c r="C63" s="65" t="s">
        <v>343</v>
      </c>
      <c r="D63" s="65"/>
      <c r="E63" s="65"/>
      <c r="F63" s="36"/>
      <c r="G63" s="56">
        <f>COUNTIF(F63:F63, "Y")</f>
        <v>0</v>
      </c>
      <c r="H63" s="56">
        <f>COUNTA(F63:F63)</f>
        <v>0</v>
      </c>
      <c r="I63" s="35"/>
    </row>
    <row r="64" spans="1:9" x14ac:dyDescent="0.2">
      <c r="A64" s="141" t="s">
        <v>344</v>
      </c>
      <c r="B64" s="141"/>
      <c r="C64" s="141"/>
      <c r="D64" s="141"/>
      <c r="E64" s="141"/>
      <c r="F64" s="141"/>
      <c r="G64" s="164"/>
      <c r="H64" s="164"/>
      <c r="I64" s="141"/>
    </row>
    <row r="65" spans="1:9" ht="31.5" x14ac:dyDescent="0.2">
      <c r="A65" s="62"/>
      <c r="B65" s="62" t="s">
        <v>345</v>
      </c>
      <c r="C65" s="62"/>
      <c r="D65" s="62"/>
      <c r="E65" s="62"/>
      <c r="F65" s="36"/>
      <c r="G65" s="56">
        <f>COUNTIF(F65:F65, "Y")</f>
        <v>0</v>
      </c>
      <c r="H65" s="56">
        <f>COUNTA(F65:F65)</f>
        <v>0</v>
      </c>
      <c r="I65" s="35"/>
    </row>
    <row r="66" spans="1:9" ht="31.5" x14ac:dyDescent="0.2">
      <c r="A66" s="65"/>
      <c r="B66" s="65"/>
      <c r="C66" s="65" t="s">
        <v>346</v>
      </c>
      <c r="D66" s="65"/>
      <c r="E66" s="65"/>
      <c r="F66" s="36"/>
      <c r="G66" s="164">
        <f>COUNTIF(F66:F67, "Y")</f>
        <v>0</v>
      </c>
      <c r="H66" s="164">
        <f>COUNTA(F66:F67)</f>
        <v>0</v>
      </c>
      <c r="I66" s="35"/>
    </row>
    <row r="67" spans="1:9" x14ac:dyDescent="0.2">
      <c r="A67" s="35"/>
      <c r="B67" s="35"/>
      <c r="C67" s="35" t="s">
        <v>347</v>
      </c>
      <c r="D67" s="35"/>
      <c r="E67" s="35"/>
      <c r="F67" s="36"/>
      <c r="G67" s="164"/>
      <c r="H67" s="164"/>
      <c r="I67" s="35"/>
    </row>
    <row r="68" spans="1:9" x14ac:dyDescent="0.2">
      <c r="A68" s="151" t="s">
        <v>206</v>
      </c>
      <c r="B68" s="151"/>
      <c r="C68" s="151"/>
      <c r="D68" s="152"/>
      <c r="E68" s="151"/>
      <c r="F68" s="151"/>
      <c r="G68" s="175"/>
      <c r="H68" s="176"/>
      <c r="I68" s="151"/>
    </row>
    <row r="69" spans="1:9" x14ac:dyDescent="0.2">
      <c r="A69" s="60">
        <f>IFERROR(ROUND((SUM(G5,G20,G28,G34,G40,G46)/SUM(H5,H20,H28,H34,H40,H46)),2),0)</f>
        <v>0</v>
      </c>
      <c r="B69" s="60">
        <f>IFERROR(ROUND((SUM(G12,G21,G30,G36,G41,G47,G54,G57,G59,G62,G65)/SUM(H12,H21,H30,H36,H41,H47,H54,H57,H59,H62,H65)),2),0)</f>
        <v>0</v>
      </c>
      <c r="C69" s="60">
        <f>IFERROR(ROUND((SUM(G17,G24,G32,G43,G50,G63,G66)/SUM(H17,H24,H32,H43,H50,H63,H66)),2),0)</f>
        <v>0</v>
      </c>
      <c r="D69" s="60">
        <f>IFERROR(ROUND((SUM(G52)/SUM(H52)),2),0)</f>
        <v>0</v>
      </c>
      <c r="E69" s="60">
        <v>0</v>
      </c>
      <c r="F69" s="57"/>
      <c r="G69" s="95"/>
      <c r="H69" s="112"/>
      <c r="I69" s="57"/>
    </row>
    <row r="70" spans="1:9" x14ac:dyDescent="0.2">
      <c r="A70" s="151" t="s">
        <v>207</v>
      </c>
      <c r="B70" s="155"/>
      <c r="C70" s="155"/>
      <c r="D70" s="155"/>
      <c r="E70" s="155"/>
      <c r="F70" s="155"/>
      <c r="G70" s="173"/>
      <c r="H70" s="174"/>
      <c r="I70" s="155"/>
    </row>
    <row r="71" spans="1:9" x14ac:dyDescent="0.2">
      <c r="A71" s="86">
        <v>0.8</v>
      </c>
      <c r="B71" s="86">
        <v>0.8</v>
      </c>
      <c r="C71" s="86">
        <v>0.8</v>
      </c>
      <c r="D71" s="86">
        <v>0.8</v>
      </c>
      <c r="E71" s="86">
        <v>0.8</v>
      </c>
      <c r="F71" s="85"/>
      <c r="G71" s="95"/>
      <c r="H71" s="112"/>
      <c r="I71" s="85"/>
    </row>
    <row r="72" spans="1:9" x14ac:dyDescent="0.2">
      <c r="A72" s="87"/>
      <c r="B72" s="88"/>
      <c r="C72" s="88"/>
      <c r="D72" s="88"/>
      <c r="E72" s="89"/>
      <c r="F72" s="32" t="s">
        <v>44</v>
      </c>
      <c r="G72" s="113"/>
      <c r="H72" s="114"/>
      <c r="I72" s="91"/>
    </row>
    <row r="73" spans="1:9" ht="34.5" customHeight="1" x14ac:dyDescent="0.2">
      <c r="A73" s="125" t="e">
        <f ca="1">IF(GTE(A69,A71),"D1", "")</f>
        <v>#NAME?</v>
      </c>
      <c r="B73" s="125" t="e">
        <f ca="1">IF(AND(IF((A73=""), FALSE, TRUE), GTE(B69,B71)),"D2","" )</f>
        <v>#NAME?</v>
      </c>
      <c r="C73" s="125" t="e">
        <f ca="1">IF(AND(IF((B73=""), FALSE, TRUE), GTE(C69,C71)),"D3","")</f>
        <v>#NAME?</v>
      </c>
      <c r="D73" s="125" t="e">
        <f ca="1">IF(AND(IF((C73=""), FALSE, TRUE),GTE(D69,D71)),"D4", "")</f>
        <v>#NAME?</v>
      </c>
      <c r="E73" s="93" t="e">
        <f ca="1">IF(AND(IF((D73=""), FALSE, TRUE), GTE(E69,E71)),"D5", "")</f>
        <v>#NAME?</v>
      </c>
      <c r="F73" s="94" t="e">
        <f>IF(IF((A73=""), FALSE, TRUE),CHOOSE(COUNTA(A73:D73),'Assesment Rules'!B4,'Assesment Rules'!B5,'Assesment Rules'!B6,'Assesment Rules'!B7,'Assesment Rules'!B8), "None")</f>
        <v>#NAME?</v>
      </c>
      <c r="G73" s="95"/>
      <c r="H73" s="112"/>
      <c r="I73" s="57"/>
    </row>
    <row r="74" spans="1:9" ht="15" x14ac:dyDescent="0.2">
      <c r="A74" s="183" t="s">
        <v>39</v>
      </c>
      <c r="B74" s="183"/>
      <c r="C74" s="183"/>
      <c r="D74" s="183"/>
      <c r="E74" s="183"/>
      <c r="F74" s="182"/>
      <c r="G74" s="164">
        <f>COUNTIF(F74:F74, "Y")</f>
        <v>0</v>
      </c>
      <c r="H74" s="164">
        <f>COUNTA(F74:F74)</f>
        <v>0</v>
      </c>
      <c r="I74" s="183"/>
    </row>
    <row r="75" spans="1:9" x14ac:dyDescent="0.2">
      <c r="A75" s="141" t="s">
        <v>284</v>
      </c>
      <c r="B75" s="141"/>
      <c r="C75" s="141"/>
      <c r="D75" s="141"/>
      <c r="E75" s="141"/>
      <c r="F75" s="182"/>
      <c r="G75" s="164">
        <f>COUNTIF(F75:F75, "Y")</f>
        <v>0</v>
      </c>
      <c r="H75" s="164">
        <f>COUNTA(F75:F75)</f>
        <v>0</v>
      </c>
      <c r="I75" s="141"/>
    </row>
    <row r="76" spans="1:9" x14ac:dyDescent="0.2">
      <c r="A76" s="35"/>
      <c r="B76" s="35" t="s">
        <v>348</v>
      </c>
      <c r="C76" s="35"/>
      <c r="D76" s="35"/>
      <c r="E76" s="35"/>
      <c r="F76" s="36"/>
      <c r="G76" s="56">
        <f>COUNTIF(F76:F76, "Y")</f>
        <v>0</v>
      </c>
      <c r="H76" s="56">
        <f>COUNTA(F76:F76)</f>
        <v>0</v>
      </c>
      <c r="I76" s="35"/>
    </row>
    <row r="77" spans="1:9" x14ac:dyDescent="0.2">
      <c r="A77" s="141" t="s">
        <v>307</v>
      </c>
      <c r="B77" s="166"/>
      <c r="C77" s="141"/>
      <c r="D77" s="141"/>
      <c r="E77" s="141"/>
      <c r="F77" s="182"/>
      <c r="G77" s="164"/>
      <c r="H77" s="164"/>
      <c r="I77" s="141"/>
    </row>
    <row r="78" spans="1:9" ht="21" x14ac:dyDescent="0.2">
      <c r="A78" s="62"/>
      <c r="B78" s="71" t="s">
        <v>349</v>
      </c>
      <c r="C78" s="62"/>
      <c r="D78" s="62"/>
      <c r="E78" s="62"/>
      <c r="F78" s="36"/>
      <c r="G78" s="56">
        <f>COUNTIF(F78:F78, "Y")</f>
        <v>0</v>
      </c>
      <c r="H78" s="56">
        <f>COUNTA(F78:F78)</f>
        <v>0</v>
      </c>
      <c r="I78" s="35"/>
    </row>
    <row r="79" spans="1:9" ht="21" x14ac:dyDescent="0.2">
      <c r="A79" s="65"/>
      <c r="B79" s="127"/>
      <c r="C79" s="65" t="s">
        <v>350</v>
      </c>
      <c r="D79" s="65"/>
      <c r="E79" s="65"/>
      <c r="F79" s="36"/>
      <c r="G79" s="56">
        <f>COUNTIF(F79:F79, "Y")</f>
        <v>0</v>
      </c>
      <c r="H79" s="56">
        <f>COUNTA(F79:F79)</f>
        <v>0</v>
      </c>
      <c r="I79" s="35"/>
    </row>
    <row r="80" spans="1:9" x14ac:dyDescent="0.2">
      <c r="A80" s="141" t="s">
        <v>313</v>
      </c>
      <c r="B80" s="166"/>
      <c r="C80" s="141"/>
      <c r="D80" s="141"/>
      <c r="E80" s="141"/>
      <c r="F80" s="182"/>
      <c r="G80" s="164"/>
      <c r="H80" s="164"/>
      <c r="I80" s="141"/>
    </row>
    <row r="81" spans="1:9" x14ac:dyDescent="0.2">
      <c r="A81" s="35" t="s">
        <v>351</v>
      </c>
      <c r="B81" s="65"/>
      <c r="C81" s="35"/>
      <c r="D81" s="35"/>
      <c r="E81" s="35"/>
      <c r="F81" s="36"/>
      <c r="G81" s="164">
        <f>COUNTIF(F81:F82, "Y")</f>
        <v>0</v>
      </c>
      <c r="H81" s="164">
        <f>COUNTA(F81:F82)</f>
        <v>0</v>
      </c>
      <c r="I81" s="35"/>
    </row>
    <row r="82" spans="1:9" ht="31.5" x14ac:dyDescent="0.2">
      <c r="A82" s="35" t="s">
        <v>352</v>
      </c>
      <c r="B82" s="35"/>
      <c r="C82" s="35"/>
      <c r="D82" s="35"/>
      <c r="E82" s="35"/>
      <c r="F82" s="36"/>
      <c r="G82" s="164"/>
      <c r="H82" s="164"/>
      <c r="I82" s="35"/>
    </row>
    <row r="83" spans="1:9" ht="21" x14ac:dyDescent="0.2">
      <c r="A83" s="62"/>
      <c r="B83" s="35" t="s">
        <v>353</v>
      </c>
      <c r="C83" s="62"/>
      <c r="D83" s="62"/>
      <c r="E83" s="62"/>
      <c r="F83" s="36"/>
      <c r="G83" s="164">
        <f>COUNTIF(F83:F88, "Y")</f>
        <v>0</v>
      </c>
      <c r="H83" s="164">
        <f>COUNTA(F83:F88)</f>
        <v>0</v>
      </c>
      <c r="I83" s="35"/>
    </row>
    <row r="84" spans="1:9" ht="21" x14ac:dyDescent="0.2">
      <c r="A84" s="65"/>
      <c r="B84" s="35" t="s">
        <v>354</v>
      </c>
      <c r="C84" s="65"/>
      <c r="D84" s="65"/>
      <c r="E84" s="65"/>
      <c r="F84" s="36"/>
      <c r="G84" s="164"/>
      <c r="H84" s="164"/>
      <c r="I84" s="35"/>
    </row>
    <row r="85" spans="1:9" x14ac:dyDescent="0.2">
      <c r="A85" s="35"/>
      <c r="B85" s="35" t="s">
        <v>355</v>
      </c>
      <c r="C85" s="35"/>
      <c r="D85" s="35"/>
      <c r="E85" s="35"/>
      <c r="F85" s="36"/>
      <c r="G85" s="164"/>
      <c r="H85" s="164"/>
      <c r="I85" s="35"/>
    </row>
    <row r="86" spans="1:9" x14ac:dyDescent="0.2">
      <c r="A86" s="35"/>
      <c r="B86" s="62" t="s">
        <v>356</v>
      </c>
      <c r="C86" s="35"/>
      <c r="D86" s="35"/>
      <c r="E86" s="35"/>
      <c r="F86" s="36"/>
      <c r="G86" s="164"/>
      <c r="H86" s="164"/>
      <c r="I86" s="35"/>
    </row>
    <row r="87" spans="1:9" x14ac:dyDescent="0.2">
      <c r="A87" s="35"/>
      <c r="B87" s="65" t="s">
        <v>357</v>
      </c>
      <c r="C87" s="35"/>
      <c r="D87" s="35"/>
      <c r="E87" s="35"/>
      <c r="F87" s="36"/>
      <c r="G87" s="164"/>
      <c r="H87" s="164"/>
      <c r="I87" s="35"/>
    </row>
    <row r="88" spans="1:9" ht="21" x14ac:dyDescent="0.2">
      <c r="A88" s="62"/>
      <c r="B88" s="35" t="s">
        <v>358</v>
      </c>
      <c r="C88" s="62"/>
      <c r="D88" s="62"/>
      <c r="E88" s="62"/>
      <c r="F88" s="36"/>
      <c r="G88" s="164"/>
      <c r="H88" s="164"/>
      <c r="I88" s="35"/>
    </row>
    <row r="89" spans="1:9" ht="42" x14ac:dyDescent="0.2">
      <c r="A89" s="65"/>
      <c r="B89" s="35"/>
      <c r="C89" s="65" t="s">
        <v>359</v>
      </c>
      <c r="D89" s="65"/>
      <c r="E89" s="65"/>
      <c r="F89" s="36"/>
      <c r="G89" s="164">
        <f>COUNTIF(F89:F90, "Y")</f>
        <v>0</v>
      </c>
      <c r="H89" s="164">
        <f>COUNTA(F89:F90)</f>
        <v>0</v>
      </c>
      <c r="I89" s="35"/>
    </row>
    <row r="90" spans="1:9" x14ac:dyDescent="0.2">
      <c r="A90" s="35"/>
      <c r="B90" s="35"/>
      <c r="C90" s="35" t="s">
        <v>360</v>
      </c>
      <c r="D90" s="35"/>
      <c r="E90" s="35"/>
      <c r="F90" s="36"/>
      <c r="G90" s="164"/>
      <c r="H90" s="164"/>
      <c r="I90" s="35"/>
    </row>
    <row r="91" spans="1:9" x14ac:dyDescent="0.2">
      <c r="A91" s="141" t="s">
        <v>319</v>
      </c>
      <c r="B91" s="141"/>
      <c r="C91" s="141"/>
      <c r="D91" s="141"/>
      <c r="E91" s="141"/>
      <c r="F91" s="182"/>
      <c r="G91" s="164"/>
      <c r="H91" s="164"/>
      <c r="I91" s="141"/>
    </row>
    <row r="92" spans="1:9" ht="21" x14ac:dyDescent="0.2">
      <c r="A92" s="35"/>
      <c r="B92" s="35" t="s">
        <v>361</v>
      </c>
      <c r="C92" s="35"/>
      <c r="D92" s="35"/>
      <c r="E92" s="35"/>
      <c r="F92" s="36"/>
      <c r="G92" s="56">
        <f>COUNTIF(F92:F92, "Y")</f>
        <v>0</v>
      </c>
      <c r="H92" s="56">
        <f>COUNTA(F92:F92)</f>
        <v>0</v>
      </c>
      <c r="I92" s="35"/>
    </row>
    <row r="93" spans="1:9" x14ac:dyDescent="0.2">
      <c r="A93" s="141" t="s">
        <v>338</v>
      </c>
      <c r="B93" s="141"/>
      <c r="C93" s="141"/>
      <c r="D93" s="141"/>
      <c r="E93" s="141"/>
      <c r="F93" s="182"/>
      <c r="G93" s="164"/>
      <c r="H93" s="164"/>
      <c r="I93" s="141"/>
    </row>
    <row r="94" spans="1:9" x14ac:dyDescent="0.2">
      <c r="A94" s="35"/>
      <c r="B94" s="35" t="s">
        <v>362</v>
      </c>
      <c r="C94" s="35"/>
      <c r="D94" s="35"/>
      <c r="E94" s="35"/>
      <c r="F94" s="36"/>
      <c r="G94" s="56">
        <f>COUNTIF(F94:F94, "Y")</f>
        <v>0</v>
      </c>
      <c r="H94" s="56">
        <f>COUNTA(F94:F94)</f>
        <v>0</v>
      </c>
      <c r="I94" s="35"/>
    </row>
    <row r="95" spans="1:9" x14ac:dyDescent="0.2">
      <c r="A95" s="141" t="s">
        <v>333</v>
      </c>
      <c r="B95" s="141"/>
      <c r="C95" s="141"/>
      <c r="D95" s="141"/>
      <c r="E95" s="141"/>
      <c r="F95" s="182"/>
      <c r="G95" s="164"/>
      <c r="H95" s="164"/>
      <c r="I95" s="141"/>
    </row>
    <row r="96" spans="1:9" ht="31.5" x14ac:dyDescent="0.2">
      <c r="A96" s="35" t="s">
        <v>363</v>
      </c>
      <c r="B96" s="35"/>
      <c r="C96" s="35"/>
      <c r="D96" s="35"/>
      <c r="E96" s="35"/>
      <c r="F96" s="36"/>
      <c r="G96" s="56">
        <f>COUNTIF(F96:F96, "Y")</f>
        <v>0</v>
      </c>
      <c r="H96" s="56">
        <f>COUNTA(F96:F96)</f>
        <v>0</v>
      </c>
      <c r="I96" s="35"/>
    </row>
    <row r="97" spans="1:9" ht="21" x14ac:dyDescent="0.2">
      <c r="A97" s="35"/>
      <c r="B97" s="35" t="s">
        <v>364</v>
      </c>
      <c r="C97" s="35"/>
      <c r="D97" s="35"/>
      <c r="E97" s="35"/>
      <c r="F97" s="36"/>
      <c r="G97" s="56">
        <f>COUNTIF(F97:F97, "Y")</f>
        <v>0</v>
      </c>
      <c r="H97" s="56">
        <f>COUNTA(F97:F97)</f>
        <v>0</v>
      </c>
      <c r="I97" s="35"/>
    </row>
    <row r="98" spans="1:9" x14ac:dyDescent="0.2">
      <c r="A98" s="141" t="s">
        <v>365</v>
      </c>
      <c r="B98" s="141"/>
      <c r="C98" s="141"/>
      <c r="D98" s="141"/>
      <c r="E98" s="141"/>
      <c r="F98" s="182"/>
      <c r="G98" s="164"/>
      <c r="H98" s="164"/>
      <c r="I98" s="141"/>
    </row>
    <row r="99" spans="1:9" x14ac:dyDescent="0.2">
      <c r="A99" s="35"/>
      <c r="B99" s="35"/>
      <c r="C99" s="35" t="s">
        <v>366</v>
      </c>
      <c r="D99" s="35"/>
      <c r="E99" s="35"/>
      <c r="F99" s="36"/>
      <c r="G99" s="56">
        <f>COUNTIF(F99:F99, "Y")</f>
        <v>0</v>
      </c>
      <c r="H99" s="56">
        <f>COUNTA(F99:F99)</f>
        <v>0</v>
      </c>
      <c r="I99" s="35"/>
    </row>
    <row r="100" spans="1:9" x14ac:dyDescent="0.2">
      <c r="A100" s="141" t="s">
        <v>367</v>
      </c>
      <c r="B100" s="141"/>
      <c r="C100" s="141"/>
      <c r="D100" s="141"/>
      <c r="E100" s="141"/>
      <c r="F100" s="182"/>
      <c r="G100" s="164"/>
      <c r="H100" s="164"/>
      <c r="I100" s="141"/>
    </row>
    <row r="101" spans="1:9" x14ac:dyDescent="0.2">
      <c r="A101" s="35"/>
      <c r="C101" s="35" t="s">
        <v>368</v>
      </c>
      <c r="D101" s="35"/>
      <c r="E101" s="35"/>
      <c r="F101" s="36"/>
      <c r="G101" s="164">
        <f>COUNTIF(F101:F105, "Y")</f>
        <v>0</v>
      </c>
      <c r="H101" s="164">
        <f>COUNTA(F101:F105)</f>
        <v>0</v>
      </c>
      <c r="I101" s="35"/>
    </row>
    <row r="102" spans="1:9" x14ac:dyDescent="0.2">
      <c r="A102" s="35"/>
      <c r="B102" s="35"/>
      <c r="C102" s="35" t="s">
        <v>369</v>
      </c>
      <c r="D102" s="35"/>
      <c r="E102" s="35"/>
      <c r="F102" s="36"/>
      <c r="G102" s="164"/>
      <c r="H102" s="164"/>
      <c r="I102" s="35"/>
    </row>
    <row r="103" spans="1:9" x14ac:dyDescent="0.2">
      <c r="A103" s="35"/>
      <c r="B103" s="35"/>
      <c r="C103" s="35" t="s">
        <v>370</v>
      </c>
      <c r="D103" s="35"/>
      <c r="E103" s="35"/>
      <c r="F103" s="36"/>
      <c r="G103" s="164"/>
      <c r="H103" s="164"/>
      <c r="I103" s="35"/>
    </row>
    <row r="104" spans="1:9" x14ac:dyDescent="0.2">
      <c r="A104" s="35"/>
      <c r="B104" s="35"/>
      <c r="C104" s="35" t="s">
        <v>371</v>
      </c>
      <c r="D104" s="35"/>
      <c r="E104" s="35"/>
      <c r="F104" s="36"/>
      <c r="G104" s="164"/>
      <c r="H104" s="164"/>
      <c r="I104" s="35"/>
    </row>
    <row r="105" spans="1:9" x14ac:dyDescent="0.2">
      <c r="A105" s="35"/>
      <c r="B105" s="35"/>
      <c r="C105" s="35" t="s">
        <v>372</v>
      </c>
      <c r="D105" s="35"/>
      <c r="E105" s="35"/>
      <c r="F105" s="36"/>
      <c r="G105" s="164"/>
      <c r="H105" s="164"/>
      <c r="I105" s="35"/>
    </row>
    <row r="106" spans="1:9" x14ac:dyDescent="0.2">
      <c r="A106" s="141" t="s">
        <v>341</v>
      </c>
      <c r="B106" s="141"/>
      <c r="C106" s="141"/>
      <c r="D106" s="141"/>
      <c r="E106" s="141"/>
      <c r="F106" s="182"/>
      <c r="G106" s="164"/>
      <c r="H106" s="164"/>
      <c r="I106" s="141"/>
    </row>
    <row r="107" spans="1:9" ht="21" x14ac:dyDescent="0.2">
      <c r="A107" s="62"/>
      <c r="B107" s="62" t="s">
        <v>373</v>
      </c>
      <c r="C107" s="62"/>
      <c r="D107" s="62"/>
      <c r="E107" s="62"/>
      <c r="F107" s="36"/>
      <c r="G107" s="56">
        <f>COUNTIF(F107:F107, "Y")</f>
        <v>0</v>
      </c>
      <c r="H107" s="56">
        <f>COUNTA(F107:F107)</f>
        <v>0</v>
      </c>
      <c r="I107" s="35"/>
    </row>
    <row r="108" spans="1:9" x14ac:dyDescent="0.2">
      <c r="A108" s="65"/>
      <c r="B108" s="65"/>
      <c r="C108" s="65" t="s">
        <v>374</v>
      </c>
      <c r="D108" s="65"/>
      <c r="E108" s="65"/>
      <c r="F108" s="36"/>
      <c r="G108" s="164">
        <f>COUNTIF(F108:F109, "Y")</f>
        <v>0</v>
      </c>
      <c r="H108" s="164">
        <f>COUNTA(F108:F109)</f>
        <v>0</v>
      </c>
      <c r="I108" s="35"/>
    </row>
    <row r="109" spans="1:9" x14ac:dyDescent="0.2">
      <c r="A109" s="35"/>
      <c r="B109" s="35"/>
      <c r="C109" s="35" t="s">
        <v>375</v>
      </c>
      <c r="D109" s="35"/>
      <c r="E109" s="35"/>
      <c r="F109" s="36"/>
      <c r="G109" s="164"/>
      <c r="H109" s="164"/>
      <c r="I109" s="35"/>
    </row>
    <row r="110" spans="1:9" x14ac:dyDescent="0.2">
      <c r="A110" s="141" t="s">
        <v>344</v>
      </c>
      <c r="B110" s="141"/>
      <c r="C110" s="141"/>
      <c r="D110" s="141"/>
      <c r="E110" s="141"/>
      <c r="F110" s="182"/>
      <c r="G110" s="164"/>
      <c r="H110" s="164"/>
      <c r="I110" s="141"/>
    </row>
    <row r="111" spans="1:9" ht="21" x14ac:dyDescent="0.2">
      <c r="A111" s="35"/>
      <c r="B111" s="35"/>
      <c r="C111" s="62" t="s">
        <v>376</v>
      </c>
      <c r="D111" s="35"/>
      <c r="E111" s="35"/>
      <c r="F111" s="36"/>
      <c r="G111" s="56">
        <f>COUNTIF(F111:F111, "Y")</f>
        <v>0</v>
      </c>
      <c r="H111" s="56">
        <f>COUNTA(F111:F111)</f>
        <v>0</v>
      </c>
      <c r="I111" s="35"/>
    </row>
    <row r="112" spans="1:9" ht="21" x14ac:dyDescent="0.2">
      <c r="A112" s="35"/>
      <c r="B112" s="35"/>
      <c r="C112" s="65"/>
      <c r="D112" s="35" t="s">
        <v>377</v>
      </c>
      <c r="E112" s="35"/>
      <c r="F112" s="36"/>
      <c r="G112" s="164">
        <f>COUNTIF(F112:F119, "Y")</f>
        <v>0</v>
      </c>
      <c r="H112" s="164">
        <f>COUNTA(F112:F119)</f>
        <v>0</v>
      </c>
      <c r="I112" s="35"/>
    </row>
    <row r="113" spans="1:9" ht="31.5" x14ac:dyDescent="0.2">
      <c r="A113" s="35"/>
      <c r="B113" s="35"/>
      <c r="C113" s="35"/>
      <c r="D113" s="35" t="s">
        <v>378</v>
      </c>
      <c r="E113" s="35"/>
      <c r="F113" s="36"/>
      <c r="G113" s="164"/>
      <c r="H113" s="164"/>
      <c r="I113" s="35"/>
    </row>
    <row r="114" spans="1:9" ht="21" x14ac:dyDescent="0.2">
      <c r="A114" s="35"/>
      <c r="B114" s="35"/>
      <c r="C114" s="35"/>
      <c r="D114" s="35" t="s">
        <v>379</v>
      </c>
      <c r="E114" s="35"/>
      <c r="F114" s="36"/>
      <c r="G114" s="164"/>
      <c r="H114" s="164"/>
      <c r="I114" s="35"/>
    </row>
    <row r="115" spans="1:9" x14ac:dyDescent="0.2">
      <c r="A115" s="35"/>
      <c r="B115" s="35"/>
      <c r="C115" s="35"/>
      <c r="D115" s="35" t="s">
        <v>380</v>
      </c>
      <c r="E115" s="35"/>
      <c r="F115" s="36"/>
      <c r="G115" s="164"/>
      <c r="H115" s="164"/>
      <c r="I115" s="35"/>
    </row>
    <row r="116" spans="1:9" x14ac:dyDescent="0.2">
      <c r="A116" s="35"/>
      <c r="B116" s="35"/>
      <c r="C116" s="35"/>
      <c r="D116" s="35" t="s">
        <v>381</v>
      </c>
      <c r="E116" s="35"/>
      <c r="F116" s="36"/>
      <c r="G116" s="164"/>
      <c r="H116" s="164"/>
      <c r="I116" s="35"/>
    </row>
    <row r="117" spans="1:9" x14ac:dyDescent="0.2">
      <c r="A117" s="35"/>
      <c r="B117" s="35"/>
      <c r="C117" s="35"/>
      <c r="D117" s="35" t="s">
        <v>382</v>
      </c>
      <c r="E117" s="35"/>
      <c r="F117" s="36"/>
      <c r="G117" s="164"/>
      <c r="H117" s="164"/>
      <c r="I117" s="35"/>
    </row>
    <row r="118" spans="1:9" x14ac:dyDescent="0.2">
      <c r="A118" s="35"/>
      <c r="B118" s="35"/>
      <c r="C118" s="35"/>
      <c r="D118" s="35" t="s">
        <v>383</v>
      </c>
      <c r="E118" s="35"/>
      <c r="F118" s="36"/>
      <c r="G118" s="164"/>
      <c r="H118" s="164"/>
      <c r="I118" s="35"/>
    </row>
    <row r="119" spans="1:9" x14ac:dyDescent="0.2">
      <c r="A119" s="35"/>
      <c r="B119" s="35"/>
      <c r="C119" s="35"/>
      <c r="D119" s="35" t="s">
        <v>384</v>
      </c>
      <c r="E119" s="35"/>
      <c r="F119" s="36"/>
      <c r="G119" s="164"/>
      <c r="H119" s="164"/>
      <c r="I119" s="35"/>
    </row>
    <row r="120" spans="1:9" x14ac:dyDescent="0.2">
      <c r="A120" s="151" t="s">
        <v>206</v>
      </c>
      <c r="B120" s="151"/>
      <c r="C120" s="151"/>
      <c r="D120" s="152"/>
      <c r="E120" s="151"/>
      <c r="F120" s="151"/>
      <c r="G120" s="175"/>
      <c r="H120" s="176"/>
      <c r="I120" s="151"/>
    </row>
    <row r="121" spans="1:9" x14ac:dyDescent="0.2">
      <c r="A121" s="60">
        <f>IFERROR(ROUND((SUM(G96,G81)/SUM(H96,H81)),2),0)</f>
        <v>0</v>
      </c>
      <c r="B121" s="60">
        <f>IFERROR(ROUND((SUM(G107,G97,G94,G92,G83,G78,G76)/SUM(H107,H97,H94,H92,H83,H78,H76)),2),0)</f>
        <v>0</v>
      </c>
      <c r="C121" s="60">
        <f>IFERROR(ROUND((SUM(G111,G79,G89,G99,G101,G108)/SUM(H111,H79,H89,H99,H101,H108)),2),0)</f>
        <v>0</v>
      </c>
      <c r="D121" s="60">
        <f>IFERROR(ROUND((SUM(G112)/SUM(H112)),2),0)</f>
        <v>0</v>
      </c>
      <c r="E121" s="60">
        <v>0</v>
      </c>
      <c r="F121" s="57"/>
      <c r="G121" s="95"/>
      <c r="H121" s="112"/>
      <c r="I121" s="57"/>
    </row>
    <row r="122" spans="1:9" x14ac:dyDescent="0.2">
      <c r="A122" s="151" t="s">
        <v>207</v>
      </c>
      <c r="B122" s="155"/>
      <c r="C122" s="155"/>
      <c r="D122" s="155"/>
      <c r="E122" s="155"/>
      <c r="F122" s="155"/>
      <c r="G122" s="173"/>
      <c r="H122" s="174"/>
      <c r="I122" s="155"/>
    </row>
    <row r="123" spans="1:9" x14ac:dyDescent="0.2">
      <c r="A123" s="86">
        <v>0.8</v>
      </c>
      <c r="B123" s="86">
        <v>0.8</v>
      </c>
      <c r="C123" s="86">
        <v>0.8</v>
      </c>
      <c r="D123" s="86">
        <v>0.8</v>
      </c>
      <c r="E123" s="86">
        <v>0.8</v>
      </c>
      <c r="F123" s="85"/>
      <c r="G123" s="95"/>
      <c r="H123" s="112"/>
      <c r="I123" s="85"/>
    </row>
    <row r="124" spans="1:9" x14ac:dyDescent="0.2">
      <c r="A124" s="87"/>
      <c r="B124" s="88"/>
      <c r="C124" s="88"/>
      <c r="D124" s="88"/>
      <c r="E124" s="89"/>
      <c r="F124" s="32" t="s">
        <v>44</v>
      </c>
      <c r="G124" s="113"/>
      <c r="H124" s="114"/>
      <c r="I124" s="91"/>
    </row>
    <row r="125" spans="1:9" ht="21" customHeight="1" x14ac:dyDescent="0.2">
      <c r="A125" s="125" t="e">
        <f ca="1">IF(GTE(A121,A123),"D1", "")</f>
        <v>#NAME?</v>
      </c>
      <c r="B125" s="125" t="e">
        <f ca="1">IF(AND(IF((A125=""), FALSE, TRUE), GTE(B121,B123)),"D2","" )</f>
        <v>#NAME?</v>
      </c>
      <c r="C125" s="125" t="e">
        <f ca="1">IF(AND(IF((B125=""), FALSE, TRUE), GTE(C121,C123)),"D3","")</f>
        <v>#NAME?</v>
      </c>
      <c r="D125" s="125" t="e">
        <f ca="1">IF(AND(IF((C125=""), FALSE, TRUE),GTE(D121,D123)),"D4", "")</f>
        <v>#NAME?</v>
      </c>
      <c r="E125" s="128" t="e">
        <f ca="1">IF(AND(IF((D125=""), FALSE, TRUE), GTE(E121,E123)),"D5", "")</f>
        <v>#NAME?</v>
      </c>
      <c r="F125" s="94" t="e">
        <f>IF(IF((A125=""), FALSE, TRUE),CHOOSE(COUNTA(A125:D125),'Assesment Rules'!B4,'Assesment Rules'!B5,'Assesment Rules'!B6,'Assesment Rules'!B7,'Assesment Rules'!B8), "None")</f>
        <v>#NAME?</v>
      </c>
      <c r="G125" s="95"/>
      <c r="H125" s="112"/>
      <c r="I125" s="57"/>
    </row>
    <row r="126" spans="1:9" ht="15" x14ac:dyDescent="0.2">
      <c r="A126" s="183" t="s">
        <v>385</v>
      </c>
      <c r="B126" s="183"/>
      <c r="C126" s="183"/>
      <c r="D126" s="183"/>
      <c r="E126" s="183"/>
      <c r="F126" s="183"/>
      <c r="G126" s="184"/>
      <c r="H126" s="184"/>
      <c r="I126" s="183"/>
    </row>
    <row r="127" spans="1:9" x14ac:dyDescent="0.2">
      <c r="A127" s="141" t="s">
        <v>386</v>
      </c>
      <c r="B127" s="141"/>
      <c r="C127" s="141"/>
      <c r="D127" s="141"/>
      <c r="E127" s="141"/>
      <c r="F127" s="182"/>
      <c r="G127" s="164"/>
      <c r="H127" s="164"/>
      <c r="I127" s="141"/>
    </row>
    <row r="128" spans="1:9" x14ac:dyDescent="0.2">
      <c r="A128" s="35"/>
      <c r="B128" s="35" t="s">
        <v>387</v>
      </c>
      <c r="C128" s="35"/>
      <c r="D128" s="35"/>
      <c r="E128" s="35"/>
      <c r="F128" s="36"/>
      <c r="G128" s="164">
        <f>COUNTIF(F128:F129, "Y")</f>
        <v>0</v>
      </c>
      <c r="H128" s="164">
        <f>COUNTA(F128:F129)</f>
        <v>0</v>
      </c>
      <c r="I128" s="35"/>
    </row>
    <row r="129" spans="1:9" x14ac:dyDescent="0.2">
      <c r="A129" s="35"/>
      <c r="B129" s="35" t="s">
        <v>388</v>
      </c>
      <c r="C129" s="35"/>
      <c r="D129" s="35"/>
      <c r="E129" s="35"/>
      <c r="F129" s="36"/>
      <c r="G129" s="164"/>
      <c r="H129" s="164"/>
      <c r="I129" s="35"/>
    </row>
    <row r="130" spans="1:9" x14ac:dyDescent="0.2">
      <c r="A130" s="35"/>
      <c r="B130" s="35"/>
      <c r="C130" s="35" t="s">
        <v>389</v>
      </c>
      <c r="D130" s="35"/>
      <c r="E130" s="35"/>
      <c r="F130" s="36"/>
      <c r="G130" s="164">
        <f>COUNTIF(F130:F133, "Y")</f>
        <v>0</v>
      </c>
      <c r="H130" s="164">
        <f>COUNTA(F130:F133)</f>
        <v>0</v>
      </c>
      <c r="I130" s="35"/>
    </row>
    <row r="131" spans="1:9" x14ac:dyDescent="0.2">
      <c r="A131" s="35"/>
      <c r="B131" s="35"/>
      <c r="C131" s="35" t="s">
        <v>390</v>
      </c>
      <c r="D131" s="35"/>
      <c r="E131" s="35"/>
      <c r="F131" s="36"/>
      <c r="G131" s="164"/>
      <c r="H131" s="164"/>
      <c r="I131" s="35"/>
    </row>
    <row r="132" spans="1:9" x14ac:dyDescent="0.2">
      <c r="A132" s="35"/>
      <c r="B132" s="35"/>
      <c r="C132" s="44" t="s">
        <v>391</v>
      </c>
      <c r="D132" s="35"/>
      <c r="E132" s="35"/>
      <c r="F132" s="36"/>
      <c r="G132" s="164"/>
      <c r="H132" s="164"/>
      <c r="I132" s="35"/>
    </row>
    <row r="133" spans="1:9" x14ac:dyDescent="0.2">
      <c r="A133" s="35"/>
      <c r="B133" s="35"/>
      <c r="C133" s="44" t="s">
        <v>392</v>
      </c>
      <c r="D133" s="35"/>
      <c r="E133" s="35"/>
      <c r="F133" s="36"/>
      <c r="G133" s="164"/>
      <c r="H133" s="164"/>
      <c r="I133" s="35"/>
    </row>
    <row r="134" spans="1:9" x14ac:dyDescent="0.2">
      <c r="A134" s="141" t="s">
        <v>393</v>
      </c>
      <c r="B134" s="141"/>
      <c r="C134" s="141"/>
      <c r="D134" s="141"/>
      <c r="E134" s="141"/>
      <c r="F134" s="182"/>
      <c r="G134" s="164"/>
      <c r="H134" s="164"/>
      <c r="I134" s="141"/>
    </row>
    <row r="135" spans="1:9" x14ac:dyDescent="0.2">
      <c r="A135" s="35"/>
      <c r="B135" s="35" t="s">
        <v>394</v>
      </c>
      <c r="C135" s="35"/>
      <c r="D135" s="35"/>
      <c r="E135" s="35"/>
      <c r="F135" s="36"/>
      <c r="G135" s="164">
        <f>COUNTIF(F135:F137, "Y")</f>
        <v>0</v>
      </c>
      <c r="H135" s="164">
        <f>COUNTA(F135:F137)</f>
        <v>0</v>
      </c>
      <c r="I135" s="35"/>
    </row>
    <row r="136" spans="1:9" x14ac:dyDescent="0.2">
      <c r="A136" s="35"/>
      <c r="B136" s="35" t="s">
        <v>395</v>
      </c>
      <c r="C136" s="35"/>
      <c r="D136" s="35"/>
      <c r="E136" s="35"/>
      <c r="F136" s="36"/>
      <c r="G136" s="164"/>
      <c r="H136" s="164"/>
      <c r="I136" s="35"/>
    </row>
    <row r="137" spans="1:9" x14ac:dyDescent="0.2">
      <c r="A137" s="35"/>
      <c r="B137" s="35" t="s">
        <v>396</v>
      </c>
      <c r="C137" s="35"/>
      <c r="D137" s="35"/>
      <c r="E137" s="35"/>
      <c r="F137" s="36"/>
      <c r="G137" s="164"/>
      <c r="H137" s="164"/>
      <c r="I137" s="35"/>
    </row>
    <row r="138" spans="1:9" x14ac:dyDescent="0.2">
      <c r="A138" s="35"/>
      <c r="B138" s="35"/>
      <c r="C138" s="35" t="s">
        <v>397</v>
      </c>
      <c r="D138" s="35"/>
      <c r="E138" s="35"/>
      <c r="F138" s="36"/>
      <c r="G138" s="164">
        <f>COUNTIF(F138:F143, "Y")</f>
        <v>0</v>
      </c>
      <c r="H138" s="164">
        <f>COUNTA(F138:F143)</f>
        <v>0</v>
      </c>
      <c r="I138" s="35"/>
    </row>
    <row r="139" spans="1:9" ht="15" x14ac:dyDescent="0.25">
      <c r="A139" s="35"/>
      <c r="B139" s="35"/>
      <c r="C139" s="35" t="s">
        <v>398</v>
      </c>
      <c r="D139" s="6"/>
      <c r="E139" s="35"/>
      <c r="F139" s="36"/>
      <c r="G139" s="164"/>
      <c r="H139" s="164"/>
      <c r="I139" s="35"/>
    </row>
    <row r="140" spans="1:9" ht="15" x14ac:dyDescent="0.25">
      <c r="A140" s="35"/>
      <c r="B140" s="35"/>
      <c r="C140" s="35" t="s">
        <v>399</v>
      </c>
      <c r="D140" s="6"/>
      <c r="E140" s="35"/>
      <c r="F140" s="36"/>
      <c r="G140" s="164"/>
      <c r="H140" s="164"/>
      <c r="I140" s="35"/>
    </row>
    <row r="141" spans="1:9" ht="15" x14ac:dyDescent="0.25">
      <c r="A141" s="35"/>
      <c r="B141" s="35"/>
      <c r="C141" s="35" t="s">
        <v>371</v>
      </c>
      <c r="D141" s="6"/>
      <c r="E141" s="35"/>
      <c r="F141" s="36"/>
      <c r="G141" s="164"/>
      <c r="H141" s="164"/>
      <c r="I141" s="35"/>
    </row>
    <row r="142" spans="1:9" ht="15" x14ac:dyDescent="0.25">
      <c r="A142" s="35"/>
      <c r="B142" s="35"/>
      <c r="C142" s="35" t="s">
        <v>400</v>
      </c>
      <c r="D142" s="6"/>
      <c r="E142" s="35"/>
      <c r="F142" s="36"/>
      <c r="G142" s="164"/>
      <c r="H142" s="164"/>
      <c r="I142" s="35"/>
    </row>
    <row r="143" spans="1:9" x14ac:dyDescent="0.2">
      <c r="A143" s="35"/>
      <c r="B143" s="35"/>
      <c r="C143" s="35" t="s">
        <v>401</v>
      </c>
      <c r="E143" s="35"/>
      <c r="F143" s="36"/>
      <c r="G143" s="164"/>
      <c r="H143" s="164"/>
      <c r="I143" s="35"/>
    </row>
    <row r="144" spans="1:9" x14ac:dyDescent="0.2">
      <c r="A144" s="141" t="s">
        <v>402</v>
      </c>
      <c r="B144" s="141"/>
      <c r="C144" s="141"/>
      <c r="D144" s="141"/>
      <c r="E144" s="141"/>
      <c r="F144" s="182"/>
      <c r="G144" s="164"/>
      <c r="H144" s="164"/>
      <c r="I144" s="141"/>
    </row>
    <row r="145" spans="1:9" ht="21" x14ac:dyDescent="0.25">
      <c r="A145" s="35"/>
      <c r="B145" s="35" t="s">
        <v>403</v>
      </c>
      <c r="C145" s="35"/>
      <c r="D145" s="6"/>
      <c r="E145" s="35"/>
      <c r="F145" s="36"/>
      <c r="G145" s="56">
        <f>COUNTIF(F145:F145, "Y")</f>
        <v>0</v>
      </c>
      <c r="H145" s="56">
        <f>COUNTA(F145:F145)</f>
        <v>0</v>
      </c>
      <c r="I145" s="35"/>
    </row>
    <row r="146" spans="1:9" ht="15" x14ac:dyDescent="0.25">
      <c r="A146" s="35"/>
      <c r="B146" s="35"/>
      <c r="C146" s="35" t="s">
        <v>404</v>
      </c>
      <c r="D146" s="6"/>
      <c r="E146" s="35"/>
      <c r="F146" s="36"/>
      <c r="G146" s="56">
        <f>COUNTIF(F146:F146, "Y")</f>
        <v>0</v>
      </c>
      <c r="H146" s="56">
        <f>COUNTA(F146:F146)</f>
        <v>0</v>
      </c>
      <c r="I146" s="35"/>
    </row>
    <row r="147" spans="1:9" x14ac:dyDescent="0.2">
      <c r="A147" s="141" t="s">
        <v>405</v>
      </c>
      <c r="B147" s="141"/>
      <c r="C147" s="141"/>
      <c r="D147" s="141"/>
      <c r="E147" s="141"/>
      <c r="F147" s="182"/>
      <c r="G147" s="164"/>
      <c r="H147" s="164"/>
      <c r="I147" s="141"/>
    </row>
    <row r="148" spans="1:9" ht="15" x14ac:dyDescent="0.25">
      <c r="A148" s="35" t="s">
        <v>326</v>
      </c>
      <c r="B148" s="35"/>
      <c r="C148" s="35"/>
      <c r="D148" s="6"/>
      <c r="E148" s="35"/>
      <c r="F148" s="36"/>
      <c r="G148" s="56">
        <f>COUNTIF(F148:F148, "Y")</f>
        <v>0</v>
      </c>
      <c r="H148" s="56">
        <f>COUNTA(F148:F148)</f>
        <v>0</v>
      </c>
      <c r="I148" s="35"/>
    </row>
    <row r="149" spans="1:9" ht="15" x14ac:dyDescent="0.25">
      <c r="A149" s="35"/>
      <c r="B149" s="35" t="s">
        <v>406</v>
      </c>
      <c r="C149" s="35"/>
      <c r="D149" s="6"/>
      <c r="E149" s="35"/>
      <c r="F149" s="36"/>
      <c r="G149" s="164">
        <f>COUNTIF(F149:F150, "Y")</f>
        <v>0</v>
      </c>
      <c r="H149" s="164">
        <f>COUNTA(F149:F150)</f>
        <v>0</v>
      </c>
      <c r="I149" s="35"/>
    </row>
    <row r="150" spans="1:9" ht="15" x14ac:dyDescent="0.25">
      <c r="A150" s="35"/>
      <c r="B150" s="35" t="s">
        <v>329</v>
      </c>
      <c r="C150" s="35"/>
      <c r="D150" s="6"/>
      <c r="E150" s="35"/>
      <c r="F150" s="36"/>
      <c r="G150" s="164"/>
      <c r="H150" s="164"/>
      <c r="I150" s="35"/>
    </row>
    <row r="151" spans="1:9" ht="15" x14ac:dyDescent="0.25">
      <c r="A151" s="35"/>
      <c r="B151" s="35"/>
      <c r="C151" s="35" t="s">
        <v>407</v>
      </c>
      <c r="D151" s="6"/>
      <c r="E151" s="35"/>
      <c r="F151" s="36"/>
      <c r="G151" s="164">
        <f>COUNTIF(F151:F152, "Y")</f>
        <v>0</v>
      </c>
      <c r="H151" s="164">
        <f>COUNTA(F151:F152)</f>
        <v>0</v>
      </c>
      <c r="I151" s="35"/>
    </row>
    <row r="152" spans="1:9" ht="15" x14ac:dyDescent="0.25">
      <c r="A152" s="35"/>
      <c r="B152" s="35"/>
      <c r="C152" s="35" t="s">
        <v>408</v>
      </c>
      <c r="D152" s="6"/>
      <c r="E152" s="35"/>
      <c r="F152" s="36"/>
      <c r="G152" s="164"/>
      <c r="H152" s="164"/>
      <c r="I152" s="35"/>
    </row>
    <row r="153" spans="1:9" x14ac:dyDescent="0.2">
      <c r="A153" s="141" t="s">
        <v>409</v>
      </c>
      <c r="B153" s="141"/>
      <c r="C153" s="141"/>
      <c r="D153" s="141"/>
      <c r="E153" s="141"/>
      <c r="F153" s="182"/>
      <c r="G153" s="164"/>
      <c r="H153" s="164"/>
      <c r="I153" s="141"/>
    </row>
    <row r="154" spans="1:9" x14ac:dyDescent="0.2">
      <c r="A154" s="35"/>
      <c r="B154" s="35" t="s">
        <v>410</v>
      </c>
      <c r="C154" s="35"/>
      <c r="D154" s="35"/>
      <c r="E154" s="35"/>
      <c r="F154" s="36"/>
      <c r="G154" s="164">
        <f>COUNTIF(F154:F157, "Y")</f>
        <v>0</v>
      </c>
      <c r="H154" s="164">
        <f>COUNTA(F154:F157)</f>
        <v>0</v>
      </c>
      <c r="I154" s="35"/>
    </row>
    <row r="155" spans="1:9" x14ac:dyDescent="0.2">
      <c r="A155" s="35"/>
      <c r="B155" s="35" t="s">
        <v>411</v>
      </c>
      <c r="C155" s="35"/>
      <c r="D155" s="35"/>
      <c r="E155" s="35"/>
      <c r="F155" s="36"/>
      <c r="G155" s="164"/>
      <c r="H155" s="164"/>
      <c r="I155" s="35"/>
    </row>
    <row r="156" spans="1:9" x14ac:dyDescent="0.2">
      <c r="A156" s="35"/>
      <c r="B156" s="35" t="s">
        <v>412</v>
      </c>
      <c r="C156" s="35"/>
      <c r="D156" s="35"/>
      <c r="E156" s="35"/>
      <c r="F156" s="36"/>
      <c r="G156" s="164"/>
      <c r="H156" s="164"/>
      <c r="I156" s="35"/>
    </row>
    <row r="157" spans="1:9" x14ac:dyDescent="0.2">
      <c r="A157" s="35"/>
      <c r="B157" s="35" t="s">
        <v>413</v>
      </c>
      <c r="C157" s="35"/>
      <c r="D157" s="35"/>
      <c r="E157" s="35"/>
      <c r="F157" s="36"/>
      <c r="G157" s="164"/>
      <c r="H157" s="164"/>
      <c r="I157" s="35"/>
    </row>
    <row r="158" spans="1:9" ht="15" x14ac:dyDescent="0.25">
      <c r="A158" s="35"/>
      <c r="B158" s="35"/>
      <c r="C158" s="35" t="s">
        <v>296</v>
      </c>
      <c r="D158" s="6"/>
      <c r="E158" s="35"/>
      <c r="F158" s="36"/>
      <c r="G158" s="164">
        <f>COUNTIF(F158:F159, "Y")</f>
        <v>0</v>
      </c>
      <c r="H158" s="164">
        <f>COUNTA(F158:F159)</f>
        <v>0</v>
      </c>
      <c r="I158" s="35"/>
    </row>
    <row r="159" spans="1:9" ht="21" x14ac:dyDescent="0.2">
      <c r="A159" s="35"/>
      <c r="B159" s="35"/>
      <c r="C159" s="35" t="s">
        <v>414</v>
      </c>
      <c r="D159" s="35"/>
      <c r="E159" s="35"/>
      <c r="F159" s="36"/>
      <c r="G159" s="164"/>
      <c r="H159" s="164"/>
      <c r="I159" s="35"/>
    </row>
    <row r="160" spans="1:9" x14ac:dyDescent="0.2">
      <c r="A160" s="141" t="s">
        <v>415</v>
      </c>
      <c r="B160" s="141"/>
      <c r="C160" s="141"/>
      <c r="D160" s="141"/>
      <c r="E160" s="141"/>
      <c r="F160" s="182"/>
      <c r="G160" s="164"/>
      <c r="H160" s="164"/>
      <c r="I160" s="141"/>
    </row>
    <row r="161" spans="1:9" x14ac:dyDescent="0.2">
      <c r="A161" s="35"/>
      <c r="B161" s="35" t="s">
        <v>416</v>
      </c>
      <c r="C161" s="35"/>
      <c r="D161" s="35"/>
      <c r="E161" s="35"/>
      <c r="F161" s="36"/>
      <c r="G161" s="164">
        <f>COUNTIF(F161:F162, "Y")</f>
        <v>0</v>
      </c>
      <c r="H161" s="164">
        <f>COUNTA(F161:F162)</f>
        <v>0</v>
      </c>
      <c r="I161" s="35"/>
    </row>
    <row r="162" spans="1:9" x14ac:dyDescent="0.2">
      <c r="A162" s="35"/>
      <c r="B162" s="35" t="s">
        <v>417</v>
      </c>
      <c r="C162" s="35"/>
      <c r="D162" s="35"/>
      <c r="E162" s="35"/>
      <c r="F162" s="36"/>
      <c r="G162" s="164"/>
      <c r="H162" s="164"/>
      <c r="I162" s="35"/>
    </row>
    <row r="163" spans="1:9" x14ac:dyDescent="0.2">
      <c r="A163" s="35"/>
      <c r="B163" s="35"/>
      <c r="C163" s="35" t="s">
        <v>418</v>
      </c>
      <c r="D163" s="35"/>
      <c r="E163" s="35"/>
      <c r="F163" s="36"/>
      <c r="G163" s="164">
        <f>COUNTIF(F163:F164, "Y")</f>
        <v>0</v>
      </c>
      <c r="H163" s="164">
        <f>COUNTA(F163:F164)</f>
        <v>0</v>
      </c>
      <c r="I163" s="35"/>
    </row>
    <row r="164" spans="1:9" ht="21" x14ac:dyDescent="0.2">
      <c r="A164" s="35"/>
      <c r="B164" s="35"/>
      <c r="C164" s="35" t="s">
        <v>419</v>
      </c>
      <c r="D164" s="35"/>
      <c r="E164" s="35"/>
      <c r="F164" s="36"/>
      <c r="G164" s="164"/>
      <c r="H164" s="164"/>
      <c r="I164" s="35"/>
    </row>
    <row r="165" spans="1:9" x14ac:dyDescent="0.2">
      <c r="A165" s="141" t="s">
        <v>420</v>
      </c>
      <c r="B165" s="141"/>
      <c r="C165" s="141"/>
      <c r="D165" s="141"/>
      <c r="E165" s="141"/>
      <c r="F165" s="182"/>
      <c r="G165" s="164"/>
      <c r="H165" s="164"/>
      <c r="I165" s="141"/>
    </row>
    <row r="166" spans="1:9" x14ac:dyDescent="0.2">
      <c r="A166" s="35"/>
      <c r="B166" s="35" t="s">
        <v>421</v>
      </c>
      <c r="C166" s="35"/>
      <c r="D166" s="35"/>
      <c r="E166" s="35"/>
      <c r="F166" s="36"/>
      <c r="G166" s="164">
        <f>COUNTIF(F166:F167, "Y")</f>
        <v>0</v>
      </c>
      <c r="H166" s="164">
        <f>COUNTA(F166:F167)</f>
        <v>0</v>
      </c>
      <c r="I166" s="35"/>
    </row>
    <row r="167" spans="1:9" x14ac:dyDescent="0.2">
      <c r="A167" s="35"/>
      <c r="B167" s="35" t="s">
        <v>422</v>
      </c>
      <c r="C167" s="35"/>
      <c r="D167" s="35"/>
      <c r="E167" s="35"/>
      <c r="F167" s="36"/>
      <c r="G167" s="164"/>
      <c r="H167" s="164"/>
      <c r="I167" s="35"/>
    </row>
    <row r="168" spans="1:9" x14ac:dyDescent="0.2">
      <c r="A168" s="141" t="s">
        <v>423</v>
      </c>
      <c r="B168" s="141"/>
      <c r="C168" s="141"/>
      <c r="D168" s="141"/>
      <c r="E168" s="141"/>
      <c r="F168" s="182"/>
      <c r="G168" s="164"/>
      <c r="H168" s="164"/>
      <c r="I168" s="141"/>
    </row>
    <row r="169" spans="1:9" x14ac:dyDescent="0.2">
      <c r="A169" s="35"/>
      <c r="B169" s="35" t="s">
        <v>424</v>
      </c>
      <c r="C169" s="35"/>
      <c r="D169" s="35"/>
      <c r="E169" s="35"/>
      <c r="F169" s="36"/>
      <c r="G169" s="164">
        <f>COUNTIF(F169:F170, "Y")</f>
        <v>0</v>
      </c>
      <c r="H169" s="164">
        <f>COUNTA(F169:F170)</f>
        <v>0</v>
      </c>
      <c r="I169" s="35"/>
    </row>
    <row r="170" spans="1:9" x14ac:dyDescent="0.2">
      <c r="A170" s="35"/>
      <c r="B170" s="35" t="s">
        <v>425</v>
      </c>
      <c r="C170" s="35"/>
      <c r="D170" s="35"/>
      <c r="E170" s="35"/>
      <c r="F170" s="36"/>
      <c r="G170" s="164"/>
      <c r="H170" s="164"/>
      <c r="I170" s="35"/>
    </row>
    <row r="171" spans="1:9" ht="15" x14ac:dyDescent="0.25">
      <c r="A171" s="35"/>
      <c r="B171" s="6"/>
      <c r="C171" s="35" t="s">
        <v>426</v>
      </c>
      <c r="D171" s="35"/>
      <c r="E171" s="35"/>
      <c r="F171" s="36"/>
      <c r="G171" s="164">
        <f>COUNTIF(F171:F175, "Y")</f>
        <v>0</v>
      </c>
      <c r="H171" s="164">
        <f>COUNTA(F171:F175)</f>
        <v>0</v>
      </c>
      <c r="I171" s="35"/>
    </row>
    <row r="172" spans="1:9" x14ac:dyDescent="0.2">
      <c r="A172" s="35"/>
      <c r="B172" s="35"/>
      <c r="C172" s="35" t="s">
        <v>427</v>
      </c>
      <c r="D172" s="35"/>
      <c r="E172" s="35"/>
      <c r="F172" s="36"/>
      <c r="G172" s="164"/>
      <c r="H172" s="164"/>
      <c r="I172" s="35"/>
    </row>
    <row r="173" spans="1:9" x14ac:dyDescent="0.2">
      <c r="A173" s="35"/>
      <c r="B173" s="35"/>
      <c r="C173" s="35" t="s">
        <v>428</v>
      </c>
      <c r="D173" s="35"/>
      <c r="E173" s="35"/>
      <c r="F173" s="36"/>
      <c r="G173" s="164"/>
      <c r="H173" s="164"/>
      <c r="I173" s="35"/>
    </row>
    <row r="174" spans="1:9" ht="15" x14ac:dyDescent="0.25">
      <c r="A174" s="35"/>
      <c r="B174" s="35"/>
      <c r="C174" s="35" t="s">
        <v>429</v>
      </c>
      <c r="D174" s="6"/>
      <c r="E174" s="35"/>
      <c r="F174" s="36"/>
      <c r="G174" s="164"/>
      <c r="H174" s="164"/>
      <c r="I174" s="35"/>
    </row>
    <row r="175" spans="1:9" ht="15" x14ac:dyDescent="0.25">
      <c r="A175" s="35"/>
      <c r="B175" s="35"/>
      <c r="C175" s="35" t="s">
        <v>430</v>
      </c>
      <c r="D175" s="6"/>
      <c r="E175" s="35"/>
      <c r="F175" s="36"/>
      <c r="G175" s="164"/>
      <c r="H175" s="164"/>
      <c r="I175" s="35"/>
    </row>
    <row r="176" spans="1:9" x14ac:dyDescent="0.2">
      <c r="A176" s="35"/>
      <c r="B176" s="35"/>
      <c r="C176" s="35"/>
      <c r="D176" s="35" t="s">
        <v>431</v>
      </c>
      <c r="E176" s="35"/>
      <c r="F176" s="36"/>
      <c r="G176" s="164">
        <f>COUNTIF(F176:F180, "Y")</f>
        <v>0</v>
      </c>
      <c r="H176" s="164">
        <f>COUNTA(F176:F180)</f>
        <v>0</v>
      </c>
      <c r="I176" s="35"/>
    </row>
    <row r="177" spans="1:9" x14ac:dyDescent="0.2">
      <c r="A177" s="35"/>
      <c r="B177" s="35"/>
      <c r="C177" s="35"/>
      <c r="D177" s="35" t="s">
        <v>432</v>
      </c>
      <c r="E177" s="35"/>
      <c r="F177" s="36"/>
      <c r="G177" s="164"/>
      <c r="H177" s="164"/>
      <c r="I177" s="35"/>
    </row>
    <row r="178" spans="1:9" x14ac:dyDescent="0.2">
      <c r="A178" s="35"/>
      <c r="B178" s="35"/>
      <c r="C178" s="35"/>
      <c r="D178" s="35" t="s">
        <v>433</v>
      </c>
      <c r="E178" s="35"/>
      <c r="F178" s="36"/>
      <c r="G178" s="164"/>
      <c r="H178" s="164"/>
      <c r="I178" s="35"/>
    </row>
    <row r="179" spans="1:9" x14ac:dyDescent="0.2">
      <c r="A179" s="35"/>
      <c r="B179" s="35"/>
      <c r="C179" s="35"/>
      <c r="D179" s="35" t="s">
        <v>434</v>
      </c>
      <c r="E179" s="35"/>
      <c r="F179" s="36"/>
      <c r="G179" s="164"/>
      <c r="H179" s="164"/>
      <c r="I179" s="35"/>
    </row>
    <row r="180" spans="1:9" x14ac:dyDescent="0.2">
      <c r="A180" s="35"/>
      <c r="B180" s="35"/>
      <c r="C180" s="35"/>
      <c r="D180" s="35" t="s">
        <v>370</v>
      </c>
      <c r="E180" s="35"/>
      <c r="F180" s="36"/>
      <c r="G180" s="164"/>
      <c r="H180" s="164"/>
      <c r="I180" s="35"/>
    </row>
    <row r="181" spans="1:9" x14ac:dyDescent="0.2">
      <c r="A181" s="151" t="s">
        <v>206</v>
      </c>
      <c r="B181" s="151"/>
      <c r="C181" s="151"/>
      <c r="D181" s="152"/>
      <c r="E181" s="151"/>
      <c r="F181" s="151"/>
      <c r="G181" s="175"/>
      <c r="H181" s="176"/>
      <c r="I181" s="151"/>
    </row>
    <row r="182" spans="1:9" x14ac:dyDescent="0.2">
      <c r="A182" s="60">
        <f>IFERROR(ROUND((SUM(G148)/SUM(H148)),2),0)</f>
        <v>0</v>
      </c>
      <c r="B182" s="60">
        <f>IFERROR(ROUND((SUM(G128,G135,G145,G149,G154,G161,G166,G169)/SUM(H128,H135,H145,H149,H154,H161,H166,H169)),2),0)</f>
        <v>0</v>
      </c>
      <c r="C182" s="60">
        <f>IFERROR(ROUND((SUM(G130,G138,G146,G151,G158,G163,G171)/SUM(H130,H138,H146,H151,H158,H163,H171)),2),0)</f>
        <v>0</v>
      </c>
      <c r="D182" s="60">
        <f>IFERROR(ROUND((SUM(G176)/SUM(H176)),2),0)</f>
        <v>0</v>
      </c>
      <c r="E182" s="60">
        <v>0</v>
      </c>
      <c r="F182" s="57"/>
      <c r="G182" s="112"/>
      <c r="H182" s="112"/>
      <c r="I182" s="57"/>
    </row>
    <row r="183" spans="1:9" x14ac:dyDescent="0.2">
      <c r="A183" s="151" t="s">
        <v>207</v>
      </c>
      <c r="B183" s="155"/>
      <c r="C183" s="155"/>
      <c r="D183" s="155"/>
      <c r="E183" s="155"/>
      <c r="F183" s="155"/>
      <c r="G183" s="174"/>
      <c r="H183" s="174"/>
      <c r="I183" s="155"/>
    </row>
    <row r="184" spans="1:9" x14ac:dyDescent="0.2">
      <c r="A184" s="86">
        <v>0.8</v>
      </c>
      <c r="B184" s="86">
        <v>0.8</v>
      </c>
      <c r="C184" s="86">
        <v>0.8</v>
      </c>
      <c r="D184" s="86">
        <v>0.8</v>
      </c>
      <c r="E184" s="86">
        <v>0.8</v>
      </c>
      <c r="F184" s="85"/>
      <c r="G184" s="112"/>
      <c r="H184" s="112"/>
      <c r="I184" s="85"/>
    </row>
    <row r="185" spans="1:9" x14ac:dyDescent="0.2">
      <c r="A185" s="87"/>
      <c r="B185" s="88"/>
      <c r="C185" s="88"/>
      <c r="D185" s="88"/>
      <c r="E185" s="89"/>
      <c r="F185" s="32" t="s">
        <v>44</v>
      </c>
      <c r="G185" s="114"/>
      <c r="H185" s="114"/>
      <c r="I185" s="91"/>
    </row>
    <row r="186" spans="1:9" ht="26.25" customHeight="1" x14ac:dyDescent="0.2">
      <c r="A186" s="92" t="e">
        <f ca="1">IF(GTE(A182,A184),"D1", "")</f>
        <v>#NAME?</v>
      </c>
      <c r="B186" s="92" t="e">
        <f ca="1">IF(AND(IF((A186=""), FALSE, TRUE), GTE(B182,B184)),"D2","" )</f>
        <v>#NAME?</v>
      </c>
      <c r="C186" s="92" t="e">
        <f ca="1">IF(AND(IF((B186=""), FALSE, TRUE), GTE(C182,C184)),"D3","")</f>
        <v>#NAME?</v>
      </c>
      <c r="D186" s="92" t="e">
        <f ca="1">IF(AND(IF((C186=""), FALSE, TRUE),GTE(D182,D184)),"D4", "")</f>
        <v>#NAME?</v>
      </c>
      <c r="E186" s="93" t="e">
        <f ca="1">IF(AND(IF((D186=""), FALSE, TRUE), GTE(E182,E184)),"D5", "")</f>
        <v>#NAME?</v>
      </c>
      <c r="F186" s="94" t="e">
        <f>IF(IF((A186=""), FALSE, TRUE),CHOOSE(COUNTA(A186:E186),'Assesment Rules'!B4,'Assesment Rules'!B5,'Assesment Rules'!B6,'Assesment Rules'!B7,'Assesment Rules'!B8), "None")</f>
        <v>#NAME?</v>
      </c>
      <c r="G186" s="112"/>
      <c r="H186" s="112"/>
      <c r="I186" s="57"/>
    </row>
    <row r="187" spans="1:9" ht="18.75" customHeight="1" x14ac:dyDescent="0.2">
      <c r="A187" s="7"/>
      <c r="B187" s="11"/>
      <c r="C187" s="11"/>
      <c r="D187" s="11"/>
      <c r="E187" s="11"/>
      <c r="F187" s="11"/>
      <c r="G187" s="112"/>
      <c r="H187" s="112"/>
      <c r="I187" s="11"/>
    </row>
    <row r="188" spans="1:9" x14ac:dyDescent="0.2">
      <c r="A188" s="141" t="s">
        <v>265</v>
      </c>
      <c r="B188" s="141"/>
      <c r="C188" s="141"/>
      <c r="D188" s="141"/>
      <c r="E188" s="141"/>
      <c r="F188" s="141"/>
      <c r="G188" s="164"/>
      <c r="H188" s="164"/>
      <c r="I188" s="142"/>
    </row>
    <row r="189" spans="1:9" x14ac:dyDescent="0.2">
      <c r="A189" s="35" t="s">
        <v>278</v>
      </c>
      <c r="B189" s="36"/>
      <c r="C189" s="35"/>
      <c r="D189" s="2"/>
      <c r="E189" s="35"/>
      <c r="F189" s="11"/>
      <c r="G189" s="56"/>
      <c r="H189" s="56"/>
      <c r="I189" s="35"/>
    </row>
    <row r="190" spans="1:9" x14ac:dyDescent="0.2">
      <c r="A190" s="35"/>
      <c r="B190" s="35"/>
      <c r="C190" s="35"/>
      <c r="D190" s="2"/>
      <c r="E190" s="35"/>
      <c r="F190" s="35"/>
      <c r="G190" s="56"/>
      <c r="H190" s="56"/>
      <c r="I190" s="35"/>
    </row>
    <row r="191" spans="1:9" x14ac:dyDescent="0.2">
      <c r="A191" s="35"/>
      <c r="B191" s="35"/>
      <c r="C191" s="35"/>
      <c r="D191" s="2"/>
      <c r="E191" s="35"/>
      <c r="F191" s="35"/>
      <c r="G191" s="56"/>
      <c r="H191" s="56"/>
      <c r="I191" s="35"/>
    </row>
    <row r="192" spans="1:9" x14ac:dyDescent="0.2">
      <c r="A192" s="35"/>
      <c r="B192" s="35"/>
      <c r="C192" s="35"/>
      <c r="D192" s="2"/>
      <c r="E192" s="35"/>
      <c r="F192" s="35"/>
      <c r="G192" s="56"/>
      <c r="H192" s="56"/>
      <c r="I192" s="35"/>
    </row>
    <row r="193" spans="1:9" x14ac:dyDescent="0.2">
      <c r="A193" s="35"/>
      <c r="B193" s="35"/>
      <c r="C193" s="35"/>
      <c r="D193" s="2"/>
      <c r="E193" s="35"/>
      <c r="F193" s="35"/>
      <c r="G193" s="56"/>
      <c r="H193" s="56"/>
      <c r="I193" s="35"/>
    </row>
    <row r="194" spans="1:9" x14ac:dyDescent="0.2">
      <c r="A194" s="35"/>
      <c r="B194" s="35"/>
      <c r="C194" s="35"/>
      <c r="D194" s="2"/>
      <c r="E194" s="35"/>
      <c r="F194" s="35"/>
      <c r="G194" s="56"/>
      <c r="H194" s="56"/>
      <c r="I194" s="35"/>
    </row>
    <row r="195" spans="1:9" x14ac:dyDescent="0.2">
      <c r="A195" s="35"/>
      <c r="B195" s="35"/>
      <c r="C195" s="35"/>
      <c r="D195" s="2"/>
      <c r="E195" s="35"/>
      <c r="F195" s="35"/>
      <c r="G195" s="56"/>
      <c r="H195" s="56"/>
      <c r="I195" s="35"/>
    </row>
    <row r="196" spans="1:9" x14ac:dyDescent="0.2">
      <c r="A196" s="35"/>
      <c r="B196" s="35"/>
      <c r="C196" s="35"/>
      <c r="D196" s="2"/>
      <c r="E196" s="35"/>
      <c r="F196" s="35"/>
      <c r="G196" s="56"/>
      <c r="H196" s="56"/>
      <c r="I196" s="35"/>
    </row>
    <row r="197" spans="1:9" x14ac:dyDescent="0.2">
      <c r="A197" s="35"/>
      <c r="B197" s="35"/>
      <c r="C197" s="35"/>
      <c r="D197" s="2"/>
      <c r="E197" s="35"/>
      <c r="F197" s="35"/>
      <c r="G197" s="56"/>
      <c r="H197" s="56"/>
      <c r="I197" s="35"/>
    </row>
    <row r="198" spans="1:9" x14ac:dyDescent="0.2">
      <c r="A198" s="35"/>
      <c r="B198" s="35"/>
      <c r="C198" s="35"/>
      <c r="D198" s="2"/>
      <c r="E198" s="35"/>
      <c r="F198" s="35"/>
      <c r="G198" s="56"/>
      <c r="H198" s="56"/>
      <c r="I198" s="35"/>
    </row>
    <row r="199" spans="1:9" x14ac:dyDescent="0.2">
      <c r="A199" s="35"/>
      <c r="B199" s="35"/>
      <c r="C199" s="35"/>
      <c r="D199" s="2"/>
      <c r="E199" s="35"/>
      <c r="F199" s="35"/>
      <c r="G199" s="56"/>
      <c r="H199" s="56"/>
      <c r="I199" s="35"/>
    </row>
    <row r="200" spans="1:9" x14ac:dyDescent="0.2">
      <c r="A200" s="35"/>
      <c r="B200" s="35"/>
      <c r="C200" s="35"/>
      <c r="D200" s="2"/>
      <c r="E200" s="35"/>
      <c r="F200" s="35"/>
      <c r="G200" s="56"/>
      <c r="H200" s="56"/>
      <c r="I200" s="35"/>
    </row>
  </sheetData>
  <mergeCells count="112">
    <mergeCell ref="A1:E1"/>
    <mergeCell ref="A3:I3"/>
    <mergeCell ref="A4:I4"/>
    <mergeCell ref="G5:G11"/>
    <mergeCell ref="H5:H11"/>
    <mergeCell ref="G12:G16"/>
    <mergeCell ref="H12:H16"/>
    <mergeCell ref="G17:G18"/>
    <mergeCell ref="H17:H18"/>
    <mergeCell ref="A19:I19"/>
    <mergeCell ref="G21:G23"/>
    <mergeCell ref="H21:H23"/>
    <mergeCell ref="G24:G26"/>
    <mergeCell ref="H24:H26"/>
    <mergeCell ref="A27:I27"/>
    <mergeCell ref="G28:G29"/>
    <mergeCell ref="H28:H29"/>
    <mergeCell ref="G30:G31"/>
    <mergeCell ref="H30:H31"/>
    <mergeCell ref="A33:I33"/>
    <mergeCell ref="G34:G35"/>
    <mergeCell ref="H34:H35"/>
    <mergeCell ref="G36:G38"/>
    <mergeCell ref="H36:H38"/>
    <mergeCell ref="A39:I39"/>
    <mergeCell ref="G41:G42"/>
    <mergeCell ref="H41:H42"/>
    <mergeCell ref="G43:G44"/>
    <mergeCell ref="H43:H44"/>
    <mergeCell ref="A45:I45"/>
    <mergeCell ref="G47:G49"/>
    <mergeCell ref="H47:H49"/>
    <mergeCell ref="G50:G51"/>
    <mergeCell ref="H50:H51"/>
    <mergeCell ref="A53:I53"/>
    <mergeCell ref="G54:G55"/>
    <mergeCell ref="H54:H55"/>
    <mergeCell ref="A56:I56"/>
    <mergeCell ref="A58:I58"/>
    <mergeCell ref="G59:G60"/>
    <mergeCell ref="H59:H60"/>
    <mergeCell ref="A61:I61"/>
    <mergeCell ref="A64:I64"/>
    <mergeCell ref="G66:G67"/>
    <mergeCell ref="H66:H67"/>
    <mergeCell ref="A68:I68"/>
    <mergeCell ref="A70:I70"/>
    <mergeCell ref="A74:I74"/>
    <mergeCell ref="A75:I75"/>
    <mergeCell ref="A77:I77"/>
    <mergeCell ref="A80:I80"/>
    <mergeCell ref="G81:G82"/>
    <mergeCell ref="H81:H82"/>
    <mergeCell ref="G83:G88"/>
    <mergeCell ref="H83:H88"/>
    <mergeCell ref="G89:G90"/>
    <mergeCell ref="H89:H90"/>
    <mergeCell ref="A91:I91"/>
    <mergeCell ref="A93:I93"/>
    <mergeCell ref="A95:I95"/>
    <mergeCell ref="A98:I98"/>
    <mergeCell ref="A100:I100"/>
    <mergeCell ref="G101:G105"/>
    <mergeCell ref="H101:H105"/>
    <mergeCell ref="A106:I106"/>
    <mergeCell ref="G108:G109"/>
    <mergeCell ref="H108:H109"/>
    <mergeCell ref="A110:I110"/>
    <mergeCell ref="G112:G119"/>
    <mergeCell ref="H112:H119"/>
    <mergeCell ref="A120:I120"/>
    <mergeCell ref="A122:I122"/>
    <mergeCell ref="A126:I126"/>
    <mergeCell ref="A127:I127"/>
    <mergeCell ref="G128:G129"/>
    <mergeCell ref="H128:H129"/>
    <mergeCell ref="G130:G133"/>
    <mergeCell ref="H130:H133"/>
    <mergeCell ref="A134:I134"/>
    <mergeCell ref="G135:G137"/>
    <mergeCell ref="H135:H137"/>
    <mergeCell ref="G138:G143"/>
    <mergeCell ref="H138:H143"/>
    <mergeCell ref="A144:I144"/>
    <mergeCell ref="A147:I147"/>
    <mergeCell ref="G149:G150"/>
    <mergeCell ref="H149:H150"/>
    <mergeCell ref="G151:G152"/>
    <mergeCell ref="H151:H152"/>
    <mergeCell ref="A153:I153"/>
    <mergeCell ref="G154:G157"/>
    <mergeCell ref="H154:H157"/>
    <mergeCell ref="G158:G159"/>
    <mergeCell ref="H158:H159"/>
    <mergeCell ref="A160:I160"/>
    <mergeCell ref="G161:G162"/>
    <mergeCell ref="H161:H162"/>
    <mergeCell ref="G163:G164"/>
    <mergeCell ref="H163:H164"/>
    <mergeCell ref="A165:I165"/>
    <mergeCell ref="G166:G167"/>
    <mergeCell ref="H166:H167"/>
    <mergeCell ref="A168:I168"/>
    <mergeCell ref="G169:G170"/>
    <mergeCell ref="H169:H170"/>
    <mergeCell ref="G171:G175"/>
    <mergeCell ref="H171:H175"/>
    <mergeCell ref="G176:G180"/>
    <mergeCell ref="H176:H180"/>
    <mergeCell ref="A181:I181"/>
    <mergeCell ref="A183:I183"/>
    <mergeCell ref="A188:I188"/>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7.140625" defaultRowHeight="12.75" customHeight="1" x14ac:dyDescent="0.2"/>
  <sheetData/>
  <pageMargins left="0" right="0" top="0" bottom="0" header="0" footer="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1"/>
  <sheetViews>
    <sheetView showGridLines="0" workbookViewId="0">
      <selection activeCell="D15" sqref="D15"/>
    </sheetView>
  </sheetViews>
  <sheetFormatPr defaultColWidth="17.140625" defaultRowHeight="12.75" customHeight="1" x14ac:dyDescent="0.2"/>
  <cols>
    <col min="2" max="2" width="20.42578125" customWidth="1"/>
  </cols>
  <sheetData>
    <row r="1" spans="1:13" x14ac:dyDescent="0.2">
      <c r="A1" s="11"/>
      <c r="B1" s="11"/>
      <c r="C1" s="11"/>
      <c r="D1" s="11"/>
      <c r="E1" s="11"/>
      <c r="F1" s="11"/>
      <c r="G1" s="11"/>
      <c r="H1" s="11"/>
      <c r="I1" s="11"/>
      <c r="J1" s="11"/>
      <c r="K1" s="11"/>
      <c r="L1" s="11"/>
      <c r="M1" s="11"/>
    </row>
    <row r="2" spans="1:13" x14ac:dyDescent="0.2">
      <c r="A2" s="11"/>
      <c r="B2" s="5" t="s">
        <v>18</v>
      </c>
      <c r="C2" s="11"/>
      <c r="D2" s="11"/>
      <c r="E2" s="11"/>
      <c r="F2" s="11"/>
      <c r="G2" s="11"/>
      <c r="H2" s="11"/>
      <c r="I2" s="11"/>
      <c r="J2" s="11"/>
      <c r="K2" s="11"/>
      <c r="L2" s="11"/>
      <c r="M2" s="11"/>
    </row>
    <row r="3" spans="1:13" x14ac:dyDescent="0.2">
      <c r="A3" s="11"/>
      <c r="B3" s="11"/>
      <c r="C3" s="11"/>
      <c r="D3" s="11"/>
      <c r="E3" s="11"/>
      <c r="F3" s="11"/>
      <c r="G3" s="11"/>
      <c r="H3" s="11"/>
      <c r="I3" s="11"/>
      <c r="J3" s="11"/>
      <c r="K3" s="11"/>
      <c r="L3" s="11"/>
      <c r="M3" s="11"/>
    </row>
    <row r="4" spans="1:13" x14ac:dyDescent="0.2">
      <c r="A4" s="11"/>
      <c r="B4" s="11"/>
      <c r="C4" s="11"/>
      <c r="D4" s="11"/>
      <c r="E4" s="11"/>
      <c r="F4" s="11"/>
      <c r="G4" s="11"/>
      <c r="H4" s="11"/>
      <c r="I4" s="11"/>
      <c r="J4" s="11"/>
      <c r="K4" s="11"/>
      <c r="L4" s="11"/>
      <c r="M4" s="11"/>
    </row>
    <row r="5" spans="1:13" x14ac:dyDescent="0.2">
      <c r="A5" s="11"/>
      <c r="B5" s="11" t="s">
        <v>19</v>
      </c>
      <c r="C5" s="138" t="s">
        <v>20</v>
      </c>
      <c r="D5" s="138"/>
      <c r="E5" s="11"/>
      <c r="F5" s="11"/>
      <c r="G5" s="11"/>
      <c r="H5" s="11"/>
      <c r="I5" s="11"/>
      <c r="J5" s="11"/>
      <c r="K5" s="11"/>
      <c r="L5" s="11"/>
      <c r="M5" s="11"/>
    </row>
    <row r="6" spans="1:13" x14ac:dyDescent="0.2">
      <c r="A6" s="11"/>
      <c r="B6" s="11" t="s">
        <v>21</v>
      </c>
      <c r="C6" s="139" t="s">
        <v>22</v>
      </c>
      <c r="D6" s="140"/>
      <c r="E6" s="11"/>
      <c r="F6" s="11"/>
      <c r="G6" s="11"/>
      <c r="H6" s="11"/>
      <c r="I6" s="11"/>
      <c r="J6" s="11"/>
      <c r="K6" s="11"/>
      <c r="L6" s="11"/>
      <c r="M6" s="11"/>
    </row>
    <row r="7" spans="1:13" x14ac:dyDescent="0.2">
      <c r="A7" s="11"/>
      <c r="B7" s="11" t="s">
        <v>23</v>
      </c>
      <c r="C7" s="140" t="s">
        <v>24</v>
      </c>
      <c r="D7" s="140"/>
      <c r="E7" s="11"/>
      <c r="F7" s="11"/>
      <c r="G7" s="11"/>
      <c r="H7" s="11"/>
      <c r="I7" s="11"/>
      <c r="J7" s="11"/>
      <c r="K7" s="11"/>
      <c r="L7" s="11"/>
      <c r="M7" s="11"/>
    </row>
    <row r="8" spans="1:13" x14ac:dyDescent="0.2">
      <c r="A8" s="11"/>
      <c r="B8" s="5"/>
      <c r="C8" s="5"/>
      <c r="D8" s="5"/>
      <c r="E8" s="11"/>
      <c r="F8" s="11"/>
      <c r="G8" s="11"/>
      <c r="H8" s="11"/>
      <c r="I8" s="11"/>
      <c r="J8" s="11"/>
      <c r="K8" s="11"/>
      <c r="L8" s="11"/>
      <c r="M8" s="11"/>
    </row>
    <row r="9" spans="1:13" x14ac:dyDescent="0.2">
      <c r="A9" s="11"/>
      <c r="B9" s="12"/>
      <c r="C9" s="25"/>
      <c r="D9" s="12"/>
      <c r="E9" s="11"/>
      <c r="F9" s="131" t="s">
        <v>25</v>
      </c>
      <c r="G9" s="131"/>
      <c r="H9" s="131"/>
      <c r="I9" s="131"/>
      <c r="J9" s="11"/>
      <c r="K9" s="11"/>
      <c r="L9" s="11"/>
      <c r="M9" s="11"/>
    </row>
    <row r="10" spans="1:13" ht="27.75" customHeight="1" x14ac:dyDescent="0.2">
      <c r="A10" s="13"/>
      <c r="B10" s="26" t="s">
        <v>26</v>
      </c>
      <c r="C10" s="27" t="s">
        <v>27</v>
      </c>
      <c r="D10" s="26" t="s">
        <v>28</v>
      </c>
      <c r="E10" s="17"/>
      <c r="F10" s="132" t="s">
        <v>29</v>
      </c>
      <c r="G10" s="132"/>
      <c r="H10" s="132"/>
      <c r="I10" s="132"/>
      <c r="J10" s="11"/>
      <c r="K10" s="11"/>
      <c r="L10" s="11"/>
      <c r="M10" s="11"/>
    </row>
    <row r="11" spans="1:13" ht="30" customHeight="1" x14ac:dyDescent="0.2">
      <c r="A11" s="13"/>
      <c r="B11" s="28" t="s">
        <v>30</v>
      </c>
      <c r="C11" s="29"/>
      <c r="D11" s="29"/>
      <c r="E11" s="17"/>
      <c r="F11" s="132"/>
      <c r="G11" s="132"/>
      <c r="H11" s="132"/>
      <c r="I11" s="132"/>
      <c r="J11" s="11"/>
      <c r="K11" s="11"/>
      <c r="L11" s="11"/>
      <c r="M11" s="11"/>
    </row>
    <row r="12" spans="1:13" ht="30" customHeight="1" x14ac:dyDescent="0.2">
      <c r="A12" s="13"/>
      <c r="B12" s="30" t="s">
        <v>31</v>
      </c>
      <c r="C12" s="31"/>
      <c r="D12" s="31"/>
      <c r="E12" s="17"/>
      <c r="F12" s="132"/>
      <c r="G12" s="132"/>
      <c r="H12" s="132"/>
      <c r="I12" s="132"/>
      <c r="J12" s="11"/>
      <c r="K12" s="11"/>
      <c r="L12" s="11"/>
      <c r="M12" s="11"/>
    </row>
    <row r="13" spans="1:13" ht="30" customHeight="1" x14ac:dyDescent="0.2">
      <c r="A13" s="13"/>
      <c r="B13" s="28" t="s">
        <v>32</v>
      </c>
      <c r="C13" s="29"/>
      <c r="D13" s="29"/>
      <c r="E13" s="17"/>
      <c r="F13" s="132"/>
      <c r="G13" s="132"/>
      <c r="H13" s="132"/>
      <c r="I13" s="132"/>
      <c r="J13" s="11"/>
      <c r="K13" s="11"/>
      <c r="L13" s="11"/>
      <c r="M13" s="11"/>
    </row>
    <row r="14" spans="1:13" ht="30" customHeight="1" x14ac:dyDescent="0.2">
      <c r="A14" s="13"/>
      <c r="B14" s="30" t="s">
        <v>33</v>
      </c>
      <c r="C14" s="31"/>
      <c r="D14" s="31" t="e">
        <f>'Dev General Skills'!F143</f>
        <v>#NAME?</v>
      </c>
      <c r="E14" s="17"/>
      <c r="F14" s="132"/>
      <c r="G14" s="132"/>
      <c r="H14" s="132"/>
      <c r="I14" s="132"/>
      <c r="J14" s="11"/>
      <c r="K14" s="11"/>
      <c r="L14" s="11"/>
      <c r="M14" s="11"/>
    </row>
    <row r="15" spans="1:13" ht="30" customHeight="1" x14ac:dyDescent="0.2">
      <c r="A15" s="13"/>
      <c r="B15" s="137" t="s">
        <v>34</v>
      </c>
      <c r="C15" s="29" t="s">
        <v>35</v>
      </c>
      <c r="D15" s="29" t="e">
        <f>'.NET'!F92</f>
        <v>#NAME?</v>
      </c>
      <c r="E15" s="17"/>
      <c r="F15" s="132"/>
      <c r="G15" s="132"/>
      <c r="H15" s="132"/>
      <c r="I15" s="132"/>
      <c r="J15" s="11"/>
      <c r="K15" s="11"/>
      <c r="L15" s="11"/>
      <c r="M15" s="11"/>
    </row>
    <row r="16" spans="1:13" ht="30" customHeight="1" x14ac:dyDescent="0.2">
      <c r="A16" s="13"/>
      <c r="B16" s="137"/>
      <c r="C16" s="29" t="s">
        <v>36</v>
      </c>
      <c r="D16" s="29" t="e">
        <f>'.NET'!F160</f>
        <v>#NAME?</v>
      </c>
      <c r="E16" s="17"/>
      <c r="F16" s="132"/>
      <c r="G16" s="132"/>
      <c r="H16" s="132"/>
      <c r="I16" s="132"/>
      <c r="J16" s="11"/>
      <c r="K16" s="11"/>
      <c r="L16" s="11"/>
      <c r="M16" s="11"/>
    </row>
    <row r="17" spans="1:13" ht="30" customHeight="1" x14ac:dyDescent="0.2">
      <c r="A17" s="13"/>
      <c r="B17" s="30" t="s">
        <v>37</v>
      </c>
      <c r="C17" s="31"/>
      <c r="D17" s="31"/>
      <c r="E17" s="17"/>
      <c r="F17" s="132"/>
      <c r="G17" s="132"/>
      <c r="H17" s="132"/>
      <c r="I17" s="132"/>
      <c r="J17" s="11"/>
      <c r="K17" s="11"/>
      <c r="L17" s="11"/>
      <c r="M17" s="11"/>
    </row>
    <row r="18" spans="1:13" ht="30" customHeight="1" x14ac:dyDescent="0.2">
      <c r="A18" s="13"/>
      <c r="B18" s="137" t="s">
        <v>38</v>
      </c>
      <c r="C18" s="29" t="s">
        <v>39</v>
      </c>
      <c r="D18" s="29"/>
      <c r="E18" s="17"/>
      <c r="F18" s="132"/>
      <c r="G18" s="132"/>
      <c r="H18" s="132"/>
      <c r="I18" s="132"/>
      <c r="J18" s="11"/>
      <c r="K18" s="11"/>
      <c r="L18" s="11"/>
      <c r="M18" s="11"/>
    </row>
    <row r="19" spans="1:13" ht="30" customHeight="1" x14ac:dyDescent="0.2">
      <c r="A19" s="13"/>
      <c r="B19" s="137"/>
      <c r="C19" s="29" t="s">
        <v>40</v>
      </c>
      <c r="D19" s="29"/>
      <c r="E19" s="17"/>
      <c r="F19" s="132"/>
      <c r="G19" s="132"/>
      <c r="H19" s="132"/>
      <c r="I19" s="132"/>
      <c r="J19" s="11"/>
      <c r="K19" s="11"/>
      <c r="L19" s="11"/>
      <c r="M19" s="11"/>
    </row>
    <row r="20" spans="1:13" ht="30" customHeight="1" x14ac:dyDescent="0.2">
      <c r="A20" s="13"/>
      <c r="B20" s="30" t="s">
        <v>41</v>
      </c>
      <c r="C20" s="31"/>
      <c r="D20" s="31" t="e">
        <f>PHP!F55</f>
        <v>#NAME?</v>
      </c>
      <c r="E20" s="17"/>
      <c r="F20" s="132"/>
      <c r="G20" s="132"/>
      <c r="H20" s="132"/>
      <c r="I20" s="132"/>
      <c r="J20" s="11"/>
      <c r="K20" s="11"/>
      <c r="L20" s="11"/>
      <c r="M20" s="11"/>
    </row>
    <row r="21" spans="1:13" ht="25.5" customHeight="1" x14ac:dyDescent="0.2">
      <c r="A21" s="11"/>
      <c r="B21" s="24"/>
      <c r="C21" s="24"/>
      <c r="D21" s="24"/>
      <c r="E21" s="11"/>
      <c r="F21" s="132"/>
      <c r="G21" s="132"/>
      <c r="H21" s="132"/>
      <c r="I21" s="132"/>
      <c r="J21" s="11"/>
      <c r="K21" s="11"/>
      <c r="L21" s="11"/>
      <c r="M21" s="11"/>
    </row>
    <row r="22" spans="1:13" ht="8.25" customHeight="1" x14ac:dyDescent="0.2">
      <c r="A22" s="11"/>
      <c r="B22" s="11"/>
      <c r="C22" s="11"/>
      <c r="D22" s="11"/>
      <c r="E22" s="11"/>
      <c r="F22" s="132"/>
      <c r="G22" s="132"/>
      <c r="H22" s="132"/>
      <c r="I22" s="132"/>
      <c r="J22" s="11"/>
      <c r="K22" s="11"/>
      <c r="L22" s="11"/>
      <c r="M22" s="11"/>
    </row>
    <row r="23" spans="1:13" x14ac:dyDescent="0.2">
      <c r="A23" s="11"/>
      <c r="B23" s="132"/>
      <c r="C23" s="132"/>
      <c r="D23" s="132"/>
      <c r="E23" s="11"/>
      <c r="F23" s="11"/>
      <c r="G23" s="11"/>
      <c r="H23" s="11"/>
      <c r="I23" s="11"/>
      <c r="J23" s="11"/>
      <c r="K23" s="11"/>
      <c r="L23" s="11"/>
      <c r="M23" s="11"/>
    </row>
    <row r="24" spans="1:13" x14ac:dyDescent="0.2">
      <c r="A24" s="11"/>
      <c r="B24" s="132"/>
      <c r="C24" s="132"/>
      <c r="D24" s="132"/>
      <c r="E24" s="11"/>
      <c r="F24" s="11"/>
      <c r="G24" s="11"/>
      <c r="H24" s="11"/>
      <c r="I24" s="11"/>
      <c r="J24" s="11"/>
      <c r="K24" s="11"/>
      <c r="L24" s="11"/>
      <c r="M24" s="11"/>
    </row>
    <row r="25" spans="1:13" x14ac:dyDescent="0.2">
      <c r="A25" s="11"/>
      <c r="B25" s="132"/>
      <c r="C25" s="132"/>
      <c r="D25" s="132"/>
      <c r="E25" s="11"/>
      <c r="F25" s="11"/>
      <c r="G25" s="11"/>
      <c r="H25" s="11"/>
      <c r="I25" s="11"/>
      <c r="J25" s="11"/>
      <c r="K25" s="11"/>
      <c r="L25" s="11"/>
      <c r="M25" s="11"/>
    </row>
    <row r="26" spans="1:13" x14ac:dyDescent="0.2">
      <c r="A26" s="11"/>
      <c r="B26" s="132"/>
      <c r="C26" s="132"/>
      <c r="D26" s="132"/>
      <c r="E26" s="11"/>
      <c r="F26" s="11"/>
      <c r="G26" s="11"/>
      <c r="H26" s="11"/>
      <c r="I26" s="11"/>
      <c r="J26" s="11"/>
      <c r="K26" s="11"/>
      <c r="L26" s="11"/>
      <c r="M26" s="11"/>
    </row>
    <row r="27" spans="1:13" x14ac:dyDescent="0.2">
      <c r="A27" s="11"/>
      <c r="B27" s="132"/>
      <c r="C27" s="132"/>
      <c r="D27" s="132"/>
      <c r="E27" s="11"/>
      <c r="F27" s="11"/>
      <c r="G27" s="11"/>
      <c r="H27" s="11"/>
      <c r="I27" s="11"/>
      <c r="J27" s="11"/>
      <c r="K27" s="11"/>
      <c r="L27" s="11"/>
      <c r="M27" s="11"/>
    </row>
    <row r="28" spans="1:13" x14ac:dyDescent="0.2">
      <c r="A28" s="11"/>
      <c r="B28" s="132"/>
      <c r="C28" s="132"/>
      <c r="D28" s="132"/>
      <c r="E28" s="11"/>
      <c r="F28" s="11"/>
      <c r="G28" s="11"/>
      <c r="H28" s="11"/>
      <c r="I28" s="11"/>
      <c r="J28" s="11"/>
      <c r="K28" s="11"/>
      <c r="L28" s="11"/>
      <c r="M28" s="11"/>
    </row>
    <row r="29" spans="1:13" x14ac:dyDescent="0.2">
      <c r="A29" s="11"/>
      <c r="B29" s="132"/>
      <c r="C29" s="132"/>
      <c r="D29" s="132"/>
      <c r="E29" s="11"/>
      <c r="F29" s="11"/>
      <c r="G29" s="11"/>
      <c r="H29" s="11"/>
      <c r="I29" s="11"/>
      <c r="J29" s="11"/>
      <c r="K29" s="11"/>
      <c r="L29" s="11"/>
      <c r="M29" s="11"/>
    </row>
    <row r="30" spans="1:13" x14ac:dyDescent="0.2">
      <c r="A30" s="11"/>
      <c r="B30" s="132"/>
      <c r="C30" s="132"/>
      <c r="D30" s="132"/>
      <c r="E30" s="11"/>
      <c r="F30" s="11"/>
      <c r="G30" s="11"/>
      <c r="H30" s="11"/>
      <c r="I30" s="11"/>
      <c r="J30" s="11"/>
      <c r="K30" s="11"/>
      <c r="L30" s="11"/>
      <c r="M30" s="11"/>
    </row>
    <row r="31" spans="1:13" x14ac:dyDescent="0.2">
      <c r="A31" s="11"/>
      <c r="B31" s="132"/>
      <c r="C31" s="132"/>
      <c r="D31" s="132"/>
      <c r="E31" s="11"/>
      <c r="F31" s="11"/>
      <c r="G31" s="11"/>
      <c r="H31" s="11"/>
      <c r="I31" s="11"/>
      <c r="J31" s="11"/>
      <c r="K31" s="11"/>
      <c r="L31" s="11"/>
      <c r="M31" s="11"/>
    </row>
    <row r="32" spans="1:13" x14ac:dyDescent="0.2">
      <c r="A32" s="11"/>
      <c r="B32" s="132"/>
      <c r="C32" s="132"/>
      <c r="D32" s="132"/>
      <c r="E32" s="11"/>
      <c r="F32" s="11"/>
      <c r="G32" s="11"/>
      <c r="H32" s="11"/>
      <c r="I32" s="11"/>
      <c r="J32" s="11"/>
      <c r="K32" s="11"/>
      <c r="L32" s="11"/>
      <c r="M32" s="11"/>
    </row>
    <row r="33" spans="1:13" x14ac:dyDescent="0.2">
      <c r="A33" s="11"/>
      <c r="B33" s="132"/>
      <c r="C33" s="132"/>
      <c r="D33" s="132"/>
      <c r="E33" s="11"/>
      <c r="F33" s="11"/>
      <c r="G33" s="11"/>
      <c r="H33" s="11"/>
      <c r="I33" s="11"/>
      <c r="J33" s="11"/>
      <c r="K33" s="11"/>
      <c r="L33" s="11"/>
      <c r="M33" s="11"/>
    </row>
    <row r="34" spans="1:13" x14ac:dyDescent="0.2">
      <c r="A34" s="11"/>
      <c r="B34" s="11"/>
      <c r="C34" s="11"/>
      <c r="D34" s="11"/>
      <c r="E34" s="11"/>
      <c r="F34" s="11"/>
      <c r="G34" s="11"/>
      <c r="H34" s="11"/>
      <c r="I34" s="11"/>
      <c r="J34" s="11"/>
      <c r="K34" s="11"/>
      <c r="L34" s="11"/>
      <c r="M34" s="11"/>
    </row>
    <row r="35" spans="1:13" x14ac:dyDescent="0.2">
      <c r="A35" s="11"/>
      <c r="B35" s="11"/>
      <c r="C35" s="11"/>
      <c r="D35" s="11"/>
      <c r="E35" s="11"/>
      <c r="F35" s="11"/>
      <c r="G35" s="11"/>
      <c r="H35" s="11"/>
      <c r="I35" s="11"/>
      <c r="J35" s="11"/>
      <c r="K35" s="11"/>
      <c r="L35" s="11"/>
      <c r="M35" s="11"/>
    </row>
    <row r="36" spans="1:13" x14ac:dyDescent="0.2">
      <c r="A36" s="11"/>
      <c r="B36" s="11"/>
      <c r="C36" s="11"/>
      <c r="D36" s="11"/>
      <c r="E36" s="11"/>
      <c r="F36" s="11"/>
      <c r="G36" s="11"/>
      <c r="H36" s="11"/>
      <c r="I36" s="11"/>
      <c r="J36" s="11"/>
      <c r="K36" s="11"/>
      <c r="L36" s="11"/>
      <c r="M36" s="11"/>
    </row>
    <row r="37" spans="1:13" x14ac:dyDescent="0.2">
      <c r="A37" s="11"/>
      <c r="B37" s="11"/>
      <c r="C37" s="11"/>
      <c r="D37" s="11"/>
      <c r="E37" s="11"/>
      <c r="F37" s="11"/>
      <c r="G37" s="11"/>
      <c r="H37" s="11"/>
      <c r="I37" s="11"/>
      <c r="J37" s="11"/>
      <c r="K37" s="11"/>
      <c r="L37" s="11"/>
      <c r="M37" s="11"/>
    </row>
    <row r="38" spans="1:13" x14ac:dyDescent="0.2">
      <c r="A38" s="11"/>
      <c r="B38" s="11"/>
      <c r="C38" s="11"/>
      <c r="D38" s="11"/>
      <c r="E38" s="11"/>
      <c r="F38" s="11"/>
      <c r="G38" s="11"/>
      <c r="H38" s="11"/>
      <c r="I38" s="11"/>
      <c r="J38" s="11"/>
      <c r="K38" s="11"/>
      <c r="L38" s="11"/>
      <c r="M38" s="11"/>
    </row>
    <row r="39" spans="1:13" x14ac:dyDescent="0.2">
      <c r="A39" s="11"/>
      <c r="B39" s="11"/>
      <c r="C39" s="11"/>
      <c r="D39" s="11"/>
      <c r="E39" s="11"/>
      <c r="F39" s="11"/>
      <c r="G39" s="11"/>
      <c r="H39" s="11"/>
      <c r="I39" s="11"/>
      <c r="J39" s="11"/>
      <c r="K39" s="11"/>
      <c r="L39" s="11"/>
      <c r="M39" s="11"/>
    </row>
    <row r="40" spans="1:13" x14ac:dyDescent="0.2">
      <c r="A40" s="11"/>
      <c r="B40" s="11"/>
      <c r="C40" s="11"/>
      <c r="D40" s="11"/>
      <c r="E40" s="11"/>
      <c r="F40" s="11"/>
      <c r="G40" s="11"/>
      <c r="H40" s="11"/>
      <c r="I40" s="11"/>
      <c r="J40" s="11"/>
      <c r="K40" s="11"/>
      <c r="L40" s="11"/>
      <c r="M40" s="11"/>
    </row>
    <row r="41" spans="1:13" x14ac:dyDescent="0.2">
      <c r="A41" s="11"/>
      <c r="B41" s="11"/>
      <c r="C41" s="11"/>
      <c r="D41" s="11"/>
      <c r="E41" s="11"/>
      <c r="F41" s="11"/>
      <c r="G41" s="11"/>
      <c r="H41" s="11"/>
      <c r="I41" s="11"/>
      <c r="J41" s="11"/>
      <c r="K41" s="11"/>
      <c r="L41" s="11"/>
      <c r="M41" s="11"/>
    </row>
    <row r="42" spans="1:13" x14ac:dyDescent="0.2">
      <c r="A42" s="11"/>
      <c r="B42" s="11"/>
      <c r="C42" s="11"/>
      <c r="D42" s="11"/>
      <c r="E42" s="11"/>
      <c r="F42" s="11"/>
      <c r="G42" s="11"/>
      <c r="H42" s="11"/>
      <c r="I42" s="11"/>
      <c r="J42" s="11"/>
      <c r="K42" s="11"/>
      <c r="L42" s="11"/>
      <c r="M42" s="11"/>
    </row>
    <row r="43" spans="1:13" x14ac:dyDescent="0.2">
      <c r="A43" s="11"/>
      <c r="B43" s="11"/>
      <c r="C43" s="11"/>
      <c r="D43" s="11"/>
      <c r="E43" s="11"/>
      <c r="F43" s="11"/>
      <c r="G43" s="11"/>
      <c r="H43" s="11"/>
      <c r="I43" s="11"/>
      <c r="J43" s="11"/>
      <c r="K43" s="11"/>
      <c r="L43" s="11"/>
      <c r="M43" s="11"/>
    </row>
    <row r="44" spans="1:13" x14ac:dyDescent="0.2">
      <c r="A44" s="11"/>
      <c r="B44" s="11"/>
      <c r="C44" s="11"/>
      <c r="D44" s="11"/>
      <c r="E44" s="11"/>
      <c r="F44" s="11"/>
      <c r="G44" s="11"/>
      <c r="H44" s="11"/>
      <c r="I44" s="11"/>
      <c r="J44" s="11"/>
      <c r="K44" s="11"/>
      <c r="L44" s="11"/>
      <c r="M44" s="11"/>
    </row>
    <row r="45" spans="1:13" x14ac:dyDescent="0.2">
      <c r="A45" s="11"/>
      <c r="B45" s="11"/>
      <c r="C45" s="11"/>
      <c r="D45" s="11"/>
      <c r="E45" s="11"/>
      <c r="F45" s="11"/>
      <c r="G45" s="11"/>
      <c r="H45" s="11"/>
      <c r="I45" s="11"/>
      <c r="J45" s="11"/>
      <c r="K45" s="11"/>
      <c r="L45" s="11"/>
      <c r="M45" s="11"/>
    </row>
    <row r="46" spans="1:13" x14ac:dyDescent="0.2">
      <c r="A46" s="11"/>
      <c r="B46" s="11"/>
      <c r="C46" s="11"/>
      <c r="D46" s="11"/>
      <c r="E46" s="11"/>
      <c r="F46" s="11"/>
      <c r="G46" s="11"/>
      <c r="H46" s="11"/>
      <c r="I46" s="11"/>
      <c r="J46" s="11"/>
      <c r="K46" s="11"/>
      <c r="L46" s="11"/>
      <c r="M46" s="11"/>
    </row>
    <row r="47" spans="1:13" x14ac:dyDescent="0.2">
      <c r="A47" s="11"/>
      <c r="B47" s="11"/>
      <c r="C47" s="11"/>
      <c r="D47" s="11"/>
      <c r="E47" s="11"/>
      <c r="F47" s="11"/>
      <c r="G47" s="11"/>
      <c r="H47" s="11"/>
      <c r="I47" s="11"/>
      <c r="J47" s="11"/>
      <c r="K47" s="11"/>
      <c r="L47" s="11"/>
      <c r="M47" s="11"/>
    </row>
    <row r="48" spans="1:13" x14ac:dyDescent="0.2">
      <c r="A48" s="11"/>
      <c r="B48" s="11"/>
      <c r="C48" s="11"/>
      <c r="D48" s="11"/>
      <c r="E48" s="11"/>
      <c r="F48" s="11"/>
      <c r="G48" s="11"/>
      <c r="H48" s="11"/>
      <c r="I48" s="11"/>
      <c r="J48" s="11"/>
      <c r="K48" s="11"/>
      <c r="L48" s="11"/>
      <c r="M48" s="11"/>
    </row>
    <row r="49" spans="1:13" x14ac:dyDescent="0.2">
      <c r="A49" s="11"/>
      <c r="B49" s="11"/>
      <c r="C49" s="11"/>
      <c r="D49" s="11"/>
      <c r="E49" s="11"/>
      <c r="F49" s="11"/>
      <c r="G49" s="11"/>
      <c r="H49" s="11"/>
      <c r="I49" s="11"/>
      <c r="J49" s="11"/>
      <c r="K49" s="11"/>
      <c r="L49" s="11"/>
      <c r="M49" s="11"/>
    </row>
    <row r="50" spans="1:13" x14ac:dyDescent="0.2">
      <c r="A50" s="11"/>
      <c r="B50" s="11"/>
      <c r="C50" s="11"/>
      <c r="D50" s="11"/>
      <c r="E50" s="11"/>
      <c r="F50" s="11"/>
      <c r="G50" s="11"/>
      <c r="H50" s="11"/>
      <c r="I50" s="11"/>
      <c r="J50" s="11"/>
      <c r="K50" s="11"/>
      <c r="L50" s="11"/>
      <c r="M50" s="11"/>
    </row>
    <row r="51" spans="1:13" x14ac:dyDescent="0.2">
      <c r="A51" s="11"/>
      <c r="B51" s="11"/>
      <c r="C51" s="11"/>
      <c r="D51" s="11"/>
      <c r="E51" s="11"/>
      <c r="F51" s="11"/>
      <c r="G51" s="11"/>
      <c r="H51" s="11"/>
      <c r="I51" s="11"/>
      <c r="J51" s="11"/>
      <c r="K51" s="11"/>
      <c r="L51" s="11"/>
      <c r="M51" s="11"/>
    </row>
    <row r="52" spans="1:13" x14ac:dyDescent="0.2">
      <c r="A52" s="11"/>
      <c r="B52" s="11"/>
      <c r="C52" s="11"/>
      <c r="D52" s="11"/>
      <c r="E52" s="11"/>
      <c r="F52" s="11"/>
      <c r="G52" s="11"/>
      <c r="H52" s="11"/>
      <c r="I52" s="11"/>
      <c r="J52" s="11"/>
      <c r="K52" s="11"/>
      <c r="L52" s="11"/>
      <c r="M52" s="11"/>
    </row>
    <row r="53" spans="1:13" x14ac:dyDescent="0.2">
      <c r="A53" s="11"/>
      <c r="B53" s="11"/>
      <c r="C53" s="11"/>
      <c r="D53" s="11"/>
      <c r="E53" s="11"/>
      <c r="F53" s="11"/>
      <c r="G53" s="11"/>
      <c r="H53" s="11"/>
      <c r="I53" s="11"/>
      <c r="J53" s="11"/>
      <c r="K53" s="11"/>
      <c r="L53" s="11"/>
      <c r="M53" s="11"/>
    </row>
    <row r="54" spans="1:13" x14ac:dyDescent="0.2">
      <c r="A54" s="11"/>
      <c r="B54" s="11"/>
      <c r="C54" s="11"/>
      <c r="D54" s="11"/>
      <c r="E54" s="11"/>
      <c r="F54" s="11"/>
      <c r="G54" s="11"/>
      <c r="H54" s="11"/>
      <c r="I54" s="11"/>
      <c r="J54" s="11"/>
      <c r="K54" s="11"/>
      <c r="L54" s="11"/>
      <c r="M54" s="11"/>
    </row>
    <row r="55" spans="1:13" x14ac:dyDescent="0.2">
      <c r="A55" s="11"/>
      <c r="B55" s="11"/>
      <c r="C55" s="11"/>
      <c r="D55" s="11"/>
      <c r="E55" s="11"/>
      <c r="F55" s="11"/>
      <c r="G55" s="11"/>
      <c r="H55" s="11"/>
      <c r="I55" s="11"/>
      <c r="J55" s="11"/>
      <c r="K55" s="11"/>
      <c r="L55" s="11"/>
      <c r="M55" s="11"/>
    </row>
    <row r="56" spans="1:13" x14ac:dyDescent="0.2">
      <c r="A56" s="11"/>
      <c r="B56" s="11"/>
      <c r="C56" s="11"/>
      <c r="D56" s="11"/>
      <c r="E56" s="11"/>
      <c r="F56" s="11"/>
      <c r="G56" s="11"/>
      <c r="H56" s="11"/>
      <c r="I56" s="11"/>
      <c r="J56" s="11"/>
      <c r="K56" s="11"/>
      <c r="L56" s="11"/>
      <c r="M56" s="11"/>
    </row>
    <row r="57" spans="1:13" x14ac:dyDescent="0.2">
      <c r="A57" s="11"/>
      <c r="B57" s="11"/>
      <c r="C57" s="11"/>
      <c r="D57" s="11"/>
      <c r="E57" s="11"/>
      <c r="F57" s="11"/>
      <c r="G57" s="11"/>
      <c r="H57" s="11"/>
      <c r="I57" s="11"/>
      <c r="J57" s="11"/>
      <c r="K57" s="11"/>
      <c r="L57" s="11"/>
      <c r="M57" s="11"/>
    </row>
    <row r="58" spans="1:13" x14ac:dyDescent="0.2">
      <c r="A58" s="11"/>
      <c r="B58" s="11"/>
      <c r="C58" s="11"/>
      <c r="D58" s="11"/>
      <c r="E58" s="11"/>
      <c r="F58" s="11"/>
      <c r="G58" s="11"/>
      <c r="H58" s="11"/>
      <c r="I58" s="11"/>
      <c r="J58" s="11"/>
      <c r="K58" s="11"/>
      <c r="L58" s="11"/>
      <c r="M58" s="11"/>
    </row>
    <row r="59" spans="1:13" x14ac:dyDescent="0.2">
      <c r="A59" s="11"/>
      <c r="B59" s="11"/>
      <c r="C59" s="11"/>
      <c r="D59" s="11"/>
      <c r="E59" s="11"/>
      <c r="F59" s="11"/>
      <c r="G59" s="11"/>
      <c r="H59" s="11"/>
      <c r="I59" s="11"/>
      <c r="J59" s="11"/>
      <c r="K59" s="11"/>
      <c r="L59" s="11"/>
      <c r="M59" s="11"/>
    </row>
    <row r="60" spans="1:13" x14ac:dyDescent="0.2">
      <c r="A60" s="11"/>
      <c r="B60" s="11"/>
      <c r="C60" s="11"/>
      <c r="D60" s="11"/>
      <c r="E60" s="11"/>
      <c r="F60" s="11"/>
      <c r="G60" s="11"/>
      <c r="H60" s="11"/>
      <c r="I60" s="11"/>
      <c r="J60" s="11"/>
      <c r="K60" s="11"/>
      <c r="L60" s="11"/>
      <c r="M60" s="11"/>
    </row>
    <row r="61" spans="1:13" x14ac:dyDescent="0.2">
      <c r="A61" s="11"/>
      <c r="B61" s="11"/>
      <c r="C61" s="11"/>
      <c r="D61" s="11"/>
      <c r="E61" s="11"/>
      <c r="F61" s="11"/>
      <c r="G61" s="11"/>
      <c r="H61" s="11"/>
      <c r="I61" s="11"/>
      <c r="J61" s="11"/>
      <c r="K61" s="11"/>
      <c r="L61" s="11"/>
      <c r="M61" s="11"/>
    </row>
    <row r="62" spans="1:13" x14ac:dyDescent="0.2">
      <c r="A62" s="11"/>
      <c r="B62" s="11"/>
      <c r="C62" s="11"/>
      <c r="D62" s="11"/>
      <c r="E62" s="11"/>
      <c r="F62" s="11"/>
      <c r="G62" s="11"/>
      <c r="H62" s="11"/>
      <c r="I62" s="11"/>
      <c r="J62" s="11"/>
      <c r="K62" s="11"/>
      <c r="L62" s="11"/>
      <c r="M62" s="11"/>
    </row>
    <row r="63" spans="1:13" x14ac:dyDescent="0.2">
      <c r="A63" s="11"/>
      <c r="B63" s="11"/>
      <c r="C63" s="11"/>
      <c r="D63" s="11"/>
      <c r="E63" s="11"/>
      <c r="F63" s="11"/>
      <c r="G63" s="11"/>
      <c r="H63" s="11"/>
      <c r="I63" s="11"/>
      <c r="J63" s="11"/>
      <c r="K63" s="11"/>
      <c r="L63" s="11"/>
      <c r="M63" s="11"/>
    </row>
    <row r="64" spans="1:13" x14ac:dyDescent="0.2">
      <c r="A64" s="11"/>
      <c r="B64" s="11"/>
      <c r="C64" s="11"/>
      <c r="D64" s="11"/>
      <c r="E64" s="11"/>
      <c r="F64" s="11"/>
      <c r="G64" s="11"/>
      <c r="H64" s="11"/>
      <c r="I64" s="11"/>
      <c r="J64" s="11"/>
      <c r="K64" s="11"/>
      <c r="L64" s="11"/>
      <c r="M64" s="11"/>
    </row>
    <row r="65" spans="1:13" x14ac:dyDescent="0.2">
      <c r="A65" s="11"/>
      <c r="B65" s="11"/>
      <c r="C65" s="11"/>
      <c r="D65" s="11"/>
      <c r="E65" s="11"/>
      <c r="F65" s="11"/>
      <c r="G65" s="11"/>
      <c r="H65" s="11"/>
      <c r="I65" s="11"/>
      <c r="J65" s="11"/>
      <c r="K65" s="11"/>
      <c r="L65" s="11"/>
      <c r="M65" s="11"/>
    </row>
    <row r="66" spans="1:13" x14ac:dyDescent="0.2">
      <c r="A66" s="11"/>
      <c r="B66" s="11"/>
      <c r="C66" s="11"/>
      <c r="D66" s="11"/>
      <c r="E66" s="11"/>
      <c r="F66" s="11"/>
      <c r="G66" s="11"/>
      <c r="H66" s="11"/>
      <c r="I66" s="11"/>
      <c r="J66" s="11"/>
      <c r="K66" s="11"/>
      <c r="L66" s="11"/>
      <c r="M66" s="11"/>
    </row>
    <row r="67" spans="1:13" x14ac:dyDescent="0.2">
      <c r="A67" s="11"/>
      <c r="B67" s="11"/>
      <c r="C67" s="11"/>
      <c r="D67" s="11"/>
      <c r="E67" s="11"/>
      <c r="F67" s="11"/>
      <c r="G67" s="11"/>
      <c r="H67" s="11"/>
      <c r="I67" s="11"/>
      <c r="J67" s="11"/>
      <c r="K67" s="11"/>
      <c r="L67" s="11"/>
      <c r="M67" s="11"/>
    </row>
    <row r="68" spans="1:13" x14ac:dyDescent="0.2">
      <c r="A68" s="11"/>
      <c r="B68" s="11"/>
      <c r="C68" s="11"/>
      <c r="D68" s="11"/>
      <c r="E68" s="11"/>
      <c r="F68" s="11"/>
      <c r="G68" s="11"/>
      <c r="H68" s="11"/>
      <c r="I68" s="11"/>
      <c r="J68" s="11"/>
      <c r="K68" s="11"/>
      <c r="L68" s="11"/>
      <c r="M68" s="11"/>
    </row>
    <row r="69" spans="1:13" x14ac:dyDescent="0.2">
      <c r="A69" s="11"/>
      <c r="B69" s="11"/>
      <c r="C69" s="11"/>
      <c r="D69" s="11"/>
      <c r="E69" s="11"/>
      <c r="F69" s="11"/>
      <c r="G69" s="11"/>
      <c r="H69" s="11"/>
      <c r="I69" s="11"/>
      <c r="J69" s="11"/>
      <c r="K69" s="11"/>
      <c r="L69" s="11"/>
      <c r="M69" s="11"/>
    </row>
    <row r="70" spans="1:13" x14ac:dyDescent="0.2">
      <c r="A70" s="11"/>
      <c r="B70" s="11"/>
      <c r="C70" s="11"/>
      <c r="D70" s="11"/>
      <c r="E70" s="11"/>
      <c r="F70" s="11"/>
      <c r="G70" s="11"/>
      <c r="H70" s="11"/>
      <c r="I70" s="11"/>
      <c r="J70" s="11"/>
      <c r="K70" s="11"/>
      <c r="L70" s="11"/>
      <c r="M70" s="11"/>
    </row>
    <row r="71" spans="1:13" x14ac:dyDescent="0.2">
      <c r="A71" s="11"/>
      <c r="B71" s="11"/>
      <c r="C71" s="11"/>
      <c r="D71" s="11"/>
      <c r="E71" s="11"/>
      <c r="F71" s="11"/>
      <c r="G71" s="11"/>
      <c r="H71" s="11"/>
      <c r="I71" s="11"/>
      <c r="J71" s="11"/>
      <c r="K71" s="11"/>
      <c r="L71" s="11"/>
      <c r="M71" s="11"/>
    </row>
    <row r="72" spans="1:13" x14ac:dyDescent="0.2">
      <c r="A72" s="11"/>
      <c r="B72" s="11"/>
      <c r="C72" s="11"/>
      <c r="D72" s="11"/>
      <c r="E72" s="11"/>
      <c r="F72" s="11"/>
      <c r="G72" s="11"/>
      <c r="H72" s="11"/>
      <c r="I72" s="11"/>
      <c r="J72" s="11"/>
      <c r="K72" s="11"/>
      <c r="L72" s="11"/>
      <c r="M72" s="11"/>
    </row>
    <row r="73" spans="1:13" x14ac:dyDescent="0.2">
      <c r="A73" s="11"/>
      <c r="B73" s="11"/>
      <c r="C73" s="11"/>
      <c r="D73" s="11"/>
      <c r="E73" s="11"/>
      <c r="F73" s="11"/>
      <c r="G73" s="11"/>
      <c r="H73" s="11"/>
      <c r="I73" s="11"/>
      <c r="J73" s="11"/>
      <c r="K73" s="11"/>
      <c r="L73" s="11"/>
      <c r="M73" s="11"/>
    </row>
    <row r="74" spans="1:13" x14ac:dyDescent="0.2">
      <c r="A74" s="11"/>
      <c r="B74" s="11"/>
      <c r="C74" s="11"/>
      <c r="D74" s="11"/>
      <c r="E74" s="11"/>
      <c r="F74" s="11"/>
      <c r="G74" s="11"/>
      <c r="H74" s="11"/>
      <c r="I74" s="11"/>
      <c r="J74" s="11"/>
      <c r="K74" s="11"/>
      <c r="L74" s="11"/>
      <c r="M74" s="11"/>
    </row>
    <row r="75" spans="1:13" x14ac:dyDescent="0.2">
      <c r="A75" s="11"/>
      <c r="B75" s="11"/>
      <c r="C75" s="11"/>
      <c r="D75" s="11"/>
      <c r="E75" s="11"/>
      <c r="F75" s="11"/>
      <c r="G75" s="11"/>
      <c r="H75" s="11"/>
      <c r="I75" s="11"/>
      <c r="J75" s="11"/>
      <c r="K75" s="11"/>
      <c r="L75" s="11"/>
      <c r="M75" s="11"/>
    </row>
    <row r="76" spans="1:13" x14ac:dyDescent="0.2">
      <c r="A76" s="11"/>
      <c r="B76" s="11"/>
      <c r="C76" s="11"/>
      <c r="D76" s="11"/>
      <c r="E76" s="11"/>
      <c r="F76" s="11"/>
      <c r="G76" s="11"/>
      <c r="H76" s="11"/>
      <c r="I76" s="11"/>
      <c r="J76" s="11"/>
      <c r="K76" s="11"/>
      <c r="L76" s="11"/>
      <c r="M76" s="11"/>
    </row>
    <row r="77" spans="1:13" x14ac:dyDescent="0.2">
      <c r="A77" s="11"/>
      <c r="B77" s="11"/>
      <c r="C77" s="11"/>
      <c r="D77" s="11"/>
      <c r="E77" s="11"/>
      <c r="F77" s="11"/>
      <c r="G77" s="11"/>
      <c r="H77" s="11"/>
      <c r="I77" s="11"/>
      <c r="J77" s="11"/>
      <c r="K77" s="11"/>
      <c r="L77" s="11"/>
      <c r="M77" s="11"/>
    </row>
    <row r="78" spans="1:13" x14ac:dyDescent="0.2">
      <c r="A78" s="11"/>
      <c r="B78" s="11"/>
      <c r="C78" s="11"/>
      <c r="D78" s="11"/>
      <c r="E78" s="11"/>
      <c r="F78" s="11"/>
      <c r="G78" s="11"/>
      <c r="H78" s="11"/>
      <c r="I78" s="11"/>
      <c r="J78" s="11"/>
      <c r="K78" s="11"/>
      <c r="L78" s="11"/>
      <c r="M78" s="11"/>
    </row>
    <row r="79" spans="1:13" x14ac:dyDescent="0.2">
      <c r="A79" s="11"/>
      <c r="B79" s="11"/>
      <c r="C79" s="11"/>
      <c r="D79" s="11"/>
      <c r="E79" s="11"/>
      <c r="F79" s="11"/>
      <c r="G79" s="11"/>
      <c r="H79" s="11"/>
      <c r="I79" s="11"/>
      <c r="J79" s="11"/>
      <c r="K79" s="11"/>
      <c r="L79" s="11"/>
      <c r="M79" s="11"/>
    </row>
    <row r="80" spans="1:13" x14ac:dyDescent="0.2">
      <c r="A80" s="11"/>
      <c r="B80" s="11"/>
      <c r="C80" s="11"/>
      <c r="D80" s="11"/>
      <c r="E80" s="11"/>
      <c r="F80" s="11"/>
      <c r="G80" s="11"/>
      <c r="H80" s="11"/>
      <c r="I80" s="11"/>
      <c r="J80" s="11"/>
      <c r="K80" s="11"/>
      <c r="L80" s="11"/>
      <c r="M80" s="11"/>
    </row>
    <row r="81" spans="1:13" x14ac:dyDescent="0.2">
      <c r="A81" s="11"/>
      <c r="B81" s="11"/>
      <c r="C81" s="11"/>
      <c r="D81" s="11"/>
      <c r="E81" s="11"/>
      <c r="F81" s="11"/>
      <c r="G81" s="11"/>
      <c r="H81" s="11"/>
      <c r="I81" s="11"/>
      <c r="J81" s="11"/>
      <c r="K81" s="11"/>
      <c r="L81" s="11"/>
      <c r="M81" s="11"/>
    </row>
    <row r="82" spans="1:13" x14ac:dyDescent="0.2">
      <c r="A82" s="11"/>
      <c r="B82" s="11"/>
      <c r="C82" s="11"/>
      <c r="D82" s="11"/>
      <c r="E82" s="11"/>
      <c r="F82" s="11"/>
      <c r="G82" s="11"/>
      <c r="H82" s="11"/>
      <c r="I82" s="11"/>
      <c r="J82" s="11"/>
      <c r="K82" s="11"/>
      <c r="L82" s="11"/>
      <c r="M82" s="11"/>
    </row>
    <row r="83" spans="1:13" x14ac:dyDescent="0.2">
      <c r="A83" s="11"/>
      <c r="B83" s="11"/>
      <c r="C83" s="11"/>
      <c r="D83" s="11"/>
      <c r="E83" s="11"/>
      <c r="F83" s="11"/>
      <c r="G83" s="11"/>
      <c r="H83" s="11"/>
      <c r="I83" s="11"/>
      <c r="J83" s="11"/>
      <c r="K83" s="11"/>
      <c r="L83" s="11"/>
      <c r="M83" s="11"/>
    </row>
    <row r="84" spans="1:13" x14ac:dyDescent="0.2">
      <c r="A84" s="11"/>
      <c r="B84" s="11"/>
      <c r="C84" s="11"/>
      <c r="D84" s="11"/>
      <c r="E84" s="11"/>
      <c r="F84" s="11"/>
      <c r="G84" s="11"/>
      <c r="H84" s="11"/>
      <c r="I84" s="11"/>
      <c r="J84" s="11"/>
      <c r="K84" s="11"/>
      <c r="L84" s="11"/>
      <c r="M84" s="11"/>
    </row>
    <row r="85" spans="1:13" x14ac:dyDescent="0.2">
      <c r="A85" s="11"/>
      <c r="B85" s="11"/>
      <c r="C85" s="11"/>
      <c r="D85" s="11"/>
      <c r="E85" s="11"/>
      <c r="F85" s="11"/>
      <c r="G85" s="11"/>
      <c r="H85" s="11"/>
      <c r="I85" s="11"/>
      <c r="J85" s="11"/>
      <c r="K85" s="11"/>
      <c r="L85" s="11"/>
      <c r="M85" s="11"/>
    </row>
    <row r="86" spans="1:13" x14ac:dyDescent="0.2">
      <c r="A86" s="11"/>
      <c r="B86" s="11"/>
      <c r="C86" s="11"/>
      <c r="D86" s="11"/>
      <c r="E86" s="11"/>
      <c r="F86" s="11"/>
      <c r="G86" s="11"/>
      <c r="H86" s="11"/>
      <c r="I86" s="11"/>
      <c r="J86" s="11"/>
      <c r="K86" s="11"/>
      <c r="L86" s="11"/>
      <c r="M86" s="11"/>
    </row>
    <row r="87" spans="1:13" x14ac:dyDescent="0.2">
      <c r="A87" s="11"/>
      <c r="B87" s="11"/>
      <c r="C87" s="11"/>
      <c r="D87" s="11"/>
      <c r="E87" s="11"/>
      <c r="F87" s="11"/>
      <c r="G87" s="11"/>
      <c r="H87" s="11"/>
      <c r="I87" s="11"/>
      <c r="J87" s="11"/>
      <c r="K87" s="11"/>
      <c r="L87" s="11"/>
      <c r="M87" s="11"/>
    </row>
    <row r="88" spans="1:13" x14ac:dyDescent="0.2">
      <c r="A88" s="11"/>
      <c r="B88" s="11"/>
      <c r="C88" s="11"/>
      <c r="D88" s="11"/>
      <c r="E88" s="11"/>
      <c r="F88" s="11"/>
      <c r="G88" s="11"/>
      <c r="H88" s="11"/>
      <c r="I88" s="11"/>
      <c r="J88" s="11"/>
      <c r="K88" s="11"/>
      <c r="L88" s="11"/>
      <c r="M88" s="11"/>
    </row>
    <row r="89" spans="1:13" x14ac:dyDescent="0.2">
      <c r="A89" s="11"/>
      <c r="B89" s="11"/>
      <c r="C89" s="11"/>
      <c r="D89" s="11"/>
      <c r="E89" s="11"/>
      <c r="F89" s="11"/>
      <c r="G89" s="11"/>
      <c r="H89" s="11"/>
      <c r="I89" s="11"/>
      <c r="J89" s="11"/>
      <c r="K89" s="11"/>
      <c r="L89" s="11"/>
      <c r="M89" s="11"/>
    </row>
    <row r="90" spans="1:13" x14ac:dyDescent="0.2">
      <c r="A90" s="11"/>
      <c r="B90" s="11"/>
      <c r="C90" s="11"/>
      <c r="D90" s="11"/>
      <c r="E90" s="11"/>
      <c r="F90" s="11"/>
      <c r="G90" s="11"/>
      <c r="H90" s="11"/>
      <c r="I90" s="11"/>
      <c r="J90" s="11"/>
      <c r="K90" s="11"/>
      <c r="L90" s="11"/>
      <c r="M90" s="11"/>
    </row>
    <row r="91" spans="1:13" x14ac:dyDescent="0.2">
      <c r="A91" s="11"/>
      <c r="B91" s="11"/>
      <c r="C91" s="11"/>
      <c r="D91" s="11"/>
      <c r="E91" s="11"/>
      <c r="F91" s="11"/>
      <c r="G91" s="11"/>
      <c r="H91" s="11"/>
      <c r="I91" s="11"/>
      <c r="J91" s="11"/>
      <c r="K91" s="11"/>
      <c r="L91" s="11"/>
      <c r="M91" s="11"/>
    </row>
    <row r="92" spans="1:13" x14ac:dyDescent="0.2">
      <c r="A92" s="11"/>
      <c r="B92" s="11"/>
      <c r="C92" s="11"/>
      <c r="D92" s="11"/>
      <c r="E92" s="11"/>
      <c r="F92" s="11"/>
      <c r="G92" s="11"/>
      <c r="H92" s="11"/>
      <c r="I92" s="11"/>
      <c r="J92" s="11"/>
      <c r="K92" s="11"/>
      <c r="L92" s="11"/>
      <c r="M92" s="11"/>
    </row>
    <row r="93" spans="1:13" x14ac:dyDescent="0.2">
      <c r="A93" s="11"/>
      <c r="B93" s="11"/>
      <c r="C93" s="11"/>
      <c r="D93" s="11"/>
      <c r="E93" s="11"/>
      <c r="F93" s="11"/>
      <c r="G93" s="11"/>
      <c r="H93" s="11"/>
      <c r="I93" s="11"/>
      <c r="J93" s="11"/>
      <c r="K93" s="11"/>
      <c r="L93" s="11"/>
      <c r="M93" s="11"/>
    </row>
    <row r="94" spans="1:13" x14ac:dyDescent="0.2">
      <c r="A94" s="11"/>
      <c r="B94" s="11"/>
      <c r="C94" s="11"/>
      <c r="D94" s="11"/>
      <c r="E94" s="11"/>
      <c r="F94" s="11"/>
      <c r="G94" s="11"/>
      <c r="H94" s="11"/>
      <c r="I94" s="11"/>
      <c r="J94" s="11"/>
      <c r="K94" s="11"/>
      <c r="L94" s="11"/>
      <c r="M94" s="11"/>
    </row>
    <row r="95" spans="1:13" x14ac:dyDescent="0.2">
      <c r="A95" s="11"/>
      <c r="B95" s="11"/>
      <c r="C95" s="11"/>
      <c r="D95" s="11"/>
      <c r="E95" s="11"/>
      <c r="F95" s="11"/>
      <c r="G95" s="11"/>
      <c r="H95" s="11"/>
      <c r="I95" s="11"/>
      <c r="J95" s="11"/>
      <c r="K95" s="11"/>
      <c r="L95" s="11"/>
      <c r="M95" s="11"/>
    </row>
    <row r="96" spans="1:13" x14ac:dyDescent="0.2">
      <c r="A96" s="11"/>
      <c r="B96" s="11"/>
      <c r="C96" s="11"/>
      <c r="D96" s="11"/>
      <c r="E96" s="11"/>
      <c r="F96" s="11"/>
      <c r="G96" s="11"/>
      <c r="H96" s="11"/>
      <c r="I96" s="11"/>
      <c r="J96" s="11"/>
      <c r="K96" s="11"/>
      <c r="L96" s="11"/>
      <c r="M96" s="11"/>
    </row>
    <row r="97" spans="1:13" x14ac:dyDescent="0.2">
      <c r="A97" s="11"/>
      <c r="B97" s="11"/>
      <c r="C97" s="11"/>
      <c r="D97" s="11"/>
      <c r="E97" s="11"/>
      <c r="F97" s="11"/>
      <c r="G97" s="11"/>
      <c r="H97" s="11"/>
      <c r="I97" s="11"/>
      <c r="J97" s="11"/>
      <c r="K97" s="11"/>
      <c r="L97" s="11"/>
      <c r="M97" s="11"/>
    </row>
    <row r="98" spans="1:13" x14ac:dyDescent="0.2">
      <c r="A98" s="11"/>
      <c r="B98" s="11"/>
      <c r="C98" s="11"/>
      <c r="D98" s="11"/>
      <c r="E98" s="11"/>
      <c r="F98" s="11"/>
      <c r="G98" s="11"/>
      <c r="H98" s="11"/>
      <c r="I98" s="11"/>
      <c r="J98" s="11"/>
      <c r="K98" s="11"/>
      <c r="L98" s="11"/>
      <c r="M98" s="11"/>
    </row>
    <row r="99" spans="1:13" x14ac:dyDescent="0.2">
      <c r="A99" s="11"/>
      <c r="B99" s="11"/>
      <c r="C99" s="11"/>
      <c r="D99" s="11"/>
      <c r="E99" s="11"/>
      <c r="F99" s="11"/>
      <c r="G99" s="11"/>
      <c r="H99" s="11"/>
      <c r="I99" s="11"/>
      <c r="J99" s="11"/>
      <c r="K99" s="11"/>
      <c r="L99" s="11"/>
      <c r="M99" s="11"/>
    </row>
    <row r="100" spans="1:13" x14ac:dyDescent="0.2">
      <c r="A100" s="11"/>
      <c r="B100" s="11"/>
      <c r="C100" s="11"/>
      <c r="D100" s="11"/>
      <c r="E100" s="11"/>
      <c r="F100" s="11"/>
      <c r="G100" s="11"/>
      <c r="H100" s="11"/>
      <c r="I100" s="11"/>
      <c r="J100" s="11"/>
      <c r="K100" s="11"/>
      <c r="L100" s="11"/>
      <c r="M100" s="11"/>
    </row>
    <row r="101" spans="1:13" x14ac:dyDescent="0.2">
      <c r="A101" s="11"/>
      <c r="B101" s="11"/>
      <c r="C101" s="11"/>
      <c r="D101" s="11"/>
      <c r="E101" s="11"/>
      <c r="F101" s="11"/>
      <c r="G101" s="11"/>
      <c r="H101" s="11"/>
      <c r="I101" s="11"/>
      <c r="J101" s="11"/>
      <c r="K101" s="11"/>
      <c r="L101" s="11"/>
      <c r="M101" s="11"/>
    </row>
    <row r="102" spans="1:13" x14ac:dyDescent="0.2">
      <c r="A102" s="11"/>
      <c r="B102" s="11"/>
      <c r="C102" s="11"/>
      <c r="D102" s="11"/>
      <c r="E102" s="11"/>
      <c r="F102" s="11"/>
      <c r="G102" s="11"/>
      <c r="H102" s="11"/>
      <c r="I102" s="11"/>
      <c r="J102" s="11"/>
      <c r="K102" s="11"/>
      <c r="L102" s="11"/>
      <c r="M102" s="11"/>
    </row>
    <row r="103" spans="1:13" x14ac:dyDescent="0.2">
      <c r="A103" s="11"/>
      <c r="B103" s="11"/>
      <c r="C103" s="11"/>
      <c r="D103" s="11"/>
      <c r="E103" s="11"/>
      <c r="F103" s="11"/>
      <c r="G103" s="11"/>
      <c r="H103" s="11"/>
      <c r="I103" s="11"/>
      <c r="J103" s="11"/>
      <c r="K103" s="11"/>
      <c r="L103" s="11"/>
      <c r="M103" s="11"/>
    </row>
    <row r="104" spans="1:13" x14ac:dyDescent="0.2">
      <c r="A104" s="11"/>
      <c r="B104" s="11"/>
      <c r="C104" s="11"/>
      <c r="D104" s="11"/>
      <c r="E104" s="11"/>
      <c r="F104" s="11"/>
      <c r="G104" s="11"/>
      <c r="H104" s="11"/>
      <c r="I104" s="11"/>
      <c r="J104" s="11"/>
      <c r="K104" s="11"/>
      <c r="L104" s="11"/>
      <c r="M104" s="11"/>
    </row>
    <row r="105" spans="1:13" x14ac:dyDescent="0.2">
      <c r="A105" s="11"/>
      <c r="B105" s="11"/>
      <c r="C105" s="11"/>
      <c r="D105" s="11"/>
      <c r="E105" s="11"/>
      <c r="F105" s="11"/>
      <c r="G105" s="11"/>
      <c r="H105" s="11"/>
      <c r="I105" s="11"/>
      <c r="J105" s="11"/>
      <c r="K105" s="11"/>
      <c r="L105" s="11"/>
      <c r="M105" s="11"/>
    </row>
    <row r="106" spans="1:13" x14ac:dyDescent="0.2">
      <c r="A106" s="11"/>
      <c r="B106" s="11"/>
      <c r="C106" s="11"/>
      <c r="D106" s="11"/>
      <c r="E106" s="11"/>
      <c r="F106" s="11"/>
      <c r="G106" s="11"/>
      <c r="H106" s="11"/>
      <c r="I106" s="11"/>
      <c r="J106" s="11"/>
      <c r="K106" s="11"/>
      <c r="L106" s="11"/>
      <c r="M106" s="11"/>
    </row>
    <row r="107" spans="1:13" x14ac:dyDescent="0.2">
      <c r="A107" s="11"/>
      <c r="B107" s="11"/>
      <c r="C107" s="11"/>
      <c r="D107" s="11"/>
      <c r="E107" s="11"/>
      <c r="F107" s="11"/>
      <c r="G107" s="11"/>
      <c r="H107" s="11"/>
      <c r="I107" s="11"/>
      <c r="J107" s="11"/>
      <c r="K107" s="11"/>
      <c r="L107" s="11"/>
      <c r="M107" s="11"/>
    </row>
    <row r="108" spans="1:13" x14ac:dyDescent="0.2">
      <c r="A108" s="11"/>
      <c r="B108" s="11"/>
      <c r="C108" s="11"/>
      <c r="D108" s="11"/>
      <c r="E108" s="11"/>
      <c r="F108" s="11"/>
      <c r="G108" s="11"/>
      <c r="H108" s="11"/>
      <c r="I108" s="11"/>
      <c r="J108" s="11"/>
      <c r="K108" s="11"/>
      <c r="L108" s="11"/>
      <c r="M108" s="11"/>
    </row>
    <row r="109" spans="1:13" x14ac:dyDescent="0.2">
      <c r="A109" s="11"/>
      <c r="B109" s="11"/>
      <c r="C109" s="11"/>
      <c r="D109" s="11"/>
      <c r="E109" s="11"/>
      <c r="F109" s="11"/>
      <c r="G109" s="11"/>
      <c r="H109" s="11"/>
      <c r="I109" s="11"/>
      <c r="J109" s="11"/>
      <c r="K109" s="11"/>
      <c r="L109" s="11"/>
      <c r="M109" s="11"/>
    </row>
    <row r="110" spans="1:13" x14ac:dyDescent="0.2">
      <c r="A110" s="11"/>
      <c r="B110" s="11"/>
      <c r="C110" s="11"/>
      <c r="D110" s="11"/>
      <c r="E110" s="11"/>
      <c r="F110" s="11"/>
      <c r="G110" s="11"/>
      <c r="H110" s="11"/>
      <c r="I110" s="11"/>
      <c r="J110" s="11"/>
      <c r="K110" s="11"/>
      <c r="L110" s="11"/>
      <c r="M110" s="11"/>
    </row>
    <row r="111" spans="1:13" x14ac:dyDescent="0.2">
      <c r="A111" s="11"/>
      <c r="B111" s="11"/>
      <c r="C111" s="11"/>
      <c r="D111" s="11"/>
      <c r="E111" s="11"/>
      <c r="F111" s="11"/>
      <c r="G111" s="11"/>
      <c r="H111" s="11"/>
      <c r="I111" s="11"/>
      <c r="J111" s="11"/>
      <c r="K111" s="11"/>
      <c r="L111" s="11"/>
      <c r="M111" s="11"/>
    </row>
  </sheetData>
  <mergeCells count="8">
    <mergeCell ref="F9:I9"/>
    <mergeCell ref="F10:I22"/>
    <mergeCell ref="B15:B16"/>
    <mergeCell ref="B18:B19"/>
    <mergeCell ref="B23:D33"/>
    <mergeCell ref="C5:D5"/>
    <mergeCell ref="C6:D6"/>
    <mergeCell ref="C7:D7"/>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pane ySplit="2" topLeftCell="A3" activePane="bottomLeft" state="frozen"/>
      <selection pane="bottomLeft" activeCell="A3" sqref="A3"/>
    </sheetView>
  </sheetViews>
  <sheetFormatPr defaultColWidth="17.140625" defaultRowHeight="12.75" customHeight="1" x14ac:dyDescent="0.2"/>
  <cols>
    <col min="1" max="5" width="30.7109375" style="10" customWidth="1"/>
    <col min="6" max="6" width="9.28515625" style="10" customWidth="1"/>
    <col min="7" max="7" width="9.28515625" style="10" hidden="1" customWidth="1"/>
    <col min="8" max="8" width="27.85546875" style="10" customWidth="1"/>
  </cols>
  <sheetData>
    <row r="1" spans="1:8" s="3" customFormat="1" ht="21.75" customHeight="1" x14ac:dyDescent="0.2">
      <c r="A1" s="143" t="s">
        <v>42</v>
      </c>
      <c r="B1" s="144"/>
      <c r="C1" s="144"/>
      <c r="D1" s="144"/>
      <c r="E1" s="144"/>
      <c r="F1" s="144"/>
      <c r="G1" s="144"/>
      <c r="H1" s="144"/>
    </row>
    <row r="2" spans="1:8" x14ac:dyDescent="0.2">
      <c r="A2" s="32" t="s">
        <v>1</v>
      </c>
      <c r="B2" s="32" t="s">
        <v>5</v>
      </c>
      <c r="C2" s="32" t="s">
        <v>9</v>
      </c>
      <c r="D2" s="32" t="s">
        <v>12</v>
      </c>
      <c r="E2" s="32" t="s">
        <v>14</v>
      </c>
      <c r="F2" s="32" t="s">
        <v>43</v>
      </c>
      <c r="G2" s="33" t="s">
        <v>44</v>
      </c>
      <c r="H2" s="34" t="s">
        <v>25</v>
      </c>
    </row>
    <row r="3" spans="1:8" x14ac:dyDescent="0.2">
      <c r="A3" s="141" t="s">
        <v>45</v>
      </c>
      <c r="B3" s="141"/>
      <c r="C3" s="141"/>
      <c r="D3" s="141"/>
      <c r="E3" s="141"/>
      <c r="F3" s="141"/>
      <c r="G3" s="145"/>
      <c r="H3" s="142"/>
    </row>
    <row r="4" spans="1:8" x14ac:dyDescent="0.2">
      <c r="A4" s="35" t="s">
        <v>46</v>
      </c>
      <c r="B4" s="35"/>
      <c r="C4" s="35"/>
      <c r="D4" s="35"/>
      <c r="E4" s="35"/>
      <c r="F4" s="36" t="s">
        <v>7</v>
      </c>
      <c r="G4" s="37"/>
      <c r="H4" s="35"/>
    </row>
    <row r="5" spans="1:8" x14ac:dyDescent="0.2">
      <c r="A5" s="35" t="s">
        <v>47</v>
      </c>
      <c r="B5" s="35"/>
      <c r="C5" s="35"/>
      <c r="D5" s="35"/>
      <c r="E5" s="35"/>
      <c r="F5" s="36" t="s">
        <v>7</v>
      </c>
      <c r="G5" s="37"/>
      <c r="H5" s="35"/>
    </row>
    <row r="6" spans="1:8" x14ac:dyDescent="0.2">
      <c r="A6" s="35" t="s">
        <v>48</v>
      </c>
      <c r="B6" s="35"/>
      <c r="C6" s="35"/>
      <c r="D6" s="35"/>
      <c r="E6" s="35"/>
      <c r="F6" s="36" t="s">
        <v>7</v>
      </c>
      <c r="G6" s="37"/>
      <c r="H6" s="35"/>
    </row>
    <row r="7" spans="1:8" x14ac:dyDescent="0.2">
      <c r="A7" s="35" t="s">
        <v>49</v>
      </c>
      <c r="B7" s="35"/>
      <c r="C7" s="35"/>
      <c r="D7" s="35"/>
      <c r="E7" s="35"/>
      <c r="F7" s="36" t="s">
        <v>7</v>
      </c>
      <c r="G7" s="37"/>
      <c r="H7" s="35"/>
    </row>
    <row r="8" spans="1:8" x14ac:dyDescent="0.2">
      <c r="A8" s="35"/>
      <c r="B8" s="35" t="s">
        <v>50</v>
      </c>
      <c r="C8" s="35"/>
      <c r="D8" s="35"/>
      <c r="E8" s="35"/>
      <c r="F8" s="36" t="s">
        <v>7</v>
      </c>
      <c r="G8" s="37"/>
      <c r="H8" s="35"/>
    </row>
    <row r="9" spans="1:8" x14ac:dyDescent="0.2">
      <c r="A9" s="35"/>
      <c r="B9" s="4" t="str">
        <f>HYPERLINK("http://en.wikipedia.org/wiki/Release_management","Release Management")</f>
        <v>Release Management</v>
      </c>
      <c r="C9" s="35"/>
      <c r="D9" s="35"/>
      <c r="E9" s="35"/>
      <c r="F9" s="36" t="s">
        <v>7</v>
      </c>
      <c r="G9" s="37"/>
      <c r="H9" s="35"/>
    </row>
    <row r="10" spans="1:8" x14ac:dyDescent="0.2">
      <c r="A10" s="35"/>
      <c r="B10" s="35" t="s">
        <v>51</v>
      </c>
      <c r="C10" s="35"/>
      <c r="D10" s="35"/>
      <c r="E10" s="35"/>
      <c r="F10" s="36" t="s">
        <v>7</v>
      </c>
      <c r="G10" s="37"/>
      <c r="H10" s="35"/>
    </row>
    <row r="11" spans="1:8" x14ac:dyDescent="0.2">
      <c r="A11" s="35"/>
      <c r="B11" s="35" t="s">
        <v>52</v>
      </c>
      <c r="C11" s="35"/>
      <c r="D11" s="35"/>
      <c r="E11" s="35"/>
      <c r="F11" s="36" t="s">
        <v>7</v>
      </c>
      <c r="G11" s="37"/>
      <c r="H11" s="35"/>
    </row>
    <row r="12" spans="1:8" x14ac:dyDescent="0.2">
      <c r="A12" s="35"/>
      <c r="B12" s="35"/>
      <c r="C12" s="35" t="s">
        <v>53</v>
      </c>
      <c r="D12" s="35"/>
      <c r="E12" s="35"/>
      <c r="F12" s="36" t="s">
        <v>7</v>
      </c>
      <c r="G12" s="38"/>
      <c r="H12" s="35"/>
    </row>
    <row r="13" spans="1:8" x14ac:dyDescent="0.2">
      <c r="A13" s="141" t="s">
        <v>54</v>
      </c>
      <c r="B13" s="141"/>
      <c r="C13" s="141"/>
      <c r="D13" s="141"/>
      <c r="E13" s="141"/>
      <c r="F13" s="141"/>
      <c r="G13" s="146"/>
      <c r="H13" s="142"/>
    </row>
    <row r="14" spans="1:8" x14ac:dyDescent="0.2">
      <c r="A14" s="35" t="s">
        <v>55</v>
      </c>
      <c r="B14" s="35"/>
      <c r="C14" s="35"/>
      <c r="D14" s="35"/>
      <c r="E14" s="35"/>
      <c r="F14" s="36" t="s">
        <v>7</v>
      </c>
      <c r="G14" s="37"/>
      <c r="H14" s="35"/>
    </row>
    <row r="15" spans="1:8" x14ac:dyDescent="0.2">
      <c r="A15" s="35"/>
      <c r="B15" s="35" t="s">
        <v>56</v>
      </c>
      <c r="C15" s="35"/>
      <c r="D15" s="35"/>
      <c r="E15" s="35"/>
      <c r="F15" s="36" t="s">
        <v>7</v>
      </c>
      <c r="G15" s="37"/>
      <c r="H15" s="35"/>
    </row>
    <row r="16" spans="1:8" x14ac:dyDescent="0.2">
      <c r="A16" s="141" t="s">
        <v>57</v>
      </c>
      <c r="B16" s="141"/>
      <c r="C16" s="141"/>
      <c r="D16" s="141"/>
      <c r="E16" s="141"/>
      <c r="F16" s="141"/>
      <c r="G16" s="146"/>
      <c r="H16" s="142"/>
    </row>
    <row r="17" spans="1:8" x14ac:dyDescent="0.2">
      <c r="A17" s="35" t="s">
        <v>58</v>
      </c>
      <c r="B17" s="35"/>
      <c r="C17" s="35"/>
      <c r="D17" s="35"/>
      <c r="E17" s="35"/>
      <c r="F17" s="36" t="s">
        <v>7</v>
      </c>
      <c r="G17" s="37"/>
      <c r="H17" s="35"/>
    </row>
    <row r="18" spans="1:8" x14ac:dyDescent="0.2">
      <c r="A18" s="35" t="s">
        <v>59</v>
      </c>
      <c r="B18" s="35"/>
      <c r="C18" s="35"/>
      <c r="D18" s="35"/>
      <c r="E18" s="35"/>
      <c r="F18" s="36" t="s">
        <v>7</v>
      </c>
      <c r="G18" s="37"/>
      <c r="H18" s="35"/>
    </row>
    <row r="19" spans="1:8" x14ac:dyDescent="0.2">
      <c r="A19" s="35"/>
      <c r="B19" s="35" t="s">
        <v>60</v>
      </c>
      <c r="C19" s="35"/>
      <c r="D19" s="35"/>
      <c r="E19" s="35"/>
      <c r="F19" s="36" t="s">
        <v>7</v>
      </c>
      <c r="G19" s="37"/>
      <c r="H19" s="35"/>
    </row>
    <row r="20" spans="1:8" x14ac:dyDescent="0.2">
      <c r="A20" s="35"/>
      <c r="B20" s="35" t="s">
        <v>61</v>
      </c>
      <c r="C20" s="35"/>
      <c r="D20" s="35"/>
      <c r="E20" s="35"/>
      <c r="F20" s="36" t="s">
        <v>7</v>
      </c>
      <c r="G20" s="37"/>
      <c r="H20" s="35"/>
    </row>
    <row r="21" spans="1:8" x14ac:dyDescent="0.2">
      <c r="A21" s="35"/>
      <c r="B21" s="35" t="s">
        <v>62</v>
      </c>
      <c r="C21" s="35"/>
      <c r="D21" s="35"/>
      <c r="E21" s="35"/>
      <c r="F21" s="36" t="s">
        <v>7</v>
      </c>
      <c r="G21" s="35"/>
      <c r="H21" s="35"/>
    </row>
    <row r="22" spans="1:8" x14ac:dyDescent="0.2">
      <c r="A22" s="35"/>
      <c r="B22" s="35" t="s">
        <v>63</v>
      </c>
      <c r="C22" s="35"/>
      <c r="D22" s="35"/>
      <c r="E22" s="35"/>
      <c r="F22" s="36" t="s">
        <v>7</v>
      </c>
      <c r="G22" s="35"/>
      <c r="H22" s="35"/>
    </row>
    <row r="23" spans="1:8" ht="21" x14ac:dyDescent="0.2">
      <c r="A23" s="35"/>
      <c r="B23" s="35"/>
      <c r="C23" s="35" t="s">
        <v>64</v>
      </c>
      <c r="D23" s="35"/>
      <c r="E23" s="35"/>
      <c r="F23" s="36" t="s">
        <v>7</v>
      </c>
      <c r="G23" s="35"/>
      <c r="H23" s="35"/>
    </row>
    <row r="24" spans="1:8" x14ac:dyDescent="0.2">
      <c r="A24" s="35"/>
      <c r="B24" s="35"/>
      <c r="C24" s="35" t="s">
        <v>65</v>
      </c>
      <c r="D24" s="35"/>
      <c r="E24" s="35"/>
      <c r="F24" s="36" t="s">
        <v>7</v>
      </c>
      <c r="G24" s="35"/>
      <c r="H24" s="35"/>
    </row>
    <row r="25" spans="1:8" x14ac:dyDescent="0.2">
      <c r="A25" s="35"/>
      <c r="B25" s="35"/>
      <c r="C25" s="35" t="s">
        <v>66</v>
      </c>
      <c r="D25" s="35"/>
      <c r="E25" s="35"/>
      <c r="F25" s="36" t="s">
        <v>7</v>
      </c>
      <c r="G25" s="35"/>
      <c r="H25" s="35"/>
    </row>
    <row r="26" spans="1:8" x14ac:dyDescent="0.2">
      <c r="A26" s="35"/>
      <c r="B26" s="35"/>
      <c r="C26" s="35" t="s">
        <v>67</v>
      </c>
      <c r="D26" s="35"/>
      <c r="E26" s="35"/>
      <c r="F26" s="36" t="s">
        <v>7</v>
      </c>
      <c r="G26" s="35"/>
      <c r="H26" s="35"/>
    </row>
    <row r="27" spans="1:8" x14ac:dyDescent="0.2">
      <c r="A27" s="35"/>
      <c r="B27" s="35"/>
      <c r="C27" s="35" t="s">
        <v>68</v>
      </c>
      <c r="D27" s="35"/>
      <c r="E27" s="35"/>
      <c r="F27" s="36" t="s">
        <v>7</v>
      </c>
      <c r="G27" s="35"/>
      <c r="H27" s="35"/>
    </row>
    <row r="28" spans="1:8" x14ac:dyDescent="0.2">
      <c r="A28" s="35"/>
      <c r="B28" s="35"/>
      <c r="C28" s="35" t="s">
        <v>69</v>
      </c>
      <c r="D28" s="35"/>
      <c r="E28" s="35"/>
      <c r="F28" s="36" t="s">
        <v>7</v>
      </c>
      <c r="G28" s="35"/>
      <c r="H28" s="35"/>
    </row>
    <row r="29" spans="1:8" x14ac:dyDescent="0.2">
      <c r="A29" s="35"/>
      <c r="B29" s="35"/>
      <c r="C29" s="35" t="s">
        <v>70</v>
      </c>
      <c r="D29" s="35"/>
      <c r="E29" s="35"/>
      <c r="F29" s="36" t="s">
        <v>7</v>
      </c>
      <c r="G29" s="35"/>
      <c r="H29" s="35"/>
    </row>
    <row r="30" spans="1:8" x14ac:dyDescent="0.2">
      <c r="A30" s="35"/>
      <c r="B30" s="35"/>
      <c r="C30" s="35" t="s">
        <v>71</v>
      </c>
      <c r="D30" s="35"/>
      <c r="E30" s="35"/>
      <c r="F30" s="36" t="s">
        <v>7</v>
      </c>
      <c r="G30" s="35"/>
      <c r="H30" s="35"/>
    </row>
    <row r="31" spans="1:8" x14ac:dyDescent="0.2">
      <c r="A31" s="35"/>
      <c r="B31" s="35"/>
      <c r="C31" s="35" t="s">
        <v>72</v>
      </c>
      <c r="D31" s="35"/>
      <c r="E31" s="35"/>
      <c r="F31" s="36" t="s">
        <v>7</v>
      </c>
      <c r="G31" s="35"/>
      <c r="H31" s="35"/>
    </row>
    <row r="32" spans="1:8" x14ac:dyDescent="0.2">
      <c r="A32" s="35"/>
      <c r="B32" s="35"/>
      <c r="C32" s="35" t="s">
        <v>73</v>
      </c>
      <c r="D32" s="35"/>
      <c r="E32" s="35"/>
      <c r="F32" s="36" t="s">
        <v>7</v>
      </c>
      <c r="G32" s="35"/>
      <c r="H32" s="35"/>
    </row>
    <row r="33" spans="1:8" x14ac:dyDescent="0.2">
      <c r="A33" s="141" t="s">
        <v>74</v>
      </c>
      <c r="B33" s="141"/>
      <c r="C33" s="141"/>
      <c r="D33" s="141"/>
      <c r="E33" s="141"/>
      <c r="F33" s="141"/>
      <c r="G33" s="142"/>
      <c r="H33" s="142"/>
    </row>
    <row r="34" spans="1:8" x14ac:dyDescent="0.2">
      <c r="A34" s="35" t="s">
        <v>75</v>
      </c>
      <c r="B34" s="35"/>
      <c r="C34" s="35"/>
      <c r="D34" s="35"/>
      <c r="E34" s="35"/>
      <c r="F34" s="36" t="s">
        <v>7</v>
      </c>
      <c r="G34" s="35"/>
      <c r="H34" s="35"/>
    </row>
    <row r="35" spans="1:8" x14ac:dyDescent="0.2">
      <c r="A35" s="35"/>
      <c r="B35" s="35" t="s">
        <v>76</v>
      </c>
      <c r="C35" s="35"/>
      <c r="D35" s="35"/>
      <c r="E35" s="35"/>
      <c r="F35" s="36" t="s">
        <v>7</v>
      </c>
      <c r="G35" s="35"/>
      <c r="H35" s="35"/>
    </row>
    <row r="36" spans="1:8" x14ac:dyDescent="0.2">
      <c r="A36" s="35"/>
      <c r="B36" s="35" t="s">
        <v>77</v>
      </c>
      <c r="C36" s="35"/>
      <c r="D36" s="35"/>
      <c r="E36" s="35"/>
      <c r="F36" s="36" t="s">
        <v>7</v>
      </c>
      <c r="G36" s="35"/>
      <c r="H36" s="35"/>
    </row>
    <row r="37" spans="1:8" x14ac:dyDescent="0.2">
      <c r="A37" s="35"/>
      <c r="B37" s="35" t="s">
        <v>78</v>
      </c>
      <c r="C37" s="35"/>
      <c r="D37" s="35"/>
      <c r="E37" s="35"/>
      <c r="F37" s="36" t="s">
        <v>7</v>
      </c>
      <c r="G37" s="35"/>
      <c r="H37" s="35"/>
    </row>
    <row r="38" spans="1:8" x14ac:dyDescent="0.2">
      <c r="A38" s="35"/>
      <c r="B38" s="35"/>
      <c r="C38" s="35" t="s">
        <v>79</v>
      </c>
      <c r="D38" s="35"/>
      <c r="E38" s="35"/>
      <c r="F38" s="36" t="s">
        <v>7</v>
      </c>
      <c r="G38" s="35"/>
      <c r="H38" s="35"/>
    </row>
    <row r="39" spans="1:8" x14ac:dyDescent="0.2">
      <c r="A39" s="141" t="s">
        <v>80</v>
      </c>
      <c r="B39" s="141"/>
      <c r="C39" s="141"/>
      <c r="D39" s="141"/>
      <c r="E39" s="141"/>
      <c r="F39" s="141"/>
      <c r="G39" s="142"/>
      <c r="H39" s="142"/>
    </row>
    <row r="40" spans="1:8" x14ac:dyDescent="0.2">
      <c r="A40" s="35" t="s">
        <v>81</v>
      </c>
      <c r="B40" s="35"/>
      <c r="C40" s="35"/>
      <c r="D40" s="35"/>
      <c r="E40" s="35"/>
      <c r="F40" s="36" t="s">
        <v>7</v>
      </c>
      <c r="G40" s="35"/>
      <c r="H40" s="35"/>
    </row>
    <row r="41" spans="1:8" x14ac:dyDescent="0.2">
      <c r="A41" s="35"/>
      <c r="B41" s="35" t="s">
        <v>60</v>
      </c>
      <c r="C41" s="35"/>
      <c r="D41" s="35"/>
      <c r="E41" s="35"/>
      <c r="F41" s="36" t="s">
        <v>7</v>
      </c>
      <c r="G41" s="35"/>
      <c r="H41" s="35"/>
    </row>
    <row r="42" spans="1:8" x14ac:dyDescent="0.2">
      <c r="A42" s="35"/>
      <c r="B42" s="35" t="s">
        <v>82</v>
      </c>
      <c r="C42" s="35"/>
      <c r="D42" s="35"/>
      <c r="E42" s="35"/>
      <c r="F42" s="36" t="s">
        <v>7</v>
      </c>
      <c r="G42" s="35"/>
      <c r="H42" s="35"/>
    </row>
    <row r="43" spans="1:8" x14ac:dyDescent="0.2">
      <c r="A43" s="35"/>
      <c r="B43" s="35" t="s">
        <v>83</v>
      </c>
      <c r="C43" s="35"/>
      <c r="D43" s="35"/>
      <c r="E43" s="35"/>
      <c r="F43" s="36" t="s">
        <v>7</v>
      </c>
      <c r="G43" s="35"/>
      <c r="H43" s="35"/>
    </row>
    <row r="44" spans="1:8" x14ac:dyDescent="0.2">
      <c r="A44" s="35"/>
      <c r="B44" s="35" t="s">
        <v>84</v>
      </c>
      <c r="C44" s="35"/>
      <c r="D44" s="35"/>
      <c r="E44" s="35"/>
      <c r="F44" s="36" t="s">
        <v>7</v>
      </c>
      <c r="G44" s="35"/>
      <c r="H44" s="35"/>
    </row>
    <row r="45" spans="1:8" x14ac:dyDescent="0.2">
      <c r="A45" s="35"/>
      <c r="B45" s="35"/>
      <c r="C45" s="35" t="s">
        <v>85</v>
      </c>
      <c r="D45" s="35"/>
      <c r="E45" s="35"/>
      <c r="F45" s="36" t="s">
        <v>7</v>
      </c>
      <c r="G45" s="35"/>
      <c r="H45" s="35"/>
    </row>
    <row r="46" spans="1:8" ht="21" x14ac:dyDescent="0.2">
      <c r="A46" s="35"/>
      <c r="B46" s="35"/>
      <c r="C46" s="35" t="s">
        <v>86</v>
      </c>
      <c r="D46" s="35"/>
      <c r="E46" s="35"/>
      <c r="F46" s="36" t="s">
        <v>7</v>
      </c>
      <c r="G46" s="35"/>
      <c r="H46" s="35"/>
    </row>
    <row r="47" spans="1:8" x14ac:dyDescent="0.2">
      <c r="A47" s="35"/>
      <c r="B47" s="35"/>
      <c r="C47" s="35" t="s">
        <v>87</v>
      </c>
      <c r="D47" s="35"/>
      <c r="E47" s="35"/>
      <c r="F47" s="36" t="s">
        <v>7</v>
      </c>
      <c r="G47" s="35"/>
      <c r="H47" s="35"/>
    </row>
  </sheetData>
  <mergeCells count="6">
    <mergeCell ref="A39:H39"/>
    <mergeCell ref="A1:H1"/>
    <mergeCell ref="A3:H3"/>
    <mergeCell ref="A13:H13"/>
    <mergeCell ref="A16:H16"/>
    <mergeCell ref="A33:H33"/>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pane ySplit="2" topLeftCell="A3" activePane="bottomLeft" state="frozen"/>
      <selection pane="bottomLeft" activeCell="A3" sqref="A3"/>
    </sheetView>
  </sheetViews>
  <sheetFormatPr defaultColWidth="17.140625" defaultRowHeight="12.75" customHeight="1" x14ac:dyDescent="0.2"/>
  <cols>
    <col min="1" max="3" width="35.140625" customWidth="1"/>
    <col min="4" max="4" width="10.5703125" customWidth="1"/>
    <col min="5" max="5" width="10.5703125" hidden="1" customWidth="1"/>
    <col min="6" max="6" width="31.85546875" customWidth="1"/>
  </cols>
  <sheetData>
    <row r="1" spans="1:6" ht="21.75" customHeight="1" x14ac:dyDescent="0.2">
      <c r="A1" s="143" t="s">
        <v>88</v>
      </c>
      <c r="B1" s="144"/>
      <c r="C1" s="144"/>
      <c r="D1" s="144"/>
      <c r="E1" s="144"/>
      <c r="F1" s="144"/>
    </row>
    <row r="2" spans="1:6" ht="15" customHeight="1" x14ac:dyDescent="0.2">
      <c r="A2" s="32" t="s">
        <v>89</v>
      </c>
      <c r="B2" s="32" t="s">
        <v>90</v>
      </c>
      <c r="C2" s="32" t="s">
        <v>91</v>
      </c>
      <c r="D2" s="32" t="s">
        <v>43</v>
      </c>
      <c r="E2" s="33" t="s">
        <v>44</v>
      </c>
      <c r="F2" s="34" t="s">
        <v>25</v>
      </c>
    </row>
    <row r="3" spans="1:6" x14ac:dyDescent="0.2">
      <c r="A3" s="141" t="s">
        <v>92</v>
      </c>
      <c r="B3" s="141"/>
      <c r="C3" s="141"/>
      <c r="D3" s="141"/>
      <c r="E3" s="145"/>
      <c r="F3" s="142"/>
    </row>
    <row r="4" spans="1:6" ht="21" customHeight="1" x14ac:dyDescent="0.2">
      <c r="A4" s="35" t="s">
        <v>93</v>
      </c>
      <c r="B4" s="35"/>
      <c r="C4" s="35"/>
      <c r="D4" s="36"/>
      <c r="E4" s="37"/>
      <c r="F4" s="35"/>
    </row>
    <row r="5" spans="1:6" ht="31.5" customHeight="1" x14ac:dyDescent="0.2">
      <c r="A5" s="35" t="s">
        <v>94</v>
      </c>
      <c r="B5" s="35"/>
      <c r="C5" s="35"/>
      <c r="D5" s="36"/>
      <c r="E5" s="37"/>
      <c r="F5" s="35"/>
    </row>
    <row r="6" spans="1:6" ht="21" customHeight="1" x14ac:dyDescent="0.2">
      <c r="A6" s="35" t="s">
        <v>95</v>
      </c>
      <c r="B6" s="35"/>
      <c r="C6" s="35"/>
      <c r="D6" s="36"/>
      <c r="E6" s="37"/>
      <c r="F6" s="35"/>
    </row>
    <row r="7" spans="1:6" ht="15" customHeight="1" x14ac:dyDescent="0.2">
      <c r="A7" s="35" t="s">
        <v>96</v>
      </c>
      <c r="B7" s="35"/>
      <c r="C7" s="35"/>
      <c r="D7" s="36"/>
      <c r="E7" s="37"/>
      <c r="F7" s="35"/>
    </row>
    <row r="8" spans="1:6" ht="21" customHeight="1" x14ac:dyDescent="0.2">
      <c r="A8" s="35" t="s">
        <v>97</v>
      </c>
      <c r="B8" s="35" t="s">
        <v>97</v>
      </c>
      <c r="C8" s="35"/>
      <c r="D8" s="36"/>
      <c r="E8" s="37"/>
      <c r="F8" s="35"/>
    </row>
    <row r="9" spans="1:6" ht="15" customHeight="1" x14ac:dyDescent="0.2">
      <c r="A9" s="35" t="s">
        <v>98</v>
      </c>
      <c r="B9" s="35" t="s">
        <v>98</v>
      </c>
      <c r="C9" s="35"/>
      <c r="D9" s="36"/>
      <c r="E9" s="37"/>
      <c r="F9" s="35"/>
    </row>
    <row r="10" spans="1:6" ht="31.5" customHeight="1" x14ac:dyDescent="0.2">
      <c r="A10" s="35" t="s">
        <v>99</v>
      </c>
      <c r="B10" s="35" t="s">
        <v>99</v>
      </c>
      <c r="C10" s="35"/>
      <c r="D10" s="36"/>
      <c r="E10" s="37"/>
      <c r="F10" s="35"/>
    </row>
    <row r="11" spans="1:6" ht="21" customHeight="1" x14ac:dyDescent="0.2">
      <c r="A11" s="35" t="s">
        <v>100</v>
      </c>
      <c r="B11" s="35" t="s">
        <v>100</v>
      </c>
      <c r="C11" s="35"/>
      <c r="D11" s="36"/>
      <c r="E11" s="37"/>
      <c r="F11" s="35"/>
    </row>
    <row r="12" spans="1:6" ht="15" customHeight="1" x14ac:dyDescent="0.2">
      <c r="A12" s="35" t="s">
        <v>101</v>
      </c>
      <c r="B12" s="35" t="s">
        <v>101</v>
      </c>
      <c r="C12" s="35"/>
      <c r="D12" s="36"/>
      <c r="E12" s="37"/>
      <c r="F12" s="35"/>
    </row>
    <row r="13" spans="1:6" ht="15" customHeight="1" x14ac:dyDescent="0.2">
      <c r="A13" s="35" t="s">
        <v>102</v>
      </c>
      <c r="B13" s="35" t="s">
        <v>102</v>
      </c>
      <c r="C13" s="35"/>
      <c r="D13" s="36"/>
      <c r="E13" s="37"/>
      <c r="F13" s="35"/>
    </row>
    <row r="14" spans="1:6" ht="21" customHeight="1" x14ac:dyDescent="0.2">
      <c r="A14" s="35" t="s">
        <v>103</v>
      </c>
      <c r="B14" s="35" t="s">
        <v>103</v>
      </c>
      <c r="C14" s="35"/>
      <c r="D14" s="36"/>
      <c r="E14" s="37"/>
      <c r="F14" s="35"/>
    </row>
    <row r="15" spans="1:6" ht="15" customHeight="1" x14ac:dyDescent="0.2">
      <c r="A15" s="35"/>
      <c r="B15" s="35" t="s">
        <v>92</v>
      </c>
      <c r="C15" s="35"/>
      <c r="D15" s="36"/>
      <c r="E15" s="37"/>
      <c r="F15" s="35"/>
    </row>
    <row r="16" spans="1:6" ht="21" customHeight="1" x14ac:dyDescent="0.2">
      <c r="A16" s="35" t="s">
        <v>104</v>
      </c>
      <c r="B16" s="35" t="s">
        <v>104</v>
      </c>
      <c r="C16" s="35"/>
      <c r="D16" s="36"/>
      <c r="E16" s="37"/>
      <c r="F16" s="35"/>
    </row>
    <row r="17" spans="1:6" ht="15" customHeight="1" x14ac:dyDescent="0.2">
      <c r="A17" s="35"/>
      <c r="B17" s="35" t="s">
        <v>105</v>
      </c>
      <c r="C17" s="35"/>
      <c r="D17" s="36"/>
      <c r="E17" s="37"/>
      <c r="F17" s="35"/>
    </row>
    <row r="18" spans="1:6" ht="15" customHeight="1" x14ac:dyDescent="0.2">
      <c r="A18" s="35"/>
      <c r="B18" s="35" t="s">
        <v>106</v>
      </c>
      <c r="C18" s="35"/>
      <c r="D18" s="36"/>
      <c r="E18" s="37"/>
      <c r="F18" s="35"/>
    </row>
    <row r="19" spans="1:6" ht="31.5" customHeight="1" x14ac:dyDescent="0.2">
      <c r="A19" s="35"/>
      <c r="B19" s="35" t="s">
        <v>107</v>
      </c>
      <c r="C19" s="35"/>
      <c r="D19" s="36"/>
      <c r="E19" s="37"/>
      <c r="F19" s="35"/>
    </row>
    <row r="20" spans="1:6" ht="21" customHeight="1" x14ac:dyDescent="0.2">
      <c r="A20" s="35"/>
      <c r="B20" s="35" t="s">
        <v>108</v>
      </c>
      <c r="C20" s="35"/>
      <c r="D20" s="36"/>
      <c r="E20" s="37"/>
      <c r="F20" s="35"/>
    </row>
    <row r="21" spans="1:6" ht="15" customHeight="1" x14ac:dyDescent="0.2">
      <c r="A21" s="35" t="s">
        <v>109</v>
      </c>
      <c r="B21" s="35" t="s">
        <v>109</v>
      </c>
      <c r="C21" s="35"/>
      <c r="D21" s="36"/>
      <c r="E21" s="37"/>
      <c r="F21" s="35"/>
    </row>
    <row r="22" spans="1:6" ht="15" customHeight="1" x14ac:dyDescent="0.2">
      <c r="A22" s="35"/>
      <c r="B22" s="35" t="s">
        <v>110</v>
      </c>
      <c r="C22" s="35"/>
      <c r="D22" s="36"/>
      <c r="E22" s="37"/>
      <c r="F22" s="35"/>
    </row>
    <row r="23" spans="1:6" ht="21" customHeight="1" x14ac:dyDescent="0.2">
      <c r="A23" s="35"/>
      <c r="B23" s="35" t="s">
        <v>111</v>
      </c>
      <c r="C23" s="35"/>
      <c r="D23" s="36"/>
      <c r="E23" s="37"/>
      <c r="F23" s="35"/>
    </row>
    <row r="24" spans="1:6" ht="31.5" customHeight="1" x14ac:dyDescent="0.2">
      <c r="A24" s="35"/>
      <c r="B24" s="35" t="s">
        <v>112</v>
      </c>
      <c r="C24" s="35"/>
      <c r="D24" s="36"/>
      <c r="E24" s="37"/>
      <c r="F24" s="35"/>
    </row>
    <row r="25" spans="1:6" ht="21" customHeight="1" x14ac:dyDescent="0.2">
      <c r="A25" s="35"/>
      <c r="B25" s="35" t="s">
        <v>113</v>
      </c>
      <c r="C25" s="35"/>
      <c r="D25" s="36"/>
      <c r="E25" s="37"/>
      <c r="F25" s="35"/>
    </row>
    <row r="26" spans="1:6" ht="21" customHeight="1" x14ac:dyDescent="0.2">
      <c r="A26" s="35" t="s">
        <v>114</v>
      </c>
      <c r="B26" s="35" t="s">
        <v>114</v>
      </c>
      <c r="C26" s="35"/>
      <c r="D26" s="36"/>
      <c r="E26" s="37"/>
      <c r="F26" s="35"/>
    </row>
    <row r="27" spans="1:6" ht="15" customHeight="1" x14ac:dyDescent="0.2">
      <c r="A27" s="35"/>
      <c r="B27" s="35"/>
      <c r="C27" s="35"/>
      <c r="D27" s="36"/>
      <c r="E27" s="38"/>
      <c r="F27" s="35"/>
    </row>
    <row r="28" spans="1:6" ht="15" customHeight="1" x14ac:dyDescent="0.2">
      <c r="A28" s="141" t="s">
        <v>115</v>
      </c>
      <c r="B28" s="141"/>
      <c r="C28" s="141"/>
      <c r="D28" s="141"/>
      <c r="E28" s="146"/>
      <c r="F28" s="142"/>
    </row>
    <row r="29" spans="1:6" ht="15" customHeight="1" x14ac:dyDescent="0.2">
      <c r="A29" s="35" t="s">
        <v>116</v>
      </c>
      <c r="B29" s="35" t="s">
        <v>116</v>
      </c>
      <c r="C29" s="35"/>
      <c r="D29" s="36"/>
      <c r="E29" s="37"/>
      <c r="F29" s="35"/>
    </row>
    <row r="30" spans="1:6" ht="15" customHeight="1" x14ac:dyDescent="0.2">
      <c r="A30" s="35" t="s">
        <v>117</v>
      </c>
      <c r="B30" s="35" t="s">
        <v>117</v>
      </c>
      <c r="C30" s="35"/>
      <c r="D30" s="36"/>
      <c r="E30" s="37"/>
      <c r="F30" s="35"/>
    </row>
    <row r="31" spans="1:6" ht="15" customHeight="1" x14ac:dyDescent="0.2">
      <c r="A31" s="35" t="s">
        <v>118</v>
      </c>
      <c r="B31" s="35"/>
      <c r="C31" s="35"/>
      <c r="D31" s="36"/>
      <c r="E31" s="37"/>
      <c r="F31" s="35"/>
    </row>
    <row r="32" spans="1:6" ht="15" customHeight="1" x14ac:dyDescent="0.2">
      <c r="A32" s="35" t="s">
        <v>119</v>
      </c>
      <c r="B32" s="35" t="s">
        <v>119</v>
      </c>
      <c r="C32" s="35"/>
      <c r="D32" s="36"/>
      <c r="E32" s="37"/>
      <c r="F32" s="35"/>
    </row>
    <row r="33" spans="1:6" ht="15" customHeight="1" x14ac:dyDescent="0.2">
      <c r="A33" s="35" t="s">
        <v>120</v>
      </c>
      <c r="B33" s="35" t="s">
        <v>120</v>
      </c>
      <c r="C33" s="35"/>
      <c r="D33" s="36"/>
      <c r="E33" s="37"/>
      <c r="F33" s="35"/>
    </row>
    <row r="34" spans="1:6" ht="15" customHeight="1" x14ac:dyDescent="0.2">
      <c r="A34" s="35"/>
      <c r="B34" s="35" t="s">
        <v>121</v>
      </c>
      <c r="C34" s="35"/>
      <c r="D34" s="36"/>
      <c r="E34" s="37"/>
      <c r="F34" s="35"/>
    </row>
    <row r="35" spans="1:6" ht="15" customHeight="1" x14ac:dyDescent="0.2">
      <c r="A35" s="35"/>
      <c r="B35" s="35" t="s">
        <v>122</v>
      </c>
      <c r="C35" s="35"/>
      <c r="D35" s="36"/>
      <c r="E35" s="37"/>
      <c r="F35" s="35"/>
    </row>
    <row r="36" spans="1:6" ht="21" customHeight="1" x14ac:dyDescent="0.2">
      <c r="A36" s="35"/>
      <c r="B36" s="35" t="s">
        <v>123</v>
      </c>
      <c r="C36" s="35"/>
      <c r="D36" s="36"/>
      <c r="E36" s="37"/>
      <c r="F36" s="35"/>
    </row>
    <row r="37" spans="1:6" ht="15" customHeight="1" x14ac:dyDescent="0.2">
      <c r="A37" s="35"/>
      <c r="B37" s="35"/>
      <c r="C37" s="35"/>
      <c r="D37" s="36"/>
      <c r="E37" s="37"/>
      <c r="F37" s="35"/>
    </row>
    <row r="38" spans="1:6" ht="15" customHeight="1" x14ac:dyDescent="0.2">
      <c r="A38" s="35"/>
      <c r="B38" s="35"/>
      <c r="C38" s="35"/>
      <c r="D38" s="36"/>
      <c r="E38" s="35"/>
      <c r="F38" s="35"/>
    </row>
  </sheetData>
  <mergeCells count="3">
    <mergeCell ref="A1:F1"/>
    <mergeCell ref="A3:F3"/>
    <mergeCell ref="A28:F28"/>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pane ySplit="2" topLeftCell="A3" activePane="bottomLeft" state="frozen"/>
      <selection pane="bottomLeft" activeCell="A3" sqref="A3"/>
    </sheetView>
  </sheetViews>
  <sheetFormatPr defaultColWidth="10.7109375" defaultRowHeight="12" customHeight="1" x14ac:dyDescent="0.2"/>
  <cols>
    <col min="1" max="5" width="30.7109375" customWidth="1"/>
    <col min="6" max="6" width="9.28515625" customWidth="1"/>
    <col min="7" max="7" width="9.28515625" hidden="1" customWidth="1"/>
    <col min="8" max="8" width="27.85546875" customWidth="1"/>
  </cols>
  <sheetData>
    <row r="1" spans="1:8" ht="24" customHeight="1" x14ac:dyDescent="0.2">
      <c r="A1" s="147" t="s">
        <v>124</v>
      </c>
      <c r="B1" s="147"/>
      <c r="C1" s="147"/>
      <c r="D1" s="147"/>
      <c r="E1" s="147"/>
      <c r="F1" s="39"/>
      <c r="G1" s="40"/>
      <c r="H1" s="41"/>
    </row>
    <row r="2" spans="1:8" ht="12.75" customHeight="1" x14ac:dyDescent="0.2">
      <c r="A2" s="42" t="s">
        <v>125</v>
      </c>
      <c r="B2" s="42" t="s">
        <v>126</v>
      </c>
      <c r="C2" s="42" t="s">
        <v>127</v>
      </c>
      <c r="D2" s="42" t="s">
        <v>128</v>
      </c>
      <c r="E2" s="42" t="s">
        <v>129</v>
      </c>
      <c r="F2" s="32" t="s">
        <v>43</v>
      </c>
      <c r="G2" s="33" t="s">
        <v>44</v>
      </c>
      <c r="H2" s="34" t="s">
        <v>25</v>
      </c>
    </row>
    <row r="3" spans="1:8" ht="12.75" customHeight="1" x14ac:dyDescent="0.2">
      <c r="A3" s="148" t="s">
        <v>130</v>
      </c>
      <c r="B3" s="149"/>
      <c r="C3" s="149"/>
      <c r="D3" s="149"/>
      <c r="E3" s="149"/>
      <c r="F3" s="149"/>
      <c r="G3" s="150"/>
      <c r="H3" s="150"/>
    </row>
    <row r="4" spans="1:8" ht="12.75" customHeight="1" x14ac:dyDescent="0.2">
      <c r="A4" s="43" t="s">
        <v>131</v>
      </c>
      <c r="B4" s="43"/>
      <c r="C4" s="43"/>
      <c r="D4" s="43"/>
      <c r="E4" s="43"/>
      <c r="F4" s="36" t="s">
        <v>7</v>
      </c>
      <c r="G4" s="44"/>
      <c r="H4" s="44"/>
    </row>
    <row r="5" spans="1:8" ht="12.75" customHeight="1" x14ac:dyDescent="0.2">
      <c r="A5" s="43"/>
      <c r="B5" s="43" t="s">
        <v>132</v>
      </c>
      <c r="C5" s="43"/>
      <c r="D5" s="43"/>
      <c r="E5" s="43"/>
      <c r="F5" s="36" t="s">
        <v>7</v>
      </c>
      <c r="G5" s="44"/>
      <c r="H5" s="44"/>
    </row>
    <row r="6" spans="1:8" ht="12.75" customHeight="1" x14ac:dyDescent="0.2">
      <c r="A6" s="43"/>
      <c r="B6" s="43" t="s">
        <v>133</v>
      </c>
      <c r="C6" s="43"/>
      <c r="D6" s="43"/>
      <c r="E6" s="43"/>
      <c r="F6" s="36" t="s">
        <v>7</v>
      </c>
      <c r="G6" s="44"/>
      <c r="H6" s="44"/>
    </row>
    <row r="7" spans="1:8" ht="12.75" customHeight="1" x14ac:dyDescent="0.2">
      <c r="A7" s="43"/>
      <c r="B7" s="43" t="s">
        <v>134</v>
      </c>
      <c r="C7" s="43"/>
      <c r="D7" s="43"/>
      <c r="E7" s="43"/>
      <c r="F7" s="36" t="s">
        <v>7</v>
      </c>
      <c r="G7" s="44"/>
      <c r="H7" s="44"/>
    </row>
    <row r="8" spans="1:8" ht="12.75" customHeight="1" x14ac:dyDescent="0.2">
      <c r="A8" s="43"/>
      <c r="B8" s="43"/>
      <c r="C8" s="43" t="s">
        <v>135</v>
      </c>
      <c r="D8" s="43"/>
      <c r="E8" s="43"/>
      <c r="F8" s="36" t="s">
        <v>7</v>
      </c>
      <c r="G8" s="44"/>
      <c r="H8" s="44"/>
    </row>
    <row r="9" spans="1:8" ht="12.75" customHeight="1" x14ac:dyDescent="0.2">
      <c r="A9" s="43"/>
      <c r="B9" s="43"/>
      <c r="C9" s="43" t="s">
        <v>136</v>
      </c>
      <c r="D9" s="43"/>
      <c r="E9" s="43"/>
      <c r="F9" s="36" t="s">
        <v>7</v>
      </c>
      <c r="G9" s="44"/>
      <c r="H9" s="44"/>
    </row>
    <row r="10" spans="1:8" ht="12.75" customHeight="1" x14ac:dyDescent="0.2">
      <c r="A10" s="43"/>
      <c r="B10" s="43"/>
      <c r="C10" s="43" t="s">
        <v>137</v>
      </c>
      <c r="D10" s="43"/>
      <c r="E10" s="43"/>
      <c r="F10" s="36" t="s">
        <v>7</v>
      </c>
      <c r="G10" s="44"/>
      <c r="H10" s="44"/>
    </row>
    <row r="11" spans="1:8" ht="12.75" customHeight="1" x14ac:dyDescent="0.2">
      <c r="A11" s="43"/>
      <c r="B11" s="43"/>
      <c r="C11" s="43" t="s">
        <v>138</v>
      </c>
      <c r="D11" s="43"/>
      <c r="E11" s="43"/>
      <c r="F11" s="36" t="s">
        <v>7</v>
      </c>
      <c r="G11" s="44"/>
      <c r="H11" s="44"/>
    </row>
    <row r="12" spans="1:8" ht="12.75" customHeight="1" x14ac:dyDescent="0.2">
      <c r="A12" s="43"/>
      <c r="B12" s="43"/>
      <c r="C12" s="43"/>
      <c r="D12" s="43" t="s">
        <v>139</v>
      </c>
      <c r="E12" s="43"/>
      <c r="F12" s="36" t="s">
        <v>7</v>
      </c>
      <c r="G12" s="44"/>
      <c r="H12" s="44"/>
    </row>
    <row r="13" spans="1:8" ht="12.75" customHeight="1" x14ac:dyDescent="0.2">
      <c r="A13" s="43"/>
      <c r="B13" s="43"/>
      <c r="C13" s="43"/>
      <c r="D13" s="43" t="s">
        <v>140</v>
      </c>
      <c r="E13" s="43"/>
      <c r="F13" s="36" t="s">
        <v>7</v>
      </c>
      <c r="G13" s="44"/>
      <c r="H13" s="44"/>
    </row>
    <row r="14" spans="1:8" ht="12.75" customHeight="1" x14ac:dyDescent="0.2">
      <c r="A14" s="45" t="s">
        <v>141</v>
      </c>
      <c r="B14" s="46"/>
      <c r="C14" s="46"/>
      <c r="D14" s="46"/>
      <c r="E14" s="46"/>
      <c r="F14" s="46"/>
      <c r="G14" s="47"/>
      <c r="H14" s="47"/>
    </row>
    <row r="15" spans="1:8" ht="12.75" customHeight="1" x14ac:dyDescent="0.2">
      <c r="A15" s="48" t="str">
        <f>HYPERLINK("http://en.wikipedia.org/wiki/Service-oriented_architecture","Service Oriented Architecture")</f>
        <v>Service Oriented Architecture</v>
      </c>
      <c r="B15" s="43"/>
      <c r="C15" s="43"/>
      <c r="D15" s="43"/>
      <c r="E15" s="43"/>
      <c r="F15" s="36" t="s">
        <v>7</v>
      </c>
      <c r="G15" s="44"/>
      <c r="H15" s="44"/>
    </row>
    <row r="16" spans="1:8" ht="12.75" customHeight="1" x14ac:dyDescent="0.2">
      <c r="A16" s="48" t="str">
        <f>HYPERLINK("http://en.wikipedia.org/wiki/Enterprise_architecture","Enterprise Architecture")</f>
        <v>Enterprise Architecture</v>
      </c>
      <c r="B16" s="43"/>
      <c r="C16" s="43"/>
      <c r="D16" s="43"/>
      <c r="E16" s="43"/>
      <c r="F16" s="36" t="s">
        <v>7</v>
      </c>
      <c r="G16" s="44"/>
      <c r="H16" s="44"/>
    </row>
    <row r="17" spans="1:8" ht="12.75" customHeight="1" x14ac:dyDescent="0.2">
      <c r="A17" s="43" t="str">
        <f>HYPERLINK("http://en.wikipedia.org/wiki/Component-based_software_engineering","")</f>
        <v/>
      </c>
      <c r="B17" s="49" t="str">
        <f>HYPERLINK("http://en.wikipedia.org/wiki/Component-based_software_engineering","Component-based Architecture")</f>
        <v>Component-based Architecture</v>
      </c>
      <c r="C17" s="50"/>
      <c r="D17" s="50"/>
      <c r="E17" s="43" t="str">
        <f>HYPERLINK("http://en.wikipedia.org/wiki/Component-based_software_engineering","")</f>
        <v/>
      </c>
      <c r="F17" s="36" t="s">
        <v>7</v>
      </c>
      <c r="G17" s="44"/>
      <c r="H17" s="44"/>
    </row>
    <row r="18" spans="1:8" ht="12.75" customHeight="1" x14ac:dyDescent="0.2">
      <c r="A18" s="43"/>
      <c r="B18" s="51" t="s">
        <v>142</v>
      </c>
      <c r="C18" s="50"/>
      <c r="D18" s="50"/>
      <c r="E18" s="43"/>
      <c r="F18" s="36" t="s">
        <v>7</v>
      </c>
      <c r="G18" s="44"/>
      <c r="H18" s="44"/>
    </row>
    <row r="19" spans="1:8" ht="12.75" customHeight="1" x14ac:dyDescent="0.2">
      <c r="A19" s="43"/>
      <c r="B19" s="51" t="s">
        <v>143</v>
      </c>
      <c r="C19" s="50"/>
      <c r="D19" s="50"/>
      <c r="E19" s="43"/>
      <c r="F19" s="36" t="s">
        <v>7</v>
      </c>
      <c r="G19" s="44"/>
      <c r="H19" s="44"/>
    </row>
    <row r="20" spans="1:8" ht="12.75" customHeight="1" x14ac:dyDescent="0.2">
      <c r="A20" s="43" t="str">
        <f>HYPERLINK("http://en.wikipedia.org/wiki/Message-oriented_middleware","")</f>
        <v/>
      </c>
      <c r="B20" s="49" t="str">
        <f>HYPERLINK("http://en.wikipedia.org/wiki/Message-oriented_middleware","Message-oriented Architecture")</f>
        <v>Message-oriented Architecture</v>
      </c>
      <c r="C20" s="50"/>
      <c r="D20" s="50"/>
      <c r="E20" s="43" t="str">
        <f>HYPERLINK("http://en.wikipedia.org/wiki/Message-oriented_middleware","")</f>
        <v/>
      </c>
      <c r="F20" s="36" t="s">
        <v>7</v>
      </c>
      <c r="G20" s="44"/>
      <c r="H20" s="44"/>
    </row>
    <row r="21" spans="1:8" ht="12.75" customHeight="1" x14ac:dyDescent="0.2">
      <c r="A21" s="43"/>
      <c r="B21" s="49" t="s">
        <v>144</v>
      </c>
      <c r="C21" s="50"/>
      <c r="D21" s="50"/>
      <c r="E21" s="43"/>
      <c r="F21" s="36" t="s">
        <v>7</v>
      </c>
      <c r="G21" s="44"/>
      <c r="H21" s="44"/>
    </row>
    <row r="22" spans="1:8" ht="12.75" customHeight="1" x14ac:dyDescent="0.2">
      <c r="A22" s="43"/>
      <c r="B22" s="43"/>
      <c r="C22" s="43" t="s">
        <v>145</v>
      </c>
      <c r="D22" s="43"/>
      <c r="E22" s="43"/>
      <c r="F22" s="36" t="s">
        <v>7</v>
      </c>
      <c r="G22" s="44"/>
      <c r="H22" s="44"/>
    </row>
    <row r="23" spans="1:8" ht="12.75" customHeight="1" x14ac:dyDescent="0.2">
      <c r="A23" s="43"/>
      <c r="B23" s="43"/>
      <c r="C23" s="43"/>
      <c r="D23" s="43" t="s">
        <v>146</v>
      </c>
      <c r="E23" s="43"/>
      <c r="F23" s="36" t="s">
        <v>7</v>
      </c>
      <c r="G23" s="44"/>
      <c r="H23" s="44"/>
    </row>
  </sheetData>
  <mergeCells count="2">
    <mergeCell ref="A1:E1"/>
    <mergeCell ref="A3:H3"/>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8"/>
  <sheetViews>
    <sheetView workbookViewId="0">
      <pane ySplit="2" topLeftCell="A3" activePane="bottomLeft" state="frozen"/>
      <selection pane="bottomLeft" activeCell="A3" sqref="A3"/>
    </sheetView>
  </sheetViews>
  <sheetFormatPr defaultColWidth="17.140625" defaultRowHeight="12.75" customHeight="1" x14ac:dyDescent="0.2"/>
  <cols>
    <col min="1" max="5" width="30.7109375" style="10" customWidth="1"/>
    <col min="6" max="6" width="9.28515625" style="10" customWidth="1"/>
    <col min="7" max="7" width="9.28515625" style="10" hidden="1" customWidth="1"/>
    <col min="8" max="8" width="9.28515625" hidden="1" customWidth="1"/>
    <col min="9" max="9" width="35" style="10" customWidth="1"/>
  </cols>
  <sheetData>
    <row r="1" spans="1:9" s="8" customFormat="1" ht="39.75" customHeight="1" x14ac:dyDescent="0.2">
      <c r="A1" s="147" t="s">
        <v>147</v>
      </c>
      <c r="B1" s="147"/>
      <c r="C1" s="147"/>
      <c r="D1" s="147"/>
      <c r="E1" s="147"/>
      <c r="F1" s="39"/>
      <c r="G1" s="52"/>
      <c r="H1" s="41"/>
      <c r="I1" s="41"/>
    </row>
    <row r="2" spans="1:9" ht="21" x14ac:dyDescent="0.2">
      <c r="A2" s="32" t="s">
        <v>1</v>
      </c>
      <c r="B2" s="32" t="s">
        <v>5</v>
      </c>
      <c r="C2" s="32" t="s">
        <v>9</v>
      </c>
      <c r="D2" s="32" t="s">
        <v>12</v>
      </c>
      <c r="E2" s="32" t="s">
        <v>14</v>
      </c>
      <c r="F2" s="32" t="s">
        <v>43</v>
      </c>
      <c r="G2" s="53" t="s">
        <v>148</v>
      </c>
      <c r="H2" s="53" t="s">
        <v>149</v>
      </c>
      <c r="I2" s="34" t="s">
        <v>25</v>
      </c>
    </row>
    <row r="3" spans="1:9" x14ac:dyDescent="0.2">
      <c r="A3" s="169" t="s">
        <v>150</v>
      </c>
      <c r="B3" s="141"/>
      <c r="C3" s="141"/>
      <c r="D3" s="141"/>
      <c r="E3" s="141"/>
      <c r="F3" s="141"/>
      <c r="G3" s="157"/>
      <c r="H3" s="158"/>
      <c r="I3" s="158"/>
    </row>
    <row r="4" spans="1:9" s="10" customFormat="1" x14ac:dyDescent="0.2">
      <c r="A4" s="35"/>
      <c r="B4" s="35" t="str">
        <f>HYPERLINK("http://stackoverflow.com/questions/79923/what-and-where-are-the-stack-and-heap","Memory heap and stack")</f>
        <v>Memory heap and stack</v>
      </c>
      <c r="C4" s="54"/>
      <c r="D4" s="55"/>
      <c r="E4" s="55"/>
      <c r="F4" s="36"/>
      <c r="G4" s="56">
        <f>COUNTIF(F4, "Y")</f>
        <v>0</v>
      </c>
      <c r="H4" s="57">
        <f>COUNTA(F4)</f>
        <v>0</v>
      </c>
      <c r="I4" s="57"/>
    </row>
    <row r="5" spans="1:9" x14ac:dyDescent="0.2">
      <c r="A5" s="35"/>
      <c r="B5" s="35"/>
      <c r="C5" s="58" t="s">
        <v>151</v>
      </c>
      <c r="D5" s="55"/>
      <c r="E5" s="55"/>
      <c r="F5" s="36"/>
      <c r="G5" s="56">
        <f>COUNTIF(F5, "Y")</f>
        <v>0</v>
      </c>
      <c r="H5" s="57">
        <f>COUNTA(F5)</f>
        <v>0</v>
      </c>
      <c r="I5" s="57"/>
    </row>
    <row r="6" spans="1:9" x14ac:dyDescent="0.2">
      <c r="A6" s="35"/>
      <c r="B6" s="35"/>
      <c r="C6" s="58"/>
      <c r="D6" s="58" t="s">
        <v>152</v>
      </c>
      <c r="E6" s="55"/>
      <c r="F6" s="36"/>
      <c r="G6" s="56">
        <f>COUNTIF(F6, "Y")</f>
        <v>0</v>
      </c>
      <c r="H6" s="57">
        <f>COUNTA(F6)</f>
        <v>0</v>
      </c>
      <c r="I6" s="57"/>
    </row>
    <row r="7" spans="1:9" x14ac:dyDescent="0.2">
      <c r="A7" s="169" t="s">
        <v>153</v>
      </c>
      <c r="B7" s="141"/>
      <c r="C7" s="141"/>
      <c r="D7" s="141"/>
      <c r="E7" s="141"/>
      <c r="F7" s="141"/>
      <c r="G7" s="157"/>
      <c r="H7" s="158"/>
      <c r="I7" s="158"/>
    </row>
    <row r="8" spans="1:9" ht="21" x14ac:dyDescent="0.2">
      <c r="A8" s="59" t="s">
        <v>154</v>
      </c>
      <c r="B8" s="35"/>
      <c r="C8" s="35"/>
      <c r="D8" s="35"/>
      <c r="E8" s="35"/>
      <c r="F8" s="36"/>
      <c r="G8" s="164">
        <f>COUNTIF(F8:F10, "Y")</f>
        <v>0</v>
      </c>
      <c r="H8" s="160">
        <f>COUNTA(F8:F10)</f>
        <v>0</v>
      </c>
      <c r="I8" s="57"/>
    </row>
    <row r="9" spans="1:9" x14ac:dyDescent="0.2">
      <c r="A9" s="4" t="str">
        <f>HYPERLINK("http://en.wikipedia.org/wiki/Array_data_structure","Array Data Structure")</f>
        <v>Array Data Structure</v>
      </c>
      <c r="B9" s="35"/>
      <c r="C9" s="35"/>
      <c r="D9" s="35"/>
      <c r="E9" s="35"/>
      <c r="F9" s="36"/>
      <c r="G9" s="164"/>
      <c r="H9" s="145"/>
      <c r="I9" s="60"/>
    </row>
    <row r="10" spans="1:9" x14ac:dyDescent="0.2">
      <c r="A10" s="61" t="str">
        <f>HYPERLINK("http://en.wikipedia.org/wiki/Recursion_(computer_science)","Recursion")</f>
        <v>Recursion</v>
      </c>
      <c r="B10" s="62"/>
      <c r="C10" s="62"/>
      <c r="D10" s="62"/>
      <c r="E10" s="62"/>
      <c r="F10" s="36"/>
      <c r="G10" s="159"/>
      <c r="H10" s="160"/>
      <c r="I10" s="63"/>
    </row>
    <row r="11" spans="1:9" x14ac:dyDescent="0.2">
      <c r="A11" s="24"/>
      <c r="B11" s="64" t="str">
        <f>HYPERLINK("http://en.wikipedia.org/wiki/Hash_function","Hash function")</f>
        <v>Hash function</v>
      </c>
      <c r="C11" s="65"/>
      <c r="D11" s="65"/>
      <c r="E11" s="65"/>
      <c r="F11" s="36"/>
      <c r="G11" s="163">
        <f>COUNTIF(F11:F17, "Y")</f>
        <v>0</v>
      </c>
      <c r="H11" s="162">
        <f>COUNTA(F11:F17)</f>
        <v>0</v>
      </c>
      <c r="I11" s="66"/>
    </row>
    <row r="12" spans="1:9" ht="21" x14ac:dyDescent="0.2">
      <c r="A12" s="4"/>
      <c r="B12" s="4" t="str">
        <f>HYPERLINK("http://en.wikipedia.org/wiki/Plain_old_data_structure","Plain old data structure: POCO/POJO")</f>
        <v>Plain old data structure: POCO/POJO</v>
      </c>
      <c r="C12" s="35"/>
      <c r="D12" s="35"/>
      <c r="E12" s="35"/>
      <c r="F12" s="36"/>
      <c r="G12" s="164"/>
      <c r="H12" s="145"/>
      <c r="I12" s="60"/>
    </row>
    <row r="13" spans="1:9" x14ac:dyDescent="0.2">
      <c r="A13" s="35"/>
      <c r="B13" s="4" t="str">
        <f>HYPERLINK("http://en.wikipedia.org/wiki/Dynamic_array","Dynamic arrays")</f>
        <v>Dynamic arrays</v>
      </c>
      <c r="C13" s="35"/>
      <c r="D13" s="35"/>
      <c r="E13" s="35"/>
      <c r="F13" s="36"/>
      <c r="G13" s="164"/>
      <c r="H13" s="145"/>
      <c r="I13" s="60"/>
    </row>
    <row r="14" spans="1:9" x14ac:dyDescent="0.2">
      <c r="A14" s="35"/>
      <c r="B14" s="35" t="str">
        <f>HYPERLINK("http://en.wikipedia.org/wiki/Linked_list","Linked list")</f>
        <v>Linked list</v>
      </c>
      <c r="C14" s="11"/>
      <c r="D14" s="35"/>
      <c r="E14" s="35"/>
      <c r="F14" s="36"/>
      <c r="G14" s="164"/>
      <c r="H14" s="145"/>
      <c r="I14" s="60"/>
    </row>
    <row r="15" spans="1:9" x14ac:dyDescent="0.2">
      <c r="A15" s="35"/>
      <c r="B15" s="4" t="str">
        <f>HYPERLINK("http://en.wikipedia.org/wiki/Queue_(abstract_data_type)","Queue (abstract data type)")</f>
        <v>Queue (abstract data type)</v>
      </c>
      <c r="C15" s="11"/>
      <c r="D15" s="35"/>
      <c r="E15" s="35"/>
      <c r="F15" s="36"/>
      <c r="G15" s="164"/>
      <c r="H15" s="145"/>
      <c r="I15" s="60"/>
    </row>
    <row r="16" spans="1:9" x14ac:dyDescent="0.2">
      <c r="A16" s="35"/>
      <c r="B16" s="4" t="str">
        <f>HYPERLINK("http://en.wikipedia.org/wiki/Stack_(abstract_data_type)","Stack  (abstract data type)")</f>
        <v>Stack  (abstract data type)</v>
      </c>
      <c r="C16" s="35"/>
      <c r="D16" s="35"/>
      <c r="E16" s="35"/>
      <c r="F16" s="36"/>
      <c r="G16" s="164"/>
      <c r="H16" s="145"/>
      <c r="I16" s="60"/>
    </row>
    <row r="17" spans="1:9" x14ac:dyDescent="0.2">
      <c r="A17" s="62"/>
      <c r="B17" s="61" t="str">
        <f>HYPERLINK("http://en.wikipedia.org/wiki/Immutable_object","Immutable object")</f>
        <v>Immutable object</v>
      </c>
      <c r="C17" s="67"/>
      <c r="D17" s="62"/>
      <c r="E17" s="62"/>
      <c r="F17" s="36"/>
      <c r="G17" s="159"/>
      <c r="H17" s="160"/>
      <c r="I17" s="63"/>
    </row>
    <row r="18" spans="1:9" x14ac:dyDescent="0.2">
      <c r="A18" s="65"/>
      <c r="B18" s="65"/>
      <c r="C18" s="64" t="str">
        <f>HYPERLINK("http://en.wikipedia.org/wiki/Hash_table","Hash Table")</f>
        <v>Hash Table</v>
      </c>
      <c r="D18" s="65"/>
      <c r="E18" s="65"/>
      <c r="F18" s="36"/>
      <c r="G18" s="161">
        <f>COUNTIF(F18:F21, "Y")</f>
        <v>0</v>
      </c>
      <c r="H18" s="162">
        <f>COUNTA(F18:F21)</f>
        <v>0</v>
      </c>
      <c r="I18" s="66"/>
    </row>
    <row r="19" spans="1:9" x14ac:dyDescent="0.2">
      <c r="A19" s="35"/>
      <c r="B19" s="35"/>
      <c r="C19" s="4" t="str">
        <f>HYPERLINK("http://en.wikipedia.org/wiki/Sorting_algorithm","Basic Sorting algorithms")</f>
        <v>Basic Sorting algorithms</v>
      </c>
      <c r="D19" s="35"/>
      <c r="E19" s="35"/>
      <c r="F19" s="36"/>
      <c r="G19" s="164"/>
      <c r="H19" s="145"/>
      <c r="I19" s="60"/>
    </row>
    <row r="20" spans="1:9" ht="21" x14ac:dyDescent="0.2">
      <c r="A20" s="35"/>
      <c r="B20" s="35"/>
      <c r="C20" s="4" t="str">
        <f>HYPERLINK("http://en.wikipedia.org/wiki/Analysis_of_algorithms","Understanding algorithm complexity")</f>
        <v>Understanding algorithm complexity</v>
      </c>
      <c r="D20" s="35"/>
      <c r="E20" s="35"/>
      <c r="F20" s="36"/>
      <c r="G20" s="164"/>
      <c r="H20" s="145"/>
      <c r="I20" s="60"/>
    </row>
    <row r="21" spans="1:9" x14ac:dyDescent="0.2">
      <c r="A21" s="62"/>
      <c r="B21" s="62"/>
      <c r="C21" s="61" t="str">
        <f>HYPERLINK("http://en.wikipedia.org/wiki/Tree_(data_structure)","Basic Trees")</f>
        <v>Basic Trees</v>
      </c>
      <c r="D21" s="62"/>
      <c r="E21" s="62"/>
      <c r="F21" s="36"/>
      <c r="G21" s="159"/>
      <c r="H21" s="160"/>
      <c r="I21" s="63"/>
    </row>
    <row r="22" spans="1:9" x14ac:dyDescent="0.2">
      <c r="A22" s="65"/>
      <c r="B22" s="65"/>
      <c r="C22" s="64"/>
      <c r="D22" s="64" t="str">
        <f>HYPERLINK("http://en.wikipedia.org/wiki/Graph_(data_structure)","Graph data structure")</f>
        <v>Graph data structure</v>
      </c>
      <c r="E22" s="65"/>
      <c r="F22" s="36"/>
      <c r="G22" s="163">
        <f>COUNTIF(F22:F26, "Y")</f>
        <v>0</v>
      </c>
      <c r="H22" s="165">
        <f>COUNTA(F22:F26)</f>
        <v>0</v>
      </c>
      <c r="I22" s="66"/>
    </row>
    <row r="23" spans="1:9" ht="21" x14ac:dyDescent="0.2">
      <c r="A23" s="35"/>
      <c r="B23" s="35"/>
      <c r="C23" s="35"/>
      <c r="D23" s="35" t="str">
        <f>HYPERLINK("http://en.wikipedia.org/wiki/Breadth-first_search", "Basic Graph algorithms: Breadth-first_search (BFS)")</f>
        <v>Basic Graph algorithms: Breadth-first_search (BFS)</v>
      </c>
      <c r="E23" s="35"/>
      <c r="F23" s="36"/>
      <c r="G23" s="164"/>
      <c r="H23" s="145"/>
      <c r="I23" s="57"/>
    </row>
    <row r="24" spans="1:9" ht="21" x14ac:dyDescent="0.2">
      <c r="A24" s="35"/>
      <c r="B24" s="35"/>
      <c r="C24" s="35"/>
      <c r="D24" s="35" t="str">
        <f>HYPERLINK("http://en.wikipedia.org/wiki/Depth-first_search", "Basic Graph algorithms: Depth-first_search (DFS)")</f>
        <v>Basic Graph algorithms: Depth-first_search (DFS)</v>
      </c>
      <c r="E24" s="35"/>
      <c r="F24" s="36"/>
      <c r="G24" s="164"/>
      <c r="H24" s="145"/>
      <c r="I24" s="57"/>
    </row>
    <row r="25" spans="1:9" ht="21" x14ac:dyDescent="0.2">
      <c r="A25" s="35"/>
      <c r="B25" s="35"/>
      <c r="C25" s="35"/>
      <c r="D25" s="35" t="str">
        <f>HYPERLINK("http://en.wikipedia.org/wiki/Red%E2%80%93black_tree","Red black tree (or any nonbasic tree)")</f>
        <v>Red black tree (or any nonbasic tree)</v>
      </c>
      <c r="E25" s="35"/>
      <c r="F25" s="36"/>
      <c r="G25" s="164"/>
      <c r="H25" s="145"/>
      <c r="I25" s="57"/>
    </row>
    <row r="26" spans="1:9" x14ac:dyDescent="0.2">
      <c r="A26" s="35"/>
      <c r="B26" s="35"/>
      <c r="C26" s="35"/>
      <c r="D26" s="35" t="str">
        <f>HYPERLINK("http://en.wikipedia.org/wiki/Divide_and_conquer_algorithm","Divide-and-Conquer")</f>
        <v>Divide-and-Conquer</v>
      </c>
      <c r="E26" s="35"/>
      <c r="F26" s="36"/>
      <c r="G26" s="164"/>
      <c r="H26" s="145"/>
      <c r="I26" s="57"/>
    </row>
    <row r="27" spans="1:9" x14ac:dyDescent="0.2">
      <c r="A27" s="169" t="s">
        <v>155</v>
      </c>
      <c r="B27" s="141"/>
      <c r="C27" s="141"/>
      <c r="D27" s="141"/>
      <c r="E27" s="141"/>
      <c r="F27" s="141"/>
      <c r="G27" s="157"/>
      <c r="H27" s="158"/>
      <c r="I27" s="158"/>
    </row>
    <row r="28" spans="1:9" x14ac:dyDescent="0.2">
      <c r="A28" s="35" t="s">
        <v>156</v>
      </c>
      <c r="B28" s="35"/>
      <c r="C28" s="4"/>
      <c r="D28" s="35"/>
      <c r="E28" s="35"/>
      <c r="F28" s="36"/>
      <c r="G28" s="159">
        <f>COUNTIF(F28:F30, "Y")</f>
        <v>0</v>
      </c>
      <c r="H28" s="160">
        <f>COUNTA(F28:F30)</f>
        <v>0</v>
      </c>
      <c r="I28" s="57"/>
    </row>
    <row r="29" spans="1:9" x14ac:dyDescent="0.2">
      <c r="A29" s="4" t="str">
        <f>HYPERLINK("http://en.wikipedia.org/wiki/Object-oriented_programming","OOP fundamentals")</f>
        <v>OOP fundamentals</v>
      </c>
      <c r="B29" s="35"/>
      <c r="C29" s="4"/>
      <c r="D29" s="35"/>
      <c r="E29" s="35"/>
      <c r="F29" s="36"/>
      <c r="G29" s="164"/>
      <c r="H29" s="145"/>
      <c r="I29" s="57"/>
    </row>
    <row r="30" spans="1:9" x14ac:dyDescent="0.2">
      <c r="A30" s="62" t="s">
        <v>157</v>
      </c>
      <c r="B30" s="62"/>
      <c r="C30" s="61"/>
      <c r="D30" s="62"/>
      <c r="E30" s="62"/>
      <c r="F30" s="36"/>
      <c r="G30" s="159"/>
      <c r="H30" s="160"/>
      <c r="I30" s="68"/>
    </row>
    <row r="31" spans="1:9" x14ac:dyDescent="0.2">
      <c r="A31" s="65"/>
      <c r="B31" s="64" t="str">
        <f>HYPERLINK("http://en.wikipedia.org/wiki/Don't_repeat_yourself","Code reuse/DRY principle")</f>
        <v>Code reuse/DRY principle</v>
      </c>
      <c r="C31" s="65"/>
      <c r="D31" s="65"/>
      <c r="E31" s="65"/>
      <c r="F31" s="36"/>
      <c r="G31" s="161">
        <f>COUNTIF(F31:F32, "Y")</f>
        <v>0</v>
      </c>
      <c r="H31" s="162">
        <f>COUNTA(F31:F32)</f>
        <v>0</v>
      </c>
      <c r="I31" s="69"/>
    </row>
    <row r="32" spans="1:9" x14ac:dyDescent="0.2">
      <c r="A32" s="61"/>
      <c r="B32" s="61" t="str">
        <f>HYPERLINK("http://en.wikipedia.org/wiki/SOLID_(object-oriented_design)","At least 2 of S.O.L.I.D. principles")</f>
        <v>At least 2 of S.O.L.I.D. principles</v>
      </c>
      <c r="C32" s="62"/>
      <c r="D32" s="62"/>
      <c r="E32" s="62"/>
      <c r="F32" s="36"/>
      <c r="G32" s="159"/>
      <c r="H32" s="160"/>
      <c r="I32" s="68"/>
    </row>
    <row r="33" spans="1:9" x14ac:dyDescent="0.2">
      <c r="A33" s="70"/>
      <c r="B33" s="71"/>
      <c r="C33" s="70" t="str">
        <f>HYPERLINK("http://en.wikipedia.org/wiki/SOLID_(object-oriented_design)","S.O.L.I.D. principles")</f>
        <v>S.O.L.I.D. principles</v>
      </c>
      <c r="D33" s="71"/>
      <c r="E33" s="71"/>
      <c r="F33" s="36"/>
      <c r="G33" s="72">
        <f>COUNTIF(F33, "Y")</f>
        <v>0</v>
      </c>
      <c r="H33" s="73">
        <f>COUNTA(F33)</f>
        <v>0</v>
      </c>
      <c r="I33" s="73"/>
    </row>
    <row r="34" spans="1:9" x14ac:dyDescent="0.2">
      <c r="A34" s="64"/>
      <c r="B34" s="64"/>
      <c r="C34" s="65"/>
      <c r="D34" s="64" t="str">
        <f>HYPERLINK("http://en.wikipedia.org/wiki/GRASP_(object-oriented_design)","G.R.A.S.P. principles")</f>
        <v>G.R.A.S.P. principles</v>
      </c>
      <c r="E34" s="65"/>
      <c r="F34" s="36"/>
      <c r="G34" s="74">
        <f>COUNTIF(F34, "Y")</f>
        <v>0</v>
      </c>
      <c r="H34" s="69">
        <f>COUNTA(F34)</f>
        <v>0</v>
      </c>
      <c r="I34" s="69"/>
    </row>
    <row r="35" spans="1:9" x14ac:dyDescent="0.2">
      <c r="A35" s="169" t="s">
        <v>158</v>
      </c>
      <c r="B35" s="141"/>
      <c r="C35" s="141"/>
      <c r="D35" s="141"/>
      <c r="E35" s="141"/>
      <c r="F35" s="141"/>
      <c r="G35" s="157"/>
      <c r="H35" s="158"/>
      <c r="I35" s="172"/>
    </row>
    <row r="36" spans="1:9" ht="21" x14ac:dyDescent="0.2">
      <c r="A36" s="62" t="s">
        <v>159</v>
      </c>
      <c r="B36" s="62"/>
      <c r="C36" s="62"/>
      <c r="D36" s="62"/>
      <c r="E36" s="62"/>
      <c r="F36" s="75"/>
      <c r="G36" s="76">
        <f>COUNTIF(F36, "Y")</f>
        <v>0</v>
      </c>
      <c r="H36" s="68">
        <f>COUNTA(F36)</f>
        <v>0</v>
      </c>
      <c r="I36" s="63"/>
    </row>
    <row r="37" spans="1:9" ht="21" x14ac:dyDescent="0.2">
      <c r="A37" s="71"/>
      <c r="B37" s="71" t="str">
        <f>HYPERLINK("http://en.wikipedia.org/wiki/Design_Patterns#Creational","Can explain 50% of Creational patterns")</f>
        <v>Can explain 50% of Creational patterns</v>
      </c>
      <c r="C37" s="71"/>
      <c r="D37" s="71"/>
      <c r="E37" s="71"/>
      <c r="F37" s="77"/>
      <c r="G37" s="72">
        <f>COUNTIF(F37, "Y")</f>
        <v>0</v>
      </c>
      <c r="H37" s="73">
        <f>COUNTA(F37)</f>
        <v>0</v>
      </c>
      <c r="I37" s="78"/>
    </row>
    <row r="38" spans="1:9" ht="21" x14ac:dyDescent="0.2">
      <c r="A38" s="65"/>
      <c r="B38" s="65"/>
      <c r="C38" s="65" t="str">
        <f>HYPERLINK("http://en.wikipedia.org/wiki/Design_Patterns#Structural", "Can explain 50% of Structural patterns")</f>
        <v>Can explain 50% of Structural patterns</v>
      </c>
      <c r="D38" s="65"/>
      <c r="E38" s="65"/>
      <c r="F38" s="79"/>
      <c r="G38" s="161">
        <f>COUNTIF(F38:F39, "Y")</f>
        <v>0</v>
      </c>
      <c r="H38" s="162">
        <f>COUNTA(F38:F39)</f>
        <v>0</v>
      </c>
      <c r="I38" s="66"/>
    </row>
    <row r="39" spans="1:9" ht="21" x14ac:dyDescent="0.2">
      <c r="A39" s="62"/>
      <c r="B39" s="62"/>
      <c r="C39" s="62" t="str">
        <f>HYPERLINK("http://en.wikipedia.org/wiki/Design_Patterns#Behavioral","Can explain 50% of Behavioral pattenrs")</f>
        <v>Can explain 50% of Behavioral pattenrs</v>
      </c>
      <c r="D39" s="62"/>
      <c r="E39" s="62"/>
      <c r="F39" s="36"/>
      <c r="G39" s="159"/>
      <c r="H39" s="160"/>
      <c r="I39" s="63"/>
    </row>
    <row r="40" spans="1:9" x14ac:dyDescent="0.2">
      <c r="A40" s="65"/>
      <c r="B40" s="65"/>
      <c r="C40" s="65"/>
      <c r="D40" s="65" t="str">
        <f>HYPERLINK("http://en.wikipedia.org/wiki/Design_Patterns", "Can explain any GOF template")</f>
        <v>Can explain any GOF template</v>
      </c>
      <c r="E40" s="65"/>
      <c r="F40" s="36"/>
      <c r="G40" s="163">
        <f>COUNTIF(F40:F41, "Y")</f>
        <v>0</v>
      </c>
      <c r="H40" s="165">
        <f>COUNTA(F40:F41)</f>
        <v>0</v>
      </c>
      <c r="I40" s="66"/>
    </row>
    <row r="41" spans="1:9" x14ac:dyDescent="0.2">
      <c r="A41" s="35"/>
      <c r="B41" s="35"/>
      <c r="C41" s="35"/>
      <c r="D41" s="4" t="str">
        <f>HYPERLINK("http://en.wikipedia.org/wiki/Anti-pattern#Software_engineering","Anti-patterns")</f>
        <v>Anti-patterns</v>
      </c>
      <c r="E41" s="35"/>
      <c r="F41" s="36"/>
      <c r="G41" s="164"/>
      <c r="H41" s="145"/>
      <c r="I41" s="60"/>
    </row>
    <row r="42" spans="1:9" x14ac:dyDescent="0.2">
      <c r="A42" s="169" t="s">
        <v>160</v>
      </c>
      <c r="B42" s="171"/>
      <c r="C42" s="141"/>
      <c r="D42" s="141"/>
      <c r="E42" s="141"/>
      <c r="F42" s="141"/>
      <c r="G42" s="157"/>
      <c r="H42" s="158"/>
      <c r="I42" s="158"/>
    </row>
    <row r="43" spans="1:9" x14ac:dyDescent="0.2">
      <c r="A43" s="62" t="s">
        <v>161</v>
      </c>
      <c r="B43" s="80"/>
      <c r="C43" s="80"/>
      <c r="D43" s="62"/>
      <c r="E43" s="62"/>
      <c r="F43" s="36"/>
      <c r="G43" s="76">
        <f>COUNTIF(F43, "Y")</f>
        <v>0</v>
      </c>
      <c r="H43" s="68">
        <f>COUNTA(F43)</f>
        <v>0</v>
      </c>
      <c r="I43" s="68"/>
    </row>
    <row r="44" spans="1:9" x14ac:dyDescent="0.2">
      <c r="A44" s="65"/>
      <c r="B44" s="64" t="str">
        <f>HYPERLINK("http://en.wikipedia.org/wiki/Component-based_software_engineering","Component-based architecture")</f>
        <v>Component-based architecture</v>
      </c>
      <c r="C44" s="81"/>
      <c r="D44" s="65"/>
      <c r="E44" s="65"/>
      <c r="F44" s="36"/>
      <c r="G44" s="161">
        <f>COUNTIF(F44:F47, "Y")</f>
        <v>0</v>
      </c>
      <c r="H44" s="162">
        <f>COUNTA(F44:F47)</f>
        <v>0</v>
      </c>
      <c r="I44" s="69"/>
    </row>
    <row r="45" spans="1:9" ht="31.5" x14ac:dyDescent="0.2">
      <c r="A45" s="35"/>
      <c r="B45" s="35" t="s">
        <v>142</v>
      </c>
      <c r="C45" s="82"/>
      <c r="D45" s="35"/>
      <c r="E45" s="35"/>
      <c r="F45" s="36"/>
      <c r="G45" s="164"/>
      <c r="H45" s="145"/>
      <c r="I45" s="57"/>
    </row>
    <row r="46" spans="1:9" ht="32.25" x14ac:dyDescent="0.2">
      <c r="A46" s="35"/>
      <c r="B46" s="51" t="s">
        <v>162</v>
      </c>
      <c r="C46" s="82"/>
      <c r="D46" s="35"/>
      <c r="E46" s="35"/>
      <c r="F46" s="36"/>
      <c r="G46" s="164"/>
      <c r="H46" s="145"/>
      <c r="I46" s="57"/>
    </row>
    <row r="47" spans="1:9" x14ac:dyDescent="0.2">
      <c r="A47" s="62"/>
      <c r="B47" s="62" t="str">
        <f>HYPERLINK("http://en.wikipedia.org/wiki/Object-relational_mapping", "Object-relational mapping (O/RM)")</f>
        <v>Object-relational mapping (O/RM)</v>
      </c>
      <c r="C47" s="80"/>
      <c r="D47" s="67"/>
      <c r="E47" s="62"/>
      <c r="F47" s="36"/>
      <c r="G47" s="159"/>
      <c r="H47" s="160"/>
      <c r="I47" s="68"/>
    </row>
    <row r="48" spans="1:9" x14ac:dyDescent="0.2">
      <c r="A48" s="65"/>
      <c r="B48" s="24"/>
      <c r="C48" s="65" t="s">
        <v>163</v>
      </c>
      <c r="D48" s="65"/>
      <c r="E48" s="65"/>
      <c r="F48" s="36"/>
      <c r="G48" s="161">
        <f>COUNTIF(F48:F52, "Y")</f>
        <v>0</v>
      </c>
      <c r="H48" s="162">
        <f>(COUNTA(F48:F52))</f>
        <v>0</v>
      </c>
      <c r="I48" s="69"/>
    </row>
    <row r="49" spans="1:9" ht="63" x14ac:dyDescent="0.2">
      <c r="A49" s="35"/>
      <c r="B49" s="35"/>
      <c r="C49" s="35" t="s">
        <v>164</v>
      </c>
      <c r="D49" s="35"/>
      <c r="E49" s="35"/>
      <c r="F49" s="36"/>
      <c r="G49" s="164"/>
      <c r="H49" s="145"/>
      <c r="I49" s="57"/>
    </row>
    <row r="50" spans="1:9" s="10" customFormat="1" x14ac:dyDescent="0.2">
      <c r="A50" s="35"/>
      <c r="B50" s="35"/>
      <c r="C50" s="4" t="str">
        <f>HYPERLINK("http://martinfowler.com/eaaCatalog/dataTransferObject.html","Data transfer object")</f>
        <v>Data transfer object</v>
      </c>
      <c r="D50" s="35"/>
      <c r="E50" s="35"/>
      <c r="F50" s="36"/>
      <c r="G50" s="164"/>
      <c r="H50" s="145"/>
      <c r="I50" s="57"/>
    </row>
    <row r="51" spans="1:9" x14ac:dyDescent="0.2">
      <c r="A51" s="35"/>
      <c r="B51" s="35"/>
      <c r="C51" s="4" t="str">
        <f>HYPERLINK("http://en.wikipedia.org/wiki/Aspect-oriented_programming","Aspect-oriented programming")</f>
        <v>Aspect-oriented programming</v>
      </c>
      <c r="D51" s="35"/>
      <c r="E51" s="35"/>
      <c r="F51" s="36"/>
      <c r="G51" s="164"/>
      <c r="H51" s="145"/>
      <c r="I51" s="57"/>
    </row>
    <row r="52" spans="1:9" x14ac:dyDescent="0.2">
      <c r="A52" s="62"/>
      <c r="B52" s="62"/>
      <c r="C52" s="61" t="str">
        <f>HYPERLINK("http://en.wikipedia.org/wiki/Service-oriented_architecture","SOA")</f>
        <v>SOA</v>
      </c>
      <c r="D52" s="62"/>
      <c r="E52" s="62"/>
      <c r="F52" s="36"/>
      <c r="G52" s="159"/>
      <c r="H52" s="160"/>
      <c r="I52" s="68"/>
    </row>
    <row r="53" spans="1:9" x14ac:dyDescent="0.2">
      <c r="A53" s="81"/>
      <c r="B53" s="81"/>
      <c r="C53" s="24"/>
      <c r="D53" s="64" t="str">
        <f>HYPERLINK("http://en.wikipedia.org/wiki/Message-oriented_middleware","Message-oriented architecture")</f>
        <v>Message-oriented architecture</v>
      </c>
      <c r="E53" s="65"/>
      <c r="F53" s="36"/>
      <c r="G53" s="163">
        <f>COUNTIF(F53:F55, "Y")</f>
        <v>0</v>
      </c>
      <c r="H53" s="165">
        <f>COUNTA(F53:F55)</f>
        <v>0</v>
      </c>
      <c r="I53" s="69"/>
    </row>
    <row r="54" spans="1:9" x14ac:dyDescent="0.2">
      <c r="A54" s="82"/>
      <c r="B54" s="82"/>
      <c r="C54" s="35"/>
      <c r="D54" s="4" t="str">
        <f>HYPERLINK("http://en.wikipedia.org/wiki/Functional_programming","Functional programming")</f>
        <v>Functional programming</v>
      </c>
      <c r="E54" s="35"/>
      <c r="F54" s="36"/>
      <c r="G54" s="164"/>
      <c r="H54" s="145"/>
      <c r="I54" s="57"/>
    </row>
    <row r="55" spans="1:9" x14ac:dyDescent="0.2">
      <c r="A55" s="35"/>
      <c r="B55" s="35"/>
      <c r="C55" s="4"/>
      <c r="D55" s="4" t="str">
        <f>HYPERLINK("http://en.wikipedia.org/wiki/Metaprogramming","Metaprogramming")</f>
        <v>Metaprogramming</v>
      </c>
      <c r="E55" s="35"/>
      <c r="F55" s="36"/>
      <c r="G55" s="164"/>
      <c r="H55" s="145"/>
      <c r="I55" s="57"/>
    </row>
    <row r="56" spans="1:9" x14ac:dyDescent="0.2">
      <c r="A56" s="169" t="s">
        <v>165</v>
      </c>
      <c r="B56" s="141"/>
      <c r="C56" s="141"/>
      <c r="D56" s="141"/>
      <c r="E56" s="141"/>
      <c r="F56" s="141"/>
      <c r="G56" s="157"/>
      <c r="H56" s="158"/>
      <c r="I56" s="158"/>
    </row>
    <row r="57" spans="1:9" s="10" customFormat="1" x14ac:dyDescent="0.2">
      <c r="A57" s="11"/>
      <c r="B57" s="58" t="s">
        <v>166</v>
      </c>
      <c r="C57" s="55"/>
      <c r="D57" s="55"/>
      <c r="E57" s="55"/>
      <c r="F57" s="36"/>
      <c r="G57" s="164">
        <f>COUNTIF(F57:F59, "Y")</f>
        <v>0</v>
      </c>
      <c r="H57" s="160">
        <f>COUNTA(F57:F59)</f>
        <v>0</v>
      </c>
      <c r="I57" s="57"/>
    </row>
    <row r="58" spans="1:9" ht="105" x14ac:dyDescent="0.2">
      <c r="A58" s="11"/>
      <c r="B58" s="35" t="s">
        <v>167</v>
      </c>
      <c r="C58" s="35"/>
      <c r="D58" s="35"/>
      <c r="E58" s="35"/>
      <c r="F58" s="36"/>
      <c r="G58" s="159"/>
      <c r="H58" s="160"/>
      <c r="I58" s="57"/>
    </row>
    <row r="59" spans="1:9" ht="21" x14ac:dyDescent="0.2">
      <c r="A59" s="62"/>
      <c r="B59" s="62" t="s">
        <v>168</v>
      </c>
      <c r="C59" s="62"/>
      <c r="D59" s="62"/>
      <c r="E59" s="62"/>
      <c r="F59" s="36"/>
      <c r="G59" s="159"/>
      <c r="H59" s="160"/>
      <c r="I59" s="68"/>
    </row>
    <row r="60" spans="1:9" x14ac:dyDescent="0.2">
      <c r="A60" s="65"/>
      <c r="B60" s="24"/>
      <c r="C60" s="64" t="str">
        <f>HYPERLINK("http://www.w3.org/2002/07/soap-translation/russian/part0.html","WebServices: SOAP/RPC")</f>
        <v>WebServices: SOAP/RPC</v>
      </c>
      <c r="D60" s="65"/>
      <c r="E60" s="65"/>
      <c r="F60" s="36"/>
      <c r="G60" s="161">
        <f>COUNTIF(F60:F63, "Y")</f>
        <v>0</v>
      </c>
      <c r="H60" s="162">
        <f>COUNTA(F60:F63)</f>
        <v>0</v>
      </c>
      <c r="I60" s="69"/>
    </row>
    <row r="61" spans="1:9" x14ac:dyDescent="0.2">
      <c r="A61" s="35"/>
      <c r="B61" s="11"/>
      <c r="C61" s="35" t="s">
        <v>169</v>
      </c>
      <c r="D61" s="35"/>
      <c r="E61" s="35"/>
      <c r="F61" s="36"/>
      <c r="G61" s="164"/>
      <c r="H61" s="145"/>
      <c r="I61" s="57"/>
    </row>
    <row r="62" spans="1:9" ht="21" x14ac:dyDescent="0.2">
      <c r="A62" s="35"/>
      <c r="B62" s="35"/>
      <c r="C62" s="35" t="s">
        <v>170</v>
      </c>
      <c r="D62" s="35"/>
      <c r="E62" s="35"/>
      <c r="F62" s="36"/>
      <c r="G62" s="164"/>
      <c r="H62" s="145"/>
      <c r="I62" s="57"/>
    </row>
    <row r="63" spans="1:9" ht="21" x14ac:dyDescent="0.2">
      <c r="A63" s="62"/>
      <c r="B63" s="62"/>
      <c r="C63" s="62" t="s">
        <v>171</v>
      </c>
      <c r="D63" s="62"/>
      <c r="E63" s="62"/>
      <c r="F63" s="36"/>
      <c r="G63" s="159"/>
      <c r="H63" s="160"/>
      <c r="I63" s="68"/>
    </row>
    <row r="64" spans="1:9" ht="21" x14ac:dyDescent="0.2">
      <c r="A64" s="65"/>
      <c r="B64" s="65"/>
      <c r="C64" s="65"/>
      <c r="D64" s="65" t="s">
        <v>172</v>
      </c>
      <c r="E64" s="65"/>
      <c r="F64" s="36"/>
      <c r="G64" s="74">
        <f>COUNTIF(F64, "Y")</f>
        <v>0</v>
      </c>
      <c r="H64" s="69">
        <f>COUNTA(F64)</f>
        <v>0</v>
      </c>
      <c r="I64" s="69"/>
    </row>
    <row r="65" spans="1:9" x14ac:dyDescent="0.2">
      <c r="A65" s="169" t="s">
        <v>173</v>
      </c>
      <c r="B65" s="141"/>
      <c r="C65" s="141"/>
      <c r="D65" s="141"/>
      <c r="E65" s="141"/>
      <c r="F65" s="141"/>
      <c r="G65" s="157"/>
      <c r="H65" s="158"/>
      <c r="I65" s="158"/>
    </row>
    <row r="66" spans="1:9" ht="21" x14ac:dyDescent="0.2">
      <c r="A66" s="62" t="s">
        <v>174</v>
      </c>
      <c r="B66" s="62"/>
      <c r="C66" s="62"/>
      <c r="D66" s="62"/>
      <c r="E66" s="62"/>
      <c r="F66" s="36"/>
      <c r="G66" s="76">
        <f>COUNTIF(F66, "Y")</f>
        <v>0</v>
      </c>
      <c r="H66" s="68">
        <f>COUNTA(F66)</f>
        <v>0</v>
      </c>
      <c r="I66" s="68"/>
    </row>
    <row r="67" spans="1:9" ht="31.5" x14ac:dyDescent="0.2">
      <c r="A67" s="65"/>
      <c r="B67" s="65" t="s">
        <v>175</v>
      </c>
      <c r="C67" s="65"/>
      <c r="D67" s="65"/>
      <c r="E67" s="65"/>
      <c r="F67" s="36"/>
      <c r="G67" s="161">
        <f>COUNTIF(F67:F71, "Y")</f>
        <v>0</v>
      </c>
      <c r="H67" s="162">
        <f>COUNTA(F67:F71)</f>
        <v>0</v>
      </c>
      <c r="I67" s="69"/>
    </row>
    <row r="68" spans="1:9" x14ac:dyDescent="0.2">
      <c r="A68" s="35"/>
      <c r="B68" s="4" t="str">
        <f>HYPERLINK("http://en.wikipedia.org/wiki/Data_definition_language","Basic DDL")</f>
        <v>Basic DDL</v>
      </c>
      <c r="C68" s="35"/>
      <c r="D68" s="35"/>
      <c r="E68" s="35"/>
      <c r="F68" s="36"/>
      <c r="G68" s="164"/>
      <c r="H68" s="145"/>
      <c r="I68" s="57"/>
    </row>
    <row r="69" spans="1:9" x14ac:dyDescent="0.2">
      <c r="A69" s="35"/>
      <c r="B69" s="35" t="s">
        <v>176</v>
      </c>
      <c r="C69" s="35"/>
      <c r="D69" s="35"/>
      <c r="E69" s="35"/>
      <c r="F69" s="36"/>
      <c r="G69" s="164"/>
      <c r="H69" s="145"/>
      <c r="I69" s="57"/>
    </row>
    <row r="70" spans="1:9" x14ac:dyDescent="0.2">
      <c r="A70" s="35"/>
      <c r="B70" s="4" t="str">
        <f>HYPERLINK("http://en.wikipedia.org/wiki/Join_(SQL)","Left/Right/Inner/Cross Joins")</f>
        <v>Left/Right/Inner/Cross Joins</v>
      </c>
      <c r="C70" s="35"/>
      <c r="D70" s="35"/>
      <c r="E70" s="35"/>
      <c r="F70" s="36"/>
      <c r="G70" s="164"/>
      <c r="H70" s="145"/>
      <c r="I70" s="57"/>
    </row>
    <row r="71" spans="1:9" x14ac:dyDescent="0.2">
      <c r="A71" s="62"/>
      <c r="B71" s="62" t="s">
        <v>177</v>
      </c>
      <c r="C71" s="62"/>
      <c r="D71" s="62"/>
      <c r="E71" s="62"/>
      <c r="F71" s="36"/>
      <c r="G71" s="159"/>
      <c r="H71" s="160"/>
      <c r="I71" s="68"/>
    </row>
    <row r="72" spans="1:9" x14ac:dyDescent="0.2">
      <c r="A72" s="65"/>
      <c r="B72" s="64"/>
      <c r="C72" s="64" t="str">
        <f>HYPERLINK("http://en.wikipedia.org/wiki/Database_index","Database index ")</f>
        <v xml:space="preserve">Database index </v>
      </c>
      <c r="D72" s="65"/>
      <c r="E72" s="65"/>
      <c r="F72" s="36"/>
      <c r="G72" s="161">
        <f>COUNTIF(F72:F77, "Y")</f>
        <v>0</v>
      </c>
      <c r="H72" s="162">
        <f>COUNTA(F72:F77)</f>
        <v>0</v>
      </c>
      <c r="I72" s="69"/>
    </row>
    <row r="73" spans="1:9" ht="21" x14ac:dyDescent="0.2">
      <c r="A73" s="35"/>
      <c r="B73" s="4"/>
      <c r="C73" s="4" t="str">
        <f>HYPERLINK("http://en.wikipedia.org/wiki/Database_index#Index_implementations","Busin understanding of index implementations)")</f>
        <v>Busin understanding of index implementations)</v>
      </c>
      <c r="D73" s="35"/>
      <c r="E73" s="35"/>
      <c r="F73" s="36"/>
      <c r="G73" s="164"/>
      <c r="H73" s="145"/>
      <c r="I73" s="57"/>
    </row>
    <row r="74" spans="1:9" x14ac:dyDescent="0.2">
      <c r="A74" s="35"/>
      <c r="B74" s="35"/>
      <c r="C74" s="4" t="str">
        <f>HYPERLINK("http://en.wikipedia.org/wiki/Database_transaction","Basic understanding of transaction")</f>
        <v>Basic understanding of transaction</v>
      </c>
      <c r="D74" s="35"/>
      <c r="E74" s="35"/>
      <c r="F74" s="36"/>
      <c r="G74" s="164"/>
      <c r="H74" s="145"/>
      <c r="I74" s="57"/>
    </row>
    <row r="75" spans="1:9" x14ac:dyDescent="0.2">
      <c r="A75" s="35"/>
      <c r="B75" s="35"/>
      <c r="C75" s="35" t="s">
        <v>178</v>
      </c>
      <c r="D75" s="35"/>
      <c r="E75" s="35"/>
      <c r="F75" s="36"/>
      <c r="G75" s="164"/>
      <c r="H75" s="145"/>
      <c r="I75" s="57"/>
    </row>
    <row r="76" spans="1:9" x14ac:dyDescent="0.2">
      <c r="A76" s="35"/>
      <c r="B76" s="35"/>
      <c r="C76" s="35" t="s">
        <v>179</v>
      </c>
      <c r="D76" s="11"/>
      <c r="E76" s="35"/>
      <c r="F76" s="36"/>
      <c r="G76" s="164"/>
      <c r="H76" s="145"/>
      <c r="I76" s="57"/>
    </row>
    <row r="77" spans="1:9" x14ac:dyDescent="0.2">
      <c r="A77" s="62"/>
      <c r="B77" s="62"/>
      <c r="C77" s="62" t="s">
        <v>180</v>
      </c>
      <c r="D77" s="67"/>
      <c r="E77" s="62"/>
      <c r="F77" s="36"/>
      <c r="G77" s="159"/>
      <c r="H77" s="160"/>
      <c r="I77" s="68"/>
    </row>
    <row r="78" spans="1:9" x14ac:dyDescent="0.2">
      <c r="A78" s="65"/>
      <c r="B78" s="65"/>
      <c r="C78" s="65"/>
      <c r="D78" s="64" t="str">
        <f>HYPERLINK("http://en.wikipedia.org/wiki/ACID","ACID")</f>
        <v>ACID</v>
      </c>
      <c r="E78" s="65"/>
      <c r="F78" s="36"/>
      <c r="G78" s="163">
        <f>COUNTIF(F78:F82, "Y")</f>
        <v>0</v>
      </c>
      <c r="H78" s="165">
        <f>COUNTA(F78:F82)</f>
        <v>0</v>
      </c>
      <c r="I78" s="69"/>
    </row>
    <row r="79" spans="1:9" x14ac:dyDescent="0.2">
      <c r="A79" s="35"/>
      <c r="B79" s="35"/>
      <c r="C79" s="35"/>
      <c r="D79" s="4" t="str">
        <f>HYPERLINK("http://en.wikipedia.org/wiki/Isolation_(database_systems)","Transaction Isolation Levels")</f>
        <v>Transaction Isolation Levels</v>
      </c>
      <c r="E79" s="35"/>
      <c r="F79" s="36"/>
      <c r="G79" s="164"/>
      <c r="H79" s="145"/>
      <c r="I79" s="57"/>
    </row>
    <row r="80" spans="1:9" x14ac:dyDescent="0.2">
      <c r="A80" s="35"/>
      <c r="B80" s="35"/>
      <c r="C80" s="35"/>
      <c r="D80" s="4" t="str">
        <f>HYPERLINK("http://en.wikipedia.org/wiki/Database_normalization","Database normalization")</f>
        <v>Database normalization</v>
      </c>
      <c r="E80" s="35"/>
      <c r="F80" s="36"/>
      <c r="G80" s="164"/>
      <c r="H80" s="145"/>
      <c r="I80" s="57"/>
    </row>
    <row r="81" spans="1:9" x14ac:dyDescent="0.2">
      <c r="A81" s="35"/>
      <c r="B81" s="35"/>
      <c r="C81" s="35"/>
      <c r="D81" s="4" t="str">
        <f>HYPERLINK("http://en.wikipedia.org/wiki/Denormalization","Database denormalization")</f>
        <v>Database denormalization</v>
      </c>
      <c r="E81" s="35"/>
      <c r="F81" s="36"/>
      <c r="G81" s="164"/>
      <c r="H81" s="145"/>
      <c r="I81" s="57"/>
    </row>
    <row r="82" spans="1:9" ht="21" x14ac:dyDescent="0.2">
      <c r="A82" s="35"/>
      <c r="B82" s="35"/>
      <c r="C82" s="35"/>
      <c r="D82" s="4" t="str">
        <f>HYPERLINK("http://en.wikipedia.org/wiki/Query_plan","Query analysis with execution plans")</f>
        <v>Query analysis with execution plans</v>
      </c>
      <c r="E82" s="35"/>
      <c r="F82" s="36"/>
      <c r="G82" s="164"/>
      <c r="H82" s="145"/>
      <c r="I82" s="57"/>
    </row>
    <row r="83" spans="1:9" x14ac:dyDescent="0.2">
      <c r="A83" s="169" t="s">
        <v>181</v>
      </c>
      <c r="B83" s="141"/>
      <c r="C83" s="141"/>
      <c r="D83" s="141"/>
      <c r="E83" s="141"/>
      <c r="F83" s="141"/>
      <c r="G83" s="157"/>
      <c r="H83" s="158"/>
      <c r="I83" s="158"/>
    </row>
    <row r="84" spans="1:9" x14ac:dyDescent="0.2">
      <c r="A84" s="35" t="s">
        <v>182</v>
      </c>
      <c r="B84" s="4"/>
      <c r="C84" s="35"/>
      <c r="D84" s="35"/>
      <c r="E84" s="35"/>
      <c r="F84" s="36"/>
      <c r="G84" s="159">
        <f>COUNTIF(F84:F85, "Y")</f>
        <v>0</v>
      </c>
      <c r="H84" s="160">
        <f>COUNTA(F84:F85)</f>
        <v>0</v>
      </c>
      <c r="I84" s="57"/>
    </row>
    <row r="85" spans="1:9" x14ac:dyDescent="0.2">
      <c r="A85" s="62" t="s">
        <v>183</v>
      </c>
      <c r="B85" s="61"/>
      <c r="C85" s="62"/>
      <c r="D85" s="62"/>
      <c r="E85" s="62"/>
      <c r="F85" s="75"/>
      <c r="G85" s="159"/>
      <c r="H85" s="160"/>
      <c r="I85" s="68"/>
    </row>
    <row r="86" spans="1:9" x14ac:dyDescent="0.2">
      <c r="A86" s="65"/>
      <c r="B86" s="64" t="str">
        <f>HYPERLINK("http://en.wikipedia.org/wiki/XML_namespace","XML namespaces")</f>
        <v>XML namespaces</v>
      </c>
      <c r="C86" s="65"/>
      <c r="D86" s="65"/>
      <c r="E86" s="65"/>
      <c r="F86" s="79"/>
      <c r="G86" s="161">
        <f>COUNTIF(F86:F89, "Y")</f>
        <v>0</v>
      </c>
      <c r="H86" s="162">
        <f>COUNTA(F86:F89)</f>
        <v>0</v>
      </c>
      <c r="I86" s="69"/>
    </row>
    <row r="87" spans="1:9" x14ac:dyDescent="0.2">
      <c r="A87" s="35"/>
      <c r="B87" s="4" t="str">
        <f>HYPERLINK("http://en.wikipedia.org/wiki/XPath","XPath basics")</f>
        <v>XPath basics</v>
      </c>
      <c r="C87" s="35"/>
      <c r="D87" s="35"/>
      <c r="E87" s="35"/>
      <c r="F87" s="36"/>
      <c r="G87" s="164"/>
      <c r="H87" s="145"/>
      <c r="I87" s="57"/>
    </row>
    <row r="88" spans="1:9" x14ac:dyDescent="0.2">
      <c r="A88" s="35"/>
      <c r="B88" s="4" t="s">
        <v>184</v>
      </c>
      <c r="C88" s="35"/>
      <c r="D88" s="35"/>
      <c r="E88" s="35"/>
      <c r="F88" s="36"/>
      <c r="G88" s="164"/>
      <c r="H88" s="145"/>
      <c r="I88" s="57"/>
    </row>
    <row r="89" spans="1:9" x14ac:dyDescent="0.2">
      <c r="A89" s="62"/>
      <c r="B89" s="61" t="str">
        <f>HYPERLINK("http://en.wikipedia.org/wiki/Simple_API_for_XML","SAX")</f>
        <v>SAX</v>
      </c>
      <c r="C89" s="62"/>
      <c r="D89" s="62"/>
      <c r="E89" s="62"/>
      <c r="F89" s="75"/>
      <c r="G89" s="159"/>
      <c r="H89" s="160"/>
      <c r="I89" s="68"/>
    </row>
    <row r="90" spans="1:9" x14ac:dyDescent="0.2">
      <c r="A90" s="65"/>
      <c r="B90" s="64"/>
      <c r="C90" s="64" t="str">
        <f>HYPERLINK("http://en.wikipedia.org/wiki/XSLT","XSLT")</f>
        <v>XSLT</v>
      </c>
      <c r="D90" s="65"/>
      <c r="E90" s="65"/>
      <c r="F90" s="79"/>
      <c r="G90" s="163">
        <f>COUNTIF(F90:F91, "Y")</f>
        <v>0</v>
      </c>
      <c r="H90" s="165">
        <f>COUNTA(F90:F91)</f>
        <v>0</v>
      </c>
      <c r="I90" s="69"/>
    </row>
    <row r="91" spans="1:9" ht="21" x14ac:dyDescent="0.2">
      <c r="A91" s="35"/>
      <c r="B91" s="35"/>
      <c r="C91" s="4" t="str">
        <f>HYPERLINK("http://ru.wikipedia.org/wiki/XML_Schema","XML Schema (DTD/XSD/RELAX NG)")</f>
        <v>XML Schema (DTD/XSD/RELAX NG)</v>
      </c>
      <c r="D91" s="35"/>
      <c r="E91" s="35"/>
      <c r="F91" s="36"/>
      <c r="G91" s="164"/>
      <c r="H91" s="145"/>
      <c r="I91" s="57"/>
    </row>
    <row r="92" spans="1:9" x14ac:dyDescent="0.2">
      <c r="A92" s="169" t="s">
        <v>185</v>
      </c>
      <c r="B92" s="141"/>
      <c r="C92" s="141"/>
      <c r="D92" s="141"/>
      <c r="E92" s="141"/>
      <c r="F92" s="141"/>
      <c r="G92" s="157"/>
      <c r="H92" s="158"/>
      <c r="I92" s="158"/>
    </row>
    <row r="93" spans="1:9" x14ac:dyDescent="0.2">
      <c r="A93" s="62" t="s">
        <v>186</v>
      </c>
      <c r="B93" s="67"/>
      <c r="C93" s="67"/>
      <c r="D93" s="62"/>
      <c r="E93" s="62"/>
      <c r="F93" s="75"/>
      <c r="G93" s="76">
        <f>COUNTIF(F93, "Y")</f>
        <v>0</v>
      </c>
      <c r="H93" s="68">
        <f>COUNTA(F93)</f>
        <v>0</v>
      </c>
      <c r="I93" s="68"/>
    </row>
    <row r="94" spans="1:9" ht="21" x14ac:dyDescent="0.2">
      <c r="A94" s="83"/>
      <c r="B94" s="71" t="s">
        <v>187</v>
      </c>
      <c r="C94" s="83"/>
      <c r="D94" s="71"/>
      <c r="E94" s="71"/>
      <c r="F94" s="77"/>
      <c r="G94" s="72">
        <f>COUNTIF(F94, "Y")</f>
        <v>0</v>
      </c>
      <c r="H94" s="73">
        <f>COUNTA(F94)</f>
        <v>0</v>
      </c>
      <c r="I94" s="73"/>
    </row>
    <row r="95" spans="1:9" x14ac:dyDescent="0.2">
      <c r="A95" s="65"/>
      <c r="B95" s="24"/>
      <c r="C95" s="64" t="str">
        <f>HYPERLINK("http://en.wikipedia.org/wiki/Synchronization_(computer_science)","Synchronization")</f>
        <v>Synchronization</v>
      </c>
      <c r="D95" s="65"/>
      <c r="E95" s="65"/>
      <c r="F95" s="79"/>
      <c r="G95" s="163">
        <f>COUNTIF(F95:F97, "Y")</f>
        <v>0</v>
      </c>
      <c r="H95" s="165">
        <f>COUNTA(F95:F97)</f>
        <v>0</v>
      </c>
      <c r="I95" s="69"/>
    </row>
    <row r="96" spans="1:9" x14ac:dyDescent="0.2">
      <c r="A96" s="35"/>
      <c r="B96" s="35"/>
      <c r="C96" s="35" t="s">
        <v>188</v>
      </c>
      <c r="D96" s="35"/>
      <c r="E96" s="35"/>
      <c r="F96" s="36"/>
      <c r="G96" s="164"/>
      <c r="H96" s="145"/>
      <c r="I96" s="57"/>
    </row>
    <row r="97" spans="1:9" x14ac:dyDescent="0.2">
      <c r="A97" s="35"/>
      <c r="B97" s="35"/>
      <c r="C97" s="35" t="s">
        <v>189</v>
      </c>
      <c r="D97" s="11"/>
      <c r="E97" s="35"/>
      <c r="F97" s="36"/>
      <c r="G97" s="164"/>
      <c r="H97" s="145"/>
      <c r="I97" s="57"/>
    </row>
    <row r="98" spans="1:9" x14ac:dyDescent="0.2">
      <c r="A98" s="169" t="s">
        <v>190</v>
      </c>
      <c r="B98" s="170"/>
      <c r="C98" s="170"/>
      <c r="D98" s="170"/>
      <c r="E98" s="170"/>
      <c r="F98" s="141"/>
      <c r="G98" s="157"/>
      <c r="H98" s="158"/>
      <c r="I98" s="158"/>
    </row>
    <row r="99" spans="1:9" x14ac:dyDescent="0.2">
      <c r="A99" s="4" t="str">
        <f>HYPERLINK("http://en.wikipedia.org/wiki/Authentication","Definition of authentication")</f>
        <v>Definition of authentication</v>
      </c>
      <c r="B99" s="35"/>
      <c r="C99" s="35"/>
      <c r="D99" s="35"/>
      <c r="E99" s="35"/>
      <c r="F99" s="36"/>
      <c r="G99" s="159">
        <f>COUNTIF(F99:F101, "Y")</f>
        <v>0</v>
      </c>
      <c r="H99" s="160">
        <f>COUNTA(F99:F101)</f>
        <v>0</v>
      </c>
      <c r="I99" s="57"/>
    </row>
    <row r="100" spans="1:9" x14ac:dyDescent="0.2">
      <c r="A100" s="4" t="str">
        <f>HYPERLINK("http://en.wikipedia.org/wiki/Authorization","Definition of authorization")</f>
        <v>Definition of authorization</v>
      </c>
      <c r="B100" s="35"/>
      <c r="C100" s="35"/>
      <c r="D100" s="35"/>
      <c r="E100" s="35"/>
      <c r="F100" s="36"/>
      <c r="G100" s="164"/>
      <c r="H100" s="145"/>
      <c r="I100" s="57"/>
    </row>
    <row r="101" spans="1:9" x14ac:dyDescent="0.2">
      <c r="A101" s="61" t="s">
        <v>191</v>
      </c>
      <c r="B101" s="62"/>
      <c r="C101" s="62"/>
      <c r="D101" s="62"/>
      <c r="E101" s="62"/>
      <c r="F101" s="75"/>
      <c r="G101" s="159"/>
      <c r="H101" s="160"/>
      <c r="I101" s="68"/>
    </row>
    <row r="102" spans="1:9" x14ac:dyDescent="0.2">
      <c r="A102" s="70"/>
      <c r="B102" s="70" t="str">
        <f>HYPERLINK("http://en.wikipedia.org/wiki/SQL_injection","SQL injections")</f>
        <v>SQL injections</v>
      </c>
      <c r="C102" s="71"/>
      <c r="D102" s="71"/>
      <c r="E102" s="71"/>
      <c r="F102" s="77"/>
      <c r="G102" s="72">
        <f>COUNTIF(F102, "Y")</f>
        <v>0</v>
      </c>
      <c r="H102" s="73">
        <f>COUNTA(F102)</f>
        <v>0</v>
      </c>
      <c r="I102" s="73"/>
    </row>
    <row r="103" spans="1:9" x14ac:dyDescent="0.2">
      <c r="A103" s="65"/>
      <c r="B103" s="24"/>
      <c r="C103" s="64" t="str">
        <f>HYPERLINK("http://en.wikipedia.org/wiki/Symmetric-key_algorithm","Symmetric cryptography")</f>
        <v>Symmetric cryptography</v>
      </c>
      <c r="D103" s="65"/>
      <c r="E103" s="65"/>
      <c r="F103" s="79"/>
      <c r="G103" s="163">
        <f>COUNTIF(F103:F107, "Y")</f>
        <v>0</v>
      </c>
      <c r="H103" s="165">
        <f>COUNTA(F103:F107)</f>
        <v>0</v>
      </c>
      <c r="I103" s="69"/>
    </row>
    <row r="104" spans="1:9" ht="21" x14ac:dyDescent="0.2">
      <c r="A104" s="35"/>
      <c r="B104" s="11"/>
      <c r="C104" s="4" t="str">
        <f>HYPERLINK("http://en.wikipedia.org/wiki/Public-key_cryptography","Asymmetric cryptography (Public-key_encryption)")</f>
        <v>Asymmetric cryptography (Public-key_encryption)</v>
      </c>
      <c r="D104" s="35"/>
      <c r="E104" s="35"/>
      <c r="F104" s="36"/>
      <c r="G104" s="164"/>
      <c r="H104" s="145"/>
      <c r="I104" s="57"/>
    </row>
    <row r="105" spans="1:9" x14ac:dyDescent="0.2">
      <c r="A105" s="35"/>
      <c r="B105" s="11"/>
      <c r="C105" s="4" t="str">
        <f>HYPERLINK("http://codahale.com/how-to-safely-store-a-password/","Hashing and Salting passwords")</f>
        <v>Hashing and Salting passwords</v>
      </c>
      <c r="D105" s="35"/>
      <c r="E105" s="35"/>
      <c r="F105" s="36"/>
      <c r="G105" s="159"/>
      <c r="H105" s="160"/>
      <c r="I105" s="68"/>
    </row>
    <row r="106" spans="1:9" x14ac:dyDescent="0.2">
      <c r="A106" s="35"/>
      <c r="B106" s="4"/>
      <c r="C106" s="4" t="str">
        <f>HYPERLINK("http://en.wikipedia.org/wiki/Secure_Sockets_Layer","SSL/TLS")</f>
        <v>SSL/TLS</v>
      </c>
      <c r="D106" s="11"/>
      <c r="E106" s="11"/>
      <c r="F106" s="36"/>
      <c r="G106" s="161"/>
      <c r="H106" s="162"/>
      <c r="I106" s="69"/>
    </row>
    <row r="107" spans="1:9" x14ac:dyDescent="0.2">
      <c r="A107" s="62"/>
      <c r="B107" s="61"/>
      <c r="C107" s="61" t="str">
        <f>HYPERLINK("http://en.wikipedia.org/wiki/HTTPS","https/certificates")</f>
        <v>https/certificates</v>
      </c>
      <c r="D107" s="67"/>
      <c r="E107" s="62"/>
      <c r="F107" s="36"/>
      <c r="G107" s="159"/>
      <c r="H107" s="160"/>
      <c r="I107" s="68"/>
    </row>
    <row r="108" spans="1:9" x14ac:dyDescent="0.2">
      <c r="A108" s="65"/>
      <c r="B108" s="65"/>
      <c r="C108" s="24"/>
      <c r="D108" s="64" t="str">
        <f>HYPERLINK("http://en.wikipedia.org/wiki/Lightweight_Directory_Access_Protocol","LDAP")</f>
        <v>LDAP</v>
      </c>
      <c r="E108" s="65"/>
      <c r="F108" s="36"/>
      <c r="G108" s="74">
        <f>COUNTIF(F108, "Y")</f>
        <v>0</v>
      </c>
      <c r="H108" s="69">
        <f>COUNTA(F108)</f>
        <v>0</v>
      </c>
      <c r="I108" s="69"/>
    </row>
    <row r="109" spans="1:9" x14ac:dyDescent="0.2">
      <c r="A109" s="141" t="s">
        <v>192</v>
      </c>
      <c r="B109" s="141"/>
      <c r="C109" s="141"/>
      <c r="D109" s="141"/>
      <c r="E109" s="141"/>
      <c r="F109" s="141"/>
      <c r="G109" s="157"/>
      <c r="H109" s="158"/>
      <c r="I109" s="158"/>
    </row>
    <row r="110" spans="1:9" ht="21" x14ac:dyDescent="0.2">
      <c r="A110" s="35"/>
      <c r="B110" s="35" t="s">
        <v>193</v>
      </c>
      <c r="C110" s="82"/>
      <c r="D110" s="35"/>
      <c r="E110" s="35"/>
      <c r="F110" s="36"/>
      <c r="G110" s="159">
        <f>COUNTIF(F110:F111, "Y")</f>
        <v>0</v>
      </c>
      <c r="H110" s="160">
        <f>COUNTA(F110:F111)</f>
        <v>0</v>
      </c>
      <c r="I110" s="57"/>
    </row>
    <row r="111" spans="1:9" x14ac:dyDescent="0.2">
      <c r="A111" s="62"/>
      <c r="B111" s="62" t="s">
        <v>194</v>
      </c>
      <c r="C111" s="62"/>
      <c r="D111" s="62"/>
      <c r="E111" s="62"/>
      <c r="F111" s="36"/>
      <c r="G111" s="159"/>
      <c r="H111" s="160"/>
      <c r="I111" s="68"/>
    </row>
    <row r="112" spans="1:9" x14ac:dyDescent="0.2">
      <c r="A112" s="65"/>
      <c r="B112" s="65"/>
      <c r="C112" s="64" t="str">
        <f>HYPERLINK("http://en.wikipedia.org/wiki/Test-driven_development","TDD")</f>
        <v>TDD</v>
      </c>
      <c r="D112" s="65"/>
      <c r="E112" s="65"/>
      <c r="F112" s="36"/>
      <c r="G112" s="161">
        <f>COUNTIF(F112:F116, "Y")</f>
        <v>0</v>
      </c>
      <c r="H112" s="162">
        <f>COUNTA(F112:F116)</f>
        <v>0</v>
      </c>
      <c r="I112" s="69"/>
    </row>
    <row r="113" spans="1:9" x14ac:dyDescent="0.2">
      <c r="A113" s="35"/>
      <c r="B113" s="35"/>
      <c r="C113" s="4" t="str">
        <f>HYPERLINK("http://en.wikipedia.org/wiki/Mock_object","Mocking/Stubbing objects")</f>
        <v>Mocking/Stubbing objects</v>
      </c>
      <c r="D113" s="35"/>
      <c r="E113" s="35"/>
      <c r="F113" s="36"/>
      <c r="G113" s="164"/>
      <c r="H113" s="145"/>
      <c r="I113" s="57"/>
    </row>
    <row r="114" spans="1:9" x14ac:dyDescent="0.2">
      <c r="A114" s="35"/>
      <c r="B114" s="35"/>
      <c r="C114" s="4" t="str">
        <f>HYPERLINK("http://en.wikipedia.org/wiki/Code_coverage","Code Coverage / Tools")</f>
        <v>Code Coverage / Tools</v>
      </c>
      <c r="D114" s="35"/>
      <c r="E114" s="35"/>
      <c r="F114" s="36"/>
      <c r="G114" s="164"/>
      <c r="H114" s="145"/>
      <c r="I114" s="57"/>
    </row>
    <row r="115" spans="1:9" x14ac:dyDescent="0.2">
      <c r="A115" s="35"/>
      <c r="B115" s="35"/>
      <c r="C115" s="4" t="str">
        <f>HYPERLINK("http://en.wikipedia.org/wiki/Software_performance_testing","Performance testing")</f>
        <v>Performance testing</v>
      </c>
      <c r="D115" s="35"/>
      <c r="E115" s="35"/>
      <c r="F115" s="36"/>
      <c r="G115" s="164"/>
      <c r="H115" s="145"/>
      <c r="I115" s="57"/>
    </row>
    <row r="116" spans="1:9" x14ac:dyDescent="0.2">
      <c r="A116" s="62"/>
      <c r="B116" s="62"/>
      <c r="C116" s="61" t="str">
        <f>HYPERLINK("http://www.arrangeactassert.com/why-and-what-is-arrange-act-assert/","Arange Act Assert")</f>
        <v>Arange Act Assert</v>
      </c>
      <c r="D116" s="67"/>
      <c r="E116" s="62"/>
      <c r="F116" s="36"/>
      <c r="G116" s="159"/>
      <c r="H116" s="160"/>
      <c r="I116" s="68"/>
    </row>
    <row r="117" spans="1:9" x14ac:dyDescent="0.2">
      <c r="A117" s="65"/>
      <c r="B117" s="65"/>
      <c r="C117" s="64"/>
      <c r="D117" s="64" t="str">
        <f>HYPERLINK("http://en.wikipedia.org/wiki/Behavior-driven_development","BDD")</f>
        <v>BDD</v>
      </c>
      <c r="E117" s="65"/>
      <c r="F117" s="36"/>
      <c r="G117" s="74">
        <f>COUNTIF(F117, "Y")</f>
        <v>0</v>
      </c>
      <c r="H117" s="69">
        <f>COUNTA(F117)</f>
        <v>0</v>
      </c>
      <c r="I117" s="69"/>
    </row>
    <row r="118" spans="1:9" x14ac:dyDescent="0.2">
      <c r="A118" s="141" t="s">
        <v>195</v>
      </c>
      <c r="B118" s="141"/>
      <c r="C118" s="141"/>
      <c r="D118" s="141"/>
      <c r="E118" s="141"/>
      <c r="F118" s="141"/>
      <c r="G118" s="157"/>
      <c r="H118" s="158"/>
      <c r="I118" s="158"/>
    </row>
    <row r="119" spans="1:9" ht="21" x14ac:dyDescent="0.2">
      <c r="A119" s="62" t="s">
        <v>196</v>
      </c>
      <c r="B119" s="62"/>
      <c r="C119" s="62"/>
      <c r="D119" s="62"/>
      <c r="E119" s="62"/>
      <c r="F119" s="75"/>
      <c r="G119" s="76">
        <f>COUNTIF(F119, "Y")</f>
        <v>0</v>
      </c>
      <c r="H119" s="68">
        <f>COUNTA(F119)</f>
        <v>0</v>
      </c>
      <c r="I119" s="68"/>
    </row>
    <row r="120" spans="1:9" x14ac:dyDescent="0.2">
      <c r="A120" s="65"/>
      <c r="B120" s="65" t="s">
        <v>197</v>
      </c>
      <c r="C120" s="65"/>
      <c r="D120" s="65"/>
      <c r="E120" s="65"/>
      <c r="F120" s="79"/>
      <c r="G120" s="161">
        <f>COUNTIF(F120:F121, "Y")</f>
        <v>0</v>
      </c>
      <c r="H120" s="162">
        <f>COUNTA(F120:F121)</f>
        <v>0</v>
      </c>
      <c r="I120" s="69"/>
    </row>
    <row r="121" spans="1:9" x14ac:dyDescent="0.2">
      <c r="A121" s="62"/>
      <c r="B121" s="62" t="s">
        <v>198</v>
      </c>
      <c r="C121" s="62"/>
      <c r="D121" s="62"/>
      <c r="E121" s="62"/>
      <c r="F121" s="75"/>
      <c r="G121" s="159"/>
      <c r="H121" s="160"/>
      <c r="I121" s="68"/>
    </row>
    <row r="122" spans="1:9" x14ac:dyDescent="0.2">
      <c r="A122" s="65"/>
      <c r="B122" s="65"/>
      <c r="C122" s="64" t="str">
        <f>HYPERLINK("http://nvie.com/posts/a-successful-git-branching-model/","Branching model")</f>
        <v>Branching model</v>
      </c>
      <c r="D122" s="65"/>
      <c r="E122" s="65"/>
      <c r="F122" s="79"/>
      <c r="G122" s="163">
        <f>COUNTIF(F122:F123, "Y")</f>
        <v>0</v>
      </c>
      <c r="H122" s="165">
        <f>COUNTA(F122:F123)</f>
        <v>0</v>
      </c>
      <c r="I122" s="69"/>
    </row>
    <row r="123" spans="1:9" x14ac:dyDescent="0.2">
      <c r="A123" s="35"/>
      <c r="B123" s="35"/>
      <c r="C123" s="4" t="str">
        <f>HYPERLINK("http://en.wikipedia.org/wiki/Distributed_revision_control","VCS vs DVCS")</f>
        <v>VCS vs DVCS</v>
      </c>
      <c r="D123" s="35"/>
      <c r="E123" s="35"/>
      <c r="F123" s="36"/>
      <c r="G123" s="164"/>
      <c r="H123" s="145"/>
      <c r="I123" s="57"/>
    </row>
    <row r="124" spans="1:9" x14ac:dyDescent="0.2">
      <c r="A124" s="166" t="s">
        <v>199</v>
      </c>
      <c r="B124" s="166"/>
      <c r="C124" s="166"/>
      <c r="D124" s="166"/>
      <c r="E124" s="166"/>
      <c r="F124" s="166"/>
      <c r="G124" s="167"/>
      <c r="H124" s="168"/>
      <c r="I124" s="168"/>
    </row>
    <row r="125" spans="1:9" ht="31.5" x14ac:dyDescent="0.2">
      <c r="A125" s="65"/>
      <c r="B125" s="65" t="s">
        <v>200</v>
      </c>
      <c r="C125" s="65"/>
      <c r="D125" s="65"/>
      <c r="E125" s="65"/>
      <c r="F125" s="79"/>
      <c r="G125" s="161">
        <f>COUNTIF(F125:F126, "Y")</f>
        <v>0</v>
      </c>
      <c r="H125" s="162">
        <f>COUNTA(F125:F126)</f>
        <v>0</v>
      </c>
      <c r="I125" s="69"/>
    </row>
    <row r="126" spans="1:9" ht="21" x14ac:dyDescent="0.2">
      <c r="A126" s="62"/>
      <c r="B126" s="62" t="s">
        <v>201</v>
      </c>
      <c r="C126" s="62"/>
      <c r="D126" s="62"/>
      <c r="E126" s="62"/>
      <c r="F126" s="75"/>
      <c r="G126" s="159"/>
      <c r="H126" s="160"/>
      <c r="I126" s="68"/>
    </row>
    <row r="127" spans="1:9" ht="21" x14ac:dyDescent="0.2">
      <c r="A127" s="65"/>
      <c r="B127" s="65"/>
      <c r="C127" s="64" t="str">
        <f>HYPERLINK("http://en.wikipedia.org/wiki/Continuous_integration","Understands relevance of continuous integration")</f>
        <v>Understands relevance of continuous integration</v>
      </c>
      <c r="D127" s="65"/>
      <c r="E127" s="65"/>
      <c r="F127" s="79"/>
      <c r="G127" s="163">
        <f>COUNTIF(F127:F128, "Y")</f>
        <v>0</v>
      </c>
      <c r="H127" s="165">
        <f>COUNTA(F127:F128)</f>
        <v>0</v>
      </c>
      <c r="I127" s="69"/>
    </row>
    <row r="128" spans="1:9" x14ac:dyDescent="0.2">
      <c r="A128" s="35"/>
      <c r="B128" s="35"/>
      <c r="C128" s="4" t="str">
        <f>HYPERLINK("http://en.wikipedia.org/wiki/List_of_tools_for_static_code_analysis","Uses static code analysis tools")</f>
        <v>Uses static code analysis tools</v>
      </c>
      <c r="D128" s="35"/>
      <c r="E128" s="35"/>
      <c r="F128" s="36"/>
      <c r="G128" s="164"/>
      <c r="H128" s="145"/>
      <c r="I128" s="57"/>
    </row>
    <row r="129" spans="1:9" x14ac:dyDescent="0.2">
      <c r="A129" s="141" t="s">
        <v>202</v>
      </c>
      <c r="B129" s="141"/>
      <c r="C129" s="141"/>
      <c r="D129" s="141"/>
      <c r="E129" s="141"/>
      <c r="F129" s="141"/>
      <c r="G129" s="157"/>
      <c r="H129" s="158"/>
      <c r="I129" s="158"/>
    </row>
    <row r="130" spans="1:9" ht="21" x14ac:dyDescent="0.2">
      <c r="A130" s="35"/>
      <c r="B130" s="35" t="s">
        <v>203</v>
      </c>
      <c r="C130" s="35"/>
      <c r="D130" s="35"/>
      <c r="E130" s="35"/>
      <c r="F130" s="36"/>
      <c r="G130" s="164">
        <f>COUNTIF(F130:F131, "Y")</f>
        <v>0</v>
      </c>
      <c r="H130" s="145">
        <f>COUNTA(F130:F131)</f>
        <v>0</v>
      </c>
      <c r="I130" s="57"/>
    </row>
    <row r="131" spans="1:9" ht="21" x14ac:dyDescent="0.2">
      <c r="A131" s="35"/>
      <c r="B131" s="35" t="str">
        <f>HYPERLINK("http://sourcemaking.com/refactoring/replace-conditional-with-polymorphism", "Replace conditional with polymorphism")</f>
        <v>Replace conditional with polymorphism</v>
      </c>
      <c r="C131" s="35"/>
      <c r="D131" s="35"/>
      <c r="E131" s="35"/>
      <c r="F131" s="36"/>
      <c r="G131" s="164"/>
      <c r="H131" s="145"/>
      <c r="I131" s="57"/>
    </row>
    <row r="132" spans="1:9" x14ac:dyDescent="0.2">
      <c r="A132" s="141" t="s">
        <v>204</v>
      </c>
      <c r="B132" s="141"/>
      <c r="C132" s="141"/>
      <c r="D132" s="141"/>
      <c r="E132" s="141"/>
      <c r="F132" s="141"/>
      <c r="G132" s="157"/>
      <c r="H132" s="158"/>
      <c r="I132" s="158"/>
    </row>
    <row r="133" spans="1:9" x14ac:dyDescent="0.2">
      <c r="A133" s="35"/>
      <c r="B133" s="4" t="str">
        <f>HYPERLINK("http://en.wikipedia.org/wiki/Profiling_(computer_programming)","Profiling")</f>
        <v>Profiling</v>
      </c>
      <c r="C133" s="35"/>
      <c r="D133" s="35"/>
      <c r="E133" s="35"/>
      <c r="F133" s="36"/>
      <c r="G133" s="159">
        <f>COUNTIF(F133:F134, "Y")</f>
        <v>0</v>
      </c>
      <c r="H133" s="160">
        <f>COUNTA(F133:F134)</f>
        <v>0</v>
      </c>
      <c r="I133" s="57"/>
    </row>
    <row r="134" spans="1:9" x14ac:dyDescent="0.2">
      <c r="A134" s="62"/>
      <c r="B134" s="61" t="str">
        <f>HYPERLINK("http://en.wikipedia.org/wiki/Scalability#Scale_horizontally_vs._vertically","Horizontal vs Vertical scaling")</f>
        <v>Horizontal vs Vertical scaling</v>
      </c>
      <c r="C134" s="62"/>
      <c r="D134" s="62"/>
      <c r="E134" s="62"/>
      <c r="F134" s="36"/>
      <c r="G134" s="159"/>
      <c r="H134" s="160"/>
      <c r="I134" s="68"/>
    </row>
    <row r="135" spans="1:9" x14ac:dyDescent="0.2">
      <c r="A135" s="65"/>
      <c r="B135" s="64"/>
      <c r="C135" s="65" t="s">
        <v>205</v>
      </c>
      <c r="D135" s="65"/>
      <c r="E135" s="65"/>
      <c r="F135" s="36"/>
      <c r="G135" s="161">
        <f>COUNTIF(F135:F136, "Y")</f>
        <v>0</v>
      </c>
      <c r="H135" s="162">
        <f>COUNTA(F135:F136)</f>
        <v>0</v>
      </c>
      <c r="I135" s="69"/>
    </row>
    <row r="136" spans="1:9" x14ac:dyDescent="0.2">
      <c r="A136" s="62"/>
      <c r="B136" s="61"/>
      <c r="C136" s="61" t="str">
        <f>HYPERLINK("http://en.wikipedia.org/wiki/Database_caching","Database caching")</f>
        <v>Database caching</v>
      </c>
      <c r="D136" s="62"/>
      <c r="E136" s="62"/>
      <c r="F136" s="36"/>
      <c r="G136" s="159"/>
      <c r="H136" s="160"/>
      <c r="I136" s="68"/>
    </row>
    <row r="137" spans="1:9" x14ac:dyDescent="0.2">
      <c r="A137" s="65"/>
      <c r="B137" s="65"/>
      <c r="C137" s="65"/>
      <c r="D137" s="64" t="str">
        <f>HYPERLINK("http://en.wikipedia.org/wiki/Load_balancing_(computing)","Load Balancing")</f>
        <v>Load Balancing</v>
      </c>
      <c r="E137" s="65"/>
      <c r="F137" s="36"/>
      <c r="G137" s="74">
        <f>COUNTIF(F137, "Y")</f>
        <v>0</v>
      </c>
      <c r="H137" s="69">
        <f>(COUNTA(F137))</f>
        <v>0</v>
      </c>
      <c r="I137" s="69"/>
    </row>
    <row r="138" spans="1:9" x14ac:dyDescent="0.2">
      <c r="A138" s="151" t="s">
        <v>206</v>
      </c>
      <c r="B138" s="151"/>
      <c r="C138" s="151"/>
      <c r="D138" s="152"/>
      <c r="E138" s="151"/>
      <c r="F138" s="151"/>
      <c r="G138" s="153"/>
      <c r="H138" s="154"/>
      <c r="I138" s="151"/>
    </row>
    <row r="139" spans="1:9" ht="15.75" customHeight="1" x14ac:dyDescent="0.2">
      <c r="A139" s="60">
        <f>IFERROR(ROUND((SUM(G8,G28,G36,G43,G66,G84,G99,G119)/SUM(H8,H28,H36,H43,H66,H84,H99,H119)),2),0)</f>
        <v>0</v>
      </c>
      <c r="B139" s="60">
        <f>IFERROR(ROUND((SUM(G4,G11,G31,G37,G57,G67,G86,G94,G102,G110,G120,G125,G130,G133)/SUM(H4,H11,H31,H37,H57,H67,H86,H94,H102,H110,H120,H125,H130,H133)),2),0)</f>
        <v>0</v>
      </c>
      <c r="C139" s="60">
        <f>IFERROR(ROUND((SUM(G18,G33,G38,G48,G60,G72,G90,G95,G106,G112,G122,G127,G135)/SUM(H18,H33,H38,H48,H60,H72,H90,H95,H106,H112,H122,H127,H135)),2),0)</f>
        <v>0</v>
      </c>
      <c r="D139" s="60">
        <f>IFERROR(ROUND((SUM(G22,G34,G40,G53,G64,G78,G108,G117,G137)/SUM(H22,H34,H40,H53,H64,H78,H108,H117,H137)),2),0)</f>
        <v>0</v>
      </c>
      <c r="E139" s="60">
        <v>0</v>
      </c>
      <c r="F139" s="57"/>
      <c r="G139" s="84"/>
      <c r="H139" s="85"/>
      <c r="I139" s="57"/>
    </row>
    <row r="140" spans="1:9" x14ac:dyDescent="0.2">
      <c r="A140" s="151" t="s">
        <v>207</v>
      </c>
      <c r="B140" s="155"/>
      <c r="C140" s="155"/>
      <c r="D140" s="155"/>
      <c r="E140" s="155"/>
      <c r="F140" s="155"/>
      <c r="G140" s="156"/>
      <c r="H140" s="155"/>
      <c r="I140" s="155"/>
    </row>
    <row r="141" spans="1:9" ht="15.75" customHeight="1" x14ac:dyDescent="0.2">
      <c r="A141" s="86">
        <v>0.8</v>
      </c>
      <c r="B141" s="86">
        <v>0.8</v>
      </c>
      <c r="C141" s="86">
        <v>0.8</v>
      </c>
      <c r="D141" s="86">
        <v>0.8</v>
      </c>
      <c r="E141" s="86">
        <v>0.8</v>
      </c>
      <c r="F141" s="85"/>
      <c r="G141" s="84"/>
      <c r="H141" s="85"/>
      <c r="I141" s="85"/>
    </row>
    <row r="142" spans="1:9" x14ac:dyDescent="0.2">
      <c r="A142" s="87"/>
      <c r="B142" s="88"/>
      <c r="C142" s="88"/>
      <c r="D142" s="88"/>
      <c r="E142" s="89"/>
      <c r="F142" s="32" t="s">
        <v>44</v>
      </c>
      <c r="G142" s="90"/>
      <c r="H142" s="91"/>
      <c r="I142" s="91"/>
    </row>
    <row r="143" spans="1:9" ht="30.75" customHeight="1" x14ac:dyDescent="0.2">
      <c r="A143" s="92" t="e">
        <f ca="1">IF(GTE(A139,A141),"D1", "")</f>
        <v>#NAME?</v>
      </c>
      <c r="B143" s="92" t="e">
        <f ca="1">IF(AND(IF((A143=""), FALSE, TRUE), GTE(B139,B141)),"D2","" )</f>
        <v>#NAME?</v>
      </c>
      <c r="C143" s="92" t="e">
        <f ca="1">IF(AND(IF((B143=""), FALSE, TRUE), GTE(C139,C141)),"D3","")</f>
        <v>#NAME?</v>
      </c>
      <c r="D143" s="92" t="e">
        <f ca="1">IF(AND(IF((C143=""), FALSE, TRUE),GTE(D139,D141)),"D4", "")</f>
        <v>#NAME?</v>
      </c>
      <c r="E143" s="93" t="e">
        <f ca="1">IF(AND(IF((D143=""), FALSE, TRUE), GTE(E139,E141)),"D5", "")</f>
        <v>#NAME?</v>
      </c>
      <c r="F143" s="94" t="e">
        <f>IF(IF((A143=""), FALSE, TRUE),CHOOSE(COUNTA(A143:E143),'Assesment Rules'!B4,'Assesment Rules'!B5,'Assesment Rules'!B6,'Assesment Rules'!B7,'Assesment Rules'!B8), "None")</f>
        <v>#NAME?</v>
      </c>
      <c r="G143" s="95"/>
      <c r="H143" s="96"/>
      <c r="I143" s="57"/>
    </row>
    <row r="144" spans="1:9" ht="15.75" customHeight="1" x14ac:dyDescent="0.2">
      <c r="A144" s="85"/>
      <c r="B144" s="85"/>
      <c r="C144" s="85"/>
      <c r="D144" s="85"/>
      <c r="E144" s="36"/>
      <c r="F144" s="57"/>
      <c r="G144" s="84"/>
      <c r="H144" s="85"/>
      <c r="I144" s="57"/>
    </row>
    <row r="145" spans="1:9" ht="15.75" customHeight="1" x14ac:dyDescent="0.2">
      <c r="A145" s="35"/>
      <c r="B145" s="35"/>
      <c r="C145" s="35"/>
      <c r="D145" s="35"/>
      <c r="E145" s="35"/>
      <c r="F145" s="60"/>
      <c r="G145" s="97"/>
      <c r="H145" s="11"/>
      <c r="I145" s="57"/>
    </row>
    <row r="146" spans="1:9" ht="15.75" customHeight="1" x14ac:dyDescent="0.2">
      <c r="A146" s="57"/>
      <c r="B146" s="57"/>
      <c r="C146" s="98"/>
      <c r="D146" s="35"/>
      <c r="E146" s="99"/>
      <c r="F146" s="99"/>
      <c r="G146" s="97"/>
      <c r="H146" s="11"/>
      <c r="I146" s="57"/>
    </row>
    <row r="147" spans="1:9" ht="15.75" customHeight="1" x14ac:dyDescent="0.2">
      <c r="A147" s="11"/>
      <c r="B147" s="11"/>
      <c r="C147" s="11"/>
      <c r="D147" s="11"/>
      <c r="E147" s="99"/>
      <c r="F147" s="99"/>
      <c r="G147" s="97"/>
      <c r="H147" s="11"/>
      <c r="I147" s="57"/>
    </row>
    <row r="148" spans="1:9" ht="15.75" customHeight="1" x14ac:dyDescent="0.2">
      <c r="A148" s="51"/>
      <c r="B148" s="51"/>
      <c r="C148" s="11"/>
      <c r="D148" s="11"/>
      <c r="E148" s="99"/>
      <c r="F148" s="99"/>
      <c r="G148" s="97"/>
      <c r="H148" s="11"/>
      <c r="I148" s="57"/>
    </row>
  </sheetData>
  <mergeCells count="80">
    <mergeCell ref="A1:E1"/>
    <mergeCell ref="A3:I3"/>
    <mergeCell ref="A7:I7"/>
    <mergeCell ref="G8:G10"/>
    <mergeCell ref="H8:H10"/>
    <mergeCell ref="G11:G17"/>
    <mergeCell ref="H11:H17"/>
    <mergeCell ref="G18:G21"/>
    <mergeCell ref="H18:H21"/>
    <mergeCell ref="G22:G26"/>
    <mergeCell ref="H22:H26"/>
    <mergeCell ref="A27:I27"/>
    <mergeCell ref="G28:G30"/>
    <mergeCell ref="H28:H30"/>
    <mergeCell ref="G31:G32"/>
    <mergeCell ref="H31:H32"/>
    <mergeCell ref="A35:I35"/>
    <mergeCell ref="G38:G39"/>
    <mergeCell ref="H38:H39"/>
    <mergeCell ref="G40:G41"/>
    <mergeCell ref="H40:H41"/>
    <mergeCell ref="A42:I42"/>
    <mergeCell ref="G44:G47"/>
    <mergeCell ref="H44:H47"/>
    <mergeCell ref="G48:G52"/>
    <mergeCell ref="H48:H52"/>
    <mergeCell ref="G53:G55"/>
    <mergeCell ref="H53:H55"/>
    <mergeCell ref="A56:I56"/>
    <mergeCell ref="G57:G59"/>
    <mergeCell ref="H57:H59"/>
    <mergeCell ref="G60:G63"/>
    <mergeCell ref="H60:H63"/>
    <mergeCell ref="A65:I65"/>
    <mergeCell ref="G67:G71"/>
    <mergeCell ref="H67:H71"/>
    <mergeCell ref="G72:G77"/>
    <mergeCell ref="H72:H77"/>
    <mergeCell ref="G78:G82"/>
    <mergeCell ref="H78:H82"/>
    <mergeCell ref="A83:I83"/>
    <mergeCell ref="G84:G85"/>
    <mergeCell ref="H84:H85"/>
    <mergeCell ref="G86:G89"/>
    <mergeCell ref="H86:H89"/>
    <mergeCell ref="G90:G91"/>
    <mergeCell ref="H90:H91"/>
    <mergeCell ref="A92:I92"/>
    <mergeCell ref="G95:G97"/>
    <mergeCell ref="H95:H97"/>
    <mergeCell ref="A98:I98"/>
    <mergeCell ref="G99:G101"/>
    <mergeCell ref="H99:H101"/>
    <mergeCell ref="G103:G107"/>
    <mergeCell ref="H103:H107"/>
    <mergeCell ref="A109:I109"/>
    <mergeCell ref="G110:G111"/>
    <mergeCell ref="H110:H111"/>
    <mergeCell ref="G112:G116"/>
    <mergeCell ref="H112:H116"/>
    <mergeCell ref="A118:I118"/>
    <mergeCell ref="G120:G121"/>
    <mergeCell ref="H120:H121"/>
    <mergeCell ref="G122:G123"/>
    <mergeCell ref="H122:H123"/>
    <mergeCell ref="A124:I124"/>
    <mergeCell ref="G125:G126"/>
    <mergeCell ref="H125:H126"/>
    <mergeCell ref="G127:G128"/>
    <mergeCell ref="H127:H128"/>
    <mergeCell ref="A129:I129"/>
    <mergeCell ref="G130:G131"/>
    <mergeCell ref="H130:H131"/>
    <mergeCell ref="A138:I138"/>
    <mergeCell ref="A140:I140"/>
    <mergeCell ref="A132:I132"/>
    <mergeCell ref="G133:G134"/>
    <mergeCell ref="H133:H134"/>
    <mergeCell ref="G135:G136"/>
    <mergeCell ref="H135:H136"/>
  </mergeCells>
  <conditionalFormatting sqref="E146 F146 E147 F147 E148 F148">
    <cfRule type="cellIs" dxfId="0" priority="1" stopIfTrue="1" operator="greaterThan">
      <formula>0</formula>
    </cfRule>
  </conditionalFormatting>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5"/>
  <sheetViews>
    <sheetView tabSelected="1" workbookViewId="0">
      <pane ySplit="2" topLeftCell="A72" activePane="bottomLeft" state="frozen"/>
      <selection pane="bottomLeft" activeCell="A87" sqref="A87:I87"/>
    </sheetView>
  </sheetViews>
  <sheetFormatPr defaultColWidth="17.140625" defaultRowHeight="12.75" customHeight="1" x14ac:dyDescent="0.2"/>
  <cols>
    <col min="1" max="1" width="30" style="9" bestFit="1" customWidth="1"/>
    <col min="2" max="5" width="30.7109375" style="9" customWidth="1"/>
    <col min="6" max="6" width="9.85546875" style="9" bestFit="1" customWidth="1"/>
    <col min="7" max="7" width="9.28515625" style="9" customWidth="1"/>
    <col min="8" max="8" width="9.28515625" customWidth="1"/>
    <col min="9" max="9" width="35" style="9" customWidth="1"/>
  </cols>
  <sheetData>
    <row r="1" spans="1:9" s="8" customFormat="1" ht="35.25" customHeight="1" x14ac:dyDescent="0.2">
      <c r="A1" s="147" t="s">
        <v>208</v>
      </c>
      <c r="B1" s="147"/>
      <c r="C1" s="147"/>
      <c r="D1" s="147"/>
      <c r="E1" s="147"/>
      <c r="F1" s="147"/>
      <c r="G1" s="100"/>
      <c r="H1" s="100"/>
      <c r="I1" s="39"/>
    </row>
    <row r="2" spans="1:9" ht="21" x14ac:dyDescent="0.2">
      <c r="A2" s="32" t="s">
        <v>1</v>
      </c>
      <c r="B2" s="32" t="s">
        <v>5</v>
      </c>
      <c r="C2" s="32" t="s">
        <v>9</v>
      </c>
      <c r="D2" s="32" t="s">
        <v>12</v>
      </c>
      <c r="E2" s="32" t="s">
        <v>14</v>
      </c>
      <c r="F2" s="32" t="s">
        <v>43</v>
      </c>
      <c r="G2" s="53" t="s">
        <v>148</v>
      </c>
      <c r="H2" s="53" t="s">
        <v>149</v>
      </c>
      <c r="I2" s="34" t="s">
        <v>25</v>
      </c>
    </row>
    <row r="3" spans="1:9" x14ac:dyDescent="0.2">
      <c r="A3" s="141" t="s">
        <v>209</v>
      </c>
      <c r="B3" s="141"/>
      <c r="C3" s="141"/>
      <c r="D3" s="141"/>
      <c r="E3" s="141"/>
      <c r="F3" s="141"/>
      <c r="G3" s="164"/>
      <c r="H3" s="164"/>
      <c r="I3" s="145"/>
    </row>
    <row r="4" spans="1:9" x14ac:dyDescent="0.2">
      <c r="A4" s="35" t="s">
        <v>210</v>
      </c>
      <c r="B4" s="35"/>
      <c r="C4" s="35"/>
      <c r="D4" s="35"/>
      <c r="E4" s="35"/>
      <c r="F4" s="36" t="s">
        <v>435</v>
      </c>
      <c r="G4" s="164">
        <f>COUNTIF(F4:F19, "Y")</f>
        <v>0</v>
      </c>
      <c r="H4" s="164">
        <f>COUNTA(F4:F19)</f>
        <v>16</v>
      </c>
      <c r="I4" s="35"/>
    </row>
    <row r="5" spans="1:9" x14ac:dyDescent="0.2">
      <c r="A5" s="35" t="s">
        <v>211</v>
      </c>
      <c r="B5" s="35"/>
      <c r="C5" s="35"/>
      <c r="D5" s="35"/>
      <c r="E5" s="35"/>
      <c r="F5" s="126" t="s">
        <v>435</v>
      </c>
      <c r="G5" s="164"/>
      <c r="H5" s="164"/>
      <c r="I5" s="35"/>
    </row>
    <row r="6" spans="1:9" x14ac:dyDescent="0.2">
      <c r="A6" s="35" t="s">
        <v>212</v>
      </c>
      <c r="B6" s="35"/>
      <c r="C6" s="35"/>
      <c r="D6" s="35"/>
      <c r="E6" s="35"/>
      <c r="F6" s="126" t="s">
        <v>435</v>
      </c>
      <c r="G6" s="164"/>
      <c r="H6" s="164"/>
      <c r="I6" s="35"/>
    </row>
    <row r="7" spans="1:9" ht="21" x14ac:dyDescent="0.2">
      <c r="A7" s="35" t="s">
        <v>213</v>
      </c>
      <c r="B7" s="35"/>
      <c r="C7" s="35"/>
      <c r="D7" s="35"/>
      <c r="E7" s="35"/>
      <c r="F7" s="126" t="s">
        <v>435</v>
      </c>
      <c r="G7" s="164"/>
      <c r="H7" s="164"/>
      <c r="I7" s="35"/>
    </row>
    <row r="8" spans="1:9" x14ac:dyDescent="0.2">
      <c r="A8" s="35" t="str">
        <f>HYPERLINK("http://msdn.microsoft.com/en-us/library/system.object(v=vs.71).aspx", "Understanding of the 'Object' Type")</f>
        <v>Understanding of the 'Object' Type</v>
      </c>
      <c r="B8" s="35"/>
      <c r="C8" s="35"/>
      <c r="D8" s="35"/>
      <c r="E8" s="35"/>
      <c r="F8" s="126" t="s">
        <v>435</v>
      </c>
      <c r="G8" s="164"/>
      <c r="H8" s="164"/>
      <c r="I8" s="35"/>
    </row>
    <row r="9" spans="1:9" x14ac:dyDescent="0.2">
      <c r="A9" s="35" t="str">
        <f>HYPERLINK("http://msdn.microsoft.com/en-us/library/t63sy5hs(v=vs.80).aspx","Value Types and Reference Types")</f>
        <v>Value Types and Reference Types</v>
      </c>
      <c r="B9" s="35"/>
      <c r="C9" s="35"/>
      <c r="D9" s="35"/>
      <c r="E9" s="35"/>
      <c r="F9" s="126" t="s">
        <v>435</v>
      </c>
      <c r="G9" s="164"/>
      <c r="H9" s="164"/>
      <c r="I9" s="35"/>
    </row>
    <row r="10" spans="1:9" x14ac:dyDescent="0.2">
      <c r="A10" s="35" t="str">
        <f>HYPERLINK("http://msdn.microsoft.com/en-us/library/yz2be5wk(v=vs.80).aspx","Boxing and Unboxing")</f>
        <v>Boxing and Unboxing</v>
      </c>
      <c r="B10" s="35"/>
      <c r="C10" s="35"/>
      <c r="D10" s="35"/>
      <c r="E10" s="35"/>
      <c r="F10" s="126" t="s">
        <v>435</v>
      </c>
      <c r="G10" s="164"/>
      <c r="H10" s="164"/>
      <c r="I10" s="35"/>
    </row>
    <row r="11" spans="1:9" x14ac:dyDescent="0.2">
      <c r="A11" s="35" t="s">
        <v>214</v>
      </c>
      <c r="B11" s="51"/>
      <c r="C11" s="35"/>
      <c r="D11" s="35"/>
      <c r="E11" s="35"/>
      <c r="F11" s="126" t="s">
        <v>435</v>
      </c>
      <c r="G11" s="164"/>
      <c r="H11" s="164"/>
      <c r="I11" s="37"/>
    </row>
    <row r="12" spans="1:9" x14ac:dyDescent="0.2">
      <c r="A12" s="35" t="str">
        <f>HYPERLINK("http://msdn.microsoft.com/en-us/library/sbbt4032(v=VS.80).aspx","Enums")</f>
        <v>Enums</v>
      </c>
      <c r="B12" s="51"/>
      <c r="C12" s="35"/>
      <c r="D12" s="35"/>
      <c r="E12" s="35"/>
      <c r="F12" s="126" t="s">
        <v>435</v>
      </c>
      <c r="G12" s="164"/>
      <c r="H12" s="164"/>
      <c r="I12" s="37"/>
    </row>
    <row r="13" spans="1:9" x14ac:dyDescent="0.2">
      <c r="A13" s="35" t="str">
        <f>HYPERLINK("http://msdn.microsoft.com/en-us/library/1t3y8s4s(v=vs.80).aspx","Nullable Types")</f>
        <v>Nullable Types</v>
      </c>
      <c r="B13" s="51"/>
      <c r="C13" s="35"/>
      <c r="D13" s="35"/>
      <c r="E13" s="35"/>
      <c r="F13" s="126" t="s">
        <v>435</v>
      </c>
      <c r="G13" s="164"/>
      <c r="H13" s="164"/>
      <c r="I13" s="37"/>
    </row>
    <row r="14" spans="1:9" x14ac:dyDescent="0.2">
      <c r="A14" s="35" t="s">
        <v>215</v>
      </c>
      <c r="B14" s="51"/>
      <c r="C14" s="35"/>
      <c r="D14" s="35"/>
      <c r="E14" s="35"/>
      <c r="F14" s="126" t="s">
        <v>435</v>
      </c>
      <c r="G14" s="164"/>
      <c r="H14" s="164"/>
      <c r="I14" s="37"/>
    </row>
    <row r="15" spans="1:9" s="9" customFormat="1" x14ac:dyDescent="0.2">
      <c r="A15" s="35" t="str">
        <f>HYPERLINK("http://msdn.microsoft.com/en-US/library/z2kcy19k(v=VS.80).aspx","Namespaces")</f>
        <v>Namespaces</v>
      </c>
      <c r="B15" s="35"/>
      <c r="C15" s="35"/>
      <c r="D15" s="35"/>
      <c r="E15" s="35"/>
      <c r="F15" s="126" t="s">
        <v>435</v>
      </c>
      <c r="G15" s="164"/>
      <c r="H15" s="164"/>
      <c r="I15" s="37"/>
    </row>
    <row r="16" spans="1:9" x14ac:dyDescent="0.2">
      <c r="A16" s="43" t="str">
        <f>HYPERLINK("http://msdn.microsoft.com/en-us/library/orm-9780596521066-01-17.aspx","Delegates and Events")</f>
        <v>Delegates and Events</v>
      </c>
      <c r="B16" s="43"/>
      <c r="C16" s="43"/>
      <c r="D16" s="43"/>
      <c r="E16" s="43"/>
      <c r="F16" s="126" t="s">
        <v>435</v>
      </c>
      <c r="G16" s="164"/>
      <c r="H16" s="164"/>
      <c r="I16" s="37"/>
    </row>
    <row r="17" spans="1:9" x14ac:dyDescent="0.2">
      <c r="A17" s="43" t="str">
        <f>HYPERLINK("http://msdn.microsoft.com/en-us/library/system.collections.aspx","Basic of Collections, Traversing")</f>
        <v>Basic of Collections, Traversing</v>
      </c>
      <c r="B17" s="101"/>
      <c r="C17" s="43"/>
      <c r="D17" s="43"/>
      <c r="E17" s="43"/>
      <c r="F17" s="126" t="s">
        <v>435</v>
      </c>
      <c r="G17" s="164"/>
      <c r="H17" s="164"/>
      <c r="I17" s="37"/>
    </row>
    <row r="18" spans="1:9" x14ac:dyDescent="0.2">
      <c r="A18" s="43" t="str">
        <f>HYPERLINK("http://msdn.microsoft.com/en-us/library/0x6a29h6(v=vs.80).aspx","Generics")</f>
        <v>Generics</v>
      </c>
      <c r="B18" s="101"/>
      <c r="C18" s="43"/>
      <c r="D18" s="43"/>
      <c r="E18" s="43"/>
      <c r="F18" s="126" t="s">
        <v>435</v>
      </c>
      <c r="G18" s="164"/>
      <c r="H18" s="164"/>
      <c r="I18" s="37"/>
    </row>
    <row r="19" spans="1:9" x14ac:dyDescent="0.2">
      <c r="A19" s="102" t="str">
        <f>HYPERLINK("http://msdn.microsoft.com/en-us/library/vstudio/ms173160(v=vs.100).aspx","Exceptions and Exception Handling")</f>
        <v>Exceptions and Exception Handling</v>
      </c>
      <c r="B19" s="102"/>
      <c r="C19" s="102"/>
      <c r="D19" s="102"/>
      <c r="E19" s="102"/>
      <c r="F19" s="126" t="s">
        <v>435</v>
      </c>
      <c r="G19" s="164"/>
      <c r="H19" s="164"/>
      <c r="I19" s="103"/>
    </row>
    <row r="20" spans="1:9" x14ac:dyDescent="0.2">
      <c r="A20" s="104"/>
      <c r="B20" s="105" t="str">
        <f>HYPERLINK("http://msdn.microsoft.com/en-us/library/vstudio/bb383977.aspx","Extension Methods")</f>
        <v>Extension Methods</v>
      </c>
      <c r="C20" s="105"/>
      <c r="D20" s="105"/>
      <c r="E20" s="105"/>
      <c r="F20" s="126" t="s">
        <v>435</v>
      </c>
      <c r="G20" s="164">
        <f>COUNTIF(F20:F33, "Y")</f>
        <v>0</v>
      </c>
      <c r="H20" s="164">
        <f>COUNTA(F20:F33)</f>
        <v>14</v>
      </c>
      <c r="I20" s="106"/>
    </row>
    <row r="21" spans="1:9" x14ac:dyDescent="0.2">
      <c r="A21" s="101"/>
      <c r="B21" s="43" t="str">
        <f>HYPERLINK("http://msdn.microsoft.com/en-us/library/z0w1kczw(v=vs.110).aspx","Attributes")</f>
        <v>Attributes</v>
      </c>
      <c r="C21" s="43"/>
      <c r="D21" s="43"/>
      <c r="E21" s="43"/>
      <c r="F21" s="126" t="s">
        <v>435</v>
      </c>
      <c r="G21" s="164"/>
      <c r="H21" s="164"/>
      <c r="I21" s="37"/>
    </row>
    <row r="22" spans="1:9" x14ac:dyDescent="0.2">
      <c r="A22" s="101"/>
      <c r="B22" s="43" t="str">
        <f>HYPERLINK("http://msdn.microsoft.com/en-us/library/dd264736.aspx","Dynamics")</f>
        <v>Dynamics</v>
      </c>
      <c r="C22" s="43"/>
      <c r="D22" s="43"/>
      <c r="E22" s="43"/>
      <c r="F22" s="126" t="s">
        <v>435</v>
      </c>
      <c r="G22" s="164"/>
      <c r="H22" s="164"/>
      <c r="I22" s="37"/>
    </row>
    <row r="23" spans="1:9" x14ac:dyDescent="0.2">
      <c r="A23" s="43"/>
      <c r="B23" s="43" t="str">
        <f>HYPERLINK("http://msdn.microsoft.com/en-us/library/vstudio/bb397696.aspx","Anonymous Types")</f>
        <v>Anonymous Types</v>
      </c>
      <c r="C23" s="43"/>
      <c r="D23" s="43"/>
      <c r="E23" s="43"/>
      <c r="F23" s="126" t="s">
        <v>435</v>
      </c>
      <c r="G23" s="164"/>
      <c r="H23" s="164"/>
      <c r="I23" s="37"/>
    </row>
    <row r="24" spans="1:9" x14ac:dyDescent="0.2">
      <c r="A24" s="43"/>
      <c r="B24" s="43" t="s">
        <v>216</v>
      </c>
      <c r="C24" s="43"/>
      <c r="D24" s="43"/>
      <c r="E24" s="43"/>
      <c r="F24" s="126" t="s">
        <v>435</v>
      </c>
      <c r="G24" s="164"/>
      <c r="H24" s="164"/>
      <c r="I24" s="37"/>
    </row>
    <row r="25" spans="1:9" ht="21" x14ac:dyDescent="0.2">
      <c r="A25" s="43"/>
      <c r="B25" s="43" t="s">
        <v>217</v>
      </c>
      <c r="C25" s="43"/>
      <c r="D25" s="43"/>
      <c r="E25" s="43"/>
      <c r="F25" s="126" t="s">
        <v>435</v>
      </c>
      <c r="G25" s="164"/>
      <c r="H25" s="164"/>
      <c r="I25" s="37"/>
    </row>
    <row r="26" spans="1:9" ht="21" x14ac:dyDescent="0.2">
      <c r="A26" s="43"/>
      <c r="B26" s="43" t="str">
        <f>HYPERLINK("http://msdn.microsoft.com/en-us/library/0xy59wtx.aspx","GC, generations, Disposable Resources (and IDisposable)")</f>
        <v>GC, generations, Disposable Resources (and IDisposable)</v>
      </c>
      <c r="C26" s="43"/>
      <c r="D26" s="43"/>
      <c r="E26" s="43"/>
      <c r="F26" s="126" t="s">
        <v>435</v>
      </c>
      <c r="G26" s="164"/>
      <c r="H26" s="164"/>
      <c r="I26" s="37"/>
    </row>
    <row r="27" spans="1:9" x14ac:dyDescent="0.2">
      <c r="A27" s="43"/>
      <c r="B27" s="43" t="str">
        <f>HYPERLINK("http://msdn.microsoft.com/en-us/library/hk5f40ct(v=vs.71).aspx","Assemblies")</f>
        <v>Assemblies</v>
      </c>
      <c r="C27" s="43"/>
      <c r="D27" s="43"/>
      <c r="E27" s="43"/>
      <c r="F27" s="126" t="s">
        <v>435</v>
      </c>
      <c r="G27" s="164"/>
      <c r="H27" s="164"/>
      <c r="I27" s="37"/>
    </row>
    <row r="28" spans="1:9" x14ac:dyDescent="0.2">
      <c r="A28" s="43"/>
      <c r="B28" s="43" t="str">
        <f>HYPERLINK("http://msdn.microsoft.com/en-us/library/yf1d93sz(v=VS.71).aspx","Global Assembly Cache (GAC)")</f>
        <v>Global Assembly Cache (GAC)</v>
      </c>
      <c r="C28" s="43"/>
      <c r="D28" s="43"/>
      <c r="E28" s="43"/>
      <c r="F28" s="126" t="s">
        <v>435</v>
      </c>
      <c r="G28" s="164"/>
      <c r="H28" s="164"/>
      <c r="I28" s="37"/>
    </row>
    <row r="29" spans="1:9" ht="21" x14ac:dyDescent="0.2">
      <c r="A29" s="43"/>
      <c r="B29" s="43" t="str">
        <f>HYPERLINK("http://msdn.microsoft.com/en-us/library/aa288468(v=VS.71).aspx#pinvoke_defaultmarshaling","P/Invoke Fundamentals. Type Marshaling")</f>
        <v>P/Invoke Fundamentals. Type Marshaling</v>
      </c>
      <c r="C29" s="43"/>
      <c r="D29" s="43"/>
      <c r="E29" s="43"/>
      <c r="F29" s="126" t="s">
        <v>435</v>
      </c>
      <c r="G29" s="164"/>
      <c r="H29" s="164"/>
      <c r="I29" s="37"/>
    </row>
    <row r="30" spans="1:9" x14ac:dyDescent="0.2">
      <c r="A30" s="43"/>
      <c r="B30" s="43" t="str">
        <f>HYPERLINK("http://msdn.microsoft.com/en-us/library/h43ks021(v=vs.110).aspx","ADO.NET fundamentals")</f>
        <v>ADO.NET fundamentals</v>
      </c>
      <c r="C30" s="43"/>
      <c r="D30" s="43"/>
      <c r="E30" s="43"/>
      <c r="F30" s="126" t="s">
        <v>435</v>
      </c>
      <c r="G30" s="164"/>
      <c r="H30" s="164"/>
      <c r="I30" s="37"/>
    </row>
    <row r="31" spans="1:9" ht="31.5" x14ac:dyDescent="0.2">
      <c r="A31" s="43"/>
      <c r="B31" s="43" t="s">
        <v>218</v>
      </c>
      <c r="C31" s="43"/>
      <c r="D31" s="43"/>
      <c r="E31" s="43"/>
      <c r="F31" s="126" t="s">
        <v>435</v>
      </c>
      <c r="G31" s="164"/>
      <c r="H31" s="164"/>
      <c r="I31" s="37"/>
    </row>
    <row r="32" spans="1:9" ht="42" x14ac:dyDescent="0.2">
      <c r="A32" s="43"/>
      <c r="B32" s="43" t="s">
        <v>219</v>
      </c>
      <c r="C32" s="43"/>
      <c r="D32" s="43"/>
      <c r="E32" s="43"/>
      <c r="F32" s="126" t="s">
        <v>435</v>
      </c>
      <c r="G32" s="164"/>
      <c r="H32" s="164"/>
      <c r="I32" s="37"/>
    </row>
    <row r="33" spans="1:9" x14ac:dyDescent="0.2">
      <c r="A33" s="102"/>
      <c r="B33" s="102" t="s">
        <v>220</v>
      </c>
      <c r="C33" s="102"/>
      <c r="D33" s="102"/>
      <c r="E33" s="102"/>
      <c r="F33" s="126" t="s">
        <v>435</v>
      </c>
      <c r="G33" s="164"/>
      <c r="H33" s="164"/>
      <c r="I33" s="103"/>
    </row>
    <row r="34" spans="1:9" ht="21" x14ac:dyDescent="0.2">
      <c r="A34" s="105"/>
      <c r="B34" s="107"/>
      <c r="C34" s="105" t="s">
        <v>221</v>
      </c>
      <c r="D34" s="105"/>
      <c r="E34" s="105"/>
      <c r="F34" s="126" t="s">
        <v>435</v>
      </c>
      <c r="G34" s="164">
        <f>COUNTIF(F34:F39, "Y")</f>
        <v>0</v>
      </c>
      <c r="H34" s="164">
        <f>COUNTA(F34:F39)</f>
        <v>6</v>
      </c>
      <c r="I34" s="106"/>
    </row>
    <row r="35" spans="1:9" x14ac:dyDescent="0.2">
      <c r="A35" s="43"/>
      <c r="B35" s="101"/>
      <c r="C35" s="43" t="s">
        <v>222</v>
      </c>
      <c r="D35" s="43"/>
      <c r="E35" s="43"/>
      <c r="F35" s="36" t="str">
        <f>$F$19</f>
        <v>Yes</v>
      </c>
      <c r="G35" s="164"/>
      <c r="H35" s="164"/>
      <c r="I35" s="37"/>
    </row>
    <row r="36" spans="1:9" x14ac:dyDescent="0.2">
      <c r="A36" s="43"/>
      <c r="B36" s="101"/>
      <c r="C36" s="43" t="str">
        <f>HYPERLINK("http://msdn.microsoft.com/en-us/library/f7ykdhsy.aspx","Reflection")</f>
        <v>Reflection</v>
      </c>
      <c r="D36" s="43"/>
      <c r="E36" s="43"/>
      <c r="F36" s="126" t="s">
        <v>435</v>
      </c>
      <c r="G36" s="164"/>
      <c r="H36" s="164"/>
      <c r="I36" s="37"/>
    </row>
    <row r="37" spans="1:9" ht="21" x14ac:dyDescent="0.2">
      <c r="A37" s="43"/>
      <c r="B37" s="101"/>
      <c r="C37" s="43" t="s">
        <v>223</v>
      </c>
      <c r="D37" s="43"/>
      <c r="E37" s="43"/>
      <c r="F37" s="36" t="s">
        <v>436</v>
      </c>
      <c r="G37" s="164"/>
      <c r="H37" s="164"/>
      <c r="I37" s="37"/>
    </row>
    <row r="38" spans="1:9" ht="31.5" x14ac:dyDescent="0.2">
      <c r="A38" s="43"/>
      <c r="B38" s="101"/>
      <c r="C38" s="43" t="s">
        <v>224</v>
      </c>
      <c r="D38" s="43"/>
      <c r="E38" s="43"/>
      <c r="F38" s="36" t="s">
        <v>435</v>
      </c>
      <c r="G38" s="164"/>
      <c r="H38" s="164"/>
      <c r="I38" s="37"/>
    </row>
    <row r="39" spans="1:9" x14ac:dyDescent="0.2">
      <c r="A39" s="102"/>
      <c r="B39" s="108"/>
      <c r="C39" s="102" t="str">
        <f>HYPERLINK("http://msdn.microsoft.com/en-us/library/dd460717.aspx", "Task Parallel Library (TPL)")</f>
        <v>Task Parallel Library (TPL)</v>
      </c>
      <c r="D39" s="102"/>
      <c r="E39" s="102"/>
      <c r="F39" s="36" t="s">
        <v>436</v>
      </c>
      <c r="G39" s="164"/>
      <c r="H39" s="164"/>
      <c r="I39" s="103"/>
    </row>
    <row r="40" spans="1:9" ht="42" x14ac:dyDescent="0.2">
      <c r="A40" s="105"/>
      <c r="B40" s="104"/>
      <c r="C40" s="105"/>
      <c r="D40" s="105" t="s">
        <v>225</v>
      </c>
      <c r="E40" s="105"/>
      <c r="F40" s="36" t="s">
        <v>436</v>
      </c>
      <c r="G40" s="164">
        <f>COUNTIF(F40:F42, "Y")</f>
        <v>0</v>
      </c>
      <c r="H40" s="164">
        <f>COUNTA(F40:F42)</f>
        <v>3</v>
      </c>
      <c r="I40" s="109"/>
    </row>
    <row r="41" spans="1:9" ht="31.5" x14ac:dyDescent="0.2">
      <c r="A41" s="43"/>
      <c r="B41" s="101"/>
      <c r="C41" s="43"/>
      <c r="D41" s="43" t="s">
        <v>226</v>
      </c>
      <c r="E41" s="43"/>
      <c r="F41" s="36" t="s">
        <v>436</v>
      </c>
      <c r="G41" s="164"/>
      <c r="H41" s="164"/>
      <c r="I41" s="110"/>
    </row>
    <row r="42" spans="1:9" ht="21" x14ac:dyDescent="0.2">
      <c r="A42" s="43"/>
      <c r="B42" s="111"/>
      <c r="C42" s="111"/>
      <c r="D42" s="43" t="s">
        <v>227</v>
      </c>
      <c r="E42" s="43"/>
      <c r="F42" s="36" t="s">
        <v>435</v>
      </c>
      <c r="G42" s="164"/>
      <c r="H42" s="164"/>
      <c r="I42" s="37"/>
    </row>
    <row r="43" spans="1:9" x14ac:dyDescent="0.2">
      <c r="A43" s="151" t="s">
        <v>206</v>
      </c>
      <c r="B43" s="151"/>
      <c r="C43" s="151"/>
      <c r="D43" s="152"/>
      <c r="E43" s="151"/>
      <c r="F43" s="151"/>
      <c r="G43" s="175"/>
      <c r="H43" s="176"/>
      <c r="I43" s="151"/>
    </row>
    <row r="44" spans="1:9" x14ac:dyDescent="0.2">
      <c r="A44" s="60">
        <f>IFERROR(ROUND((SUM(G4)/SUM(H4)),2),0)</f>
        <v>0</v>
      </c>
      <c r="B44" s="60">
        <f>IFERROR(ROUND((SUM(G20)/SUM(H20)),2),0)</f>
        <v>0</v>
      </c>
      <c r="C44" s="60">
        <f>IFERROR(ROUND((SUM(G34)/SUM(H34)),2),0)</f>
        <v>0</v>
      </c>
      <c r="D44" s="60">
        <f>IFERROR(ROUND((SUM(G40)/SUM(H40)),2),0)</f>
        <v>0</v>
      </c>
      <c r="E44" s="60">
        <v>0</v>
      </c>
      <c r="F44" s="57"/>
      <c r="G44" s="95"/>
      <c r="H44" s="112"/>
      <c r="I44" s="57"/>
    </row>
    <row r="45" spans="1:9" x14ac:dyDescent="0.2">
      <c r="A45" s="151" t="s">
        <v>207</v>
      </c>
      <c r="B45" s="155"/>
      <c r="C45" s="155"/>
      <c r="D45" s="155"/>
      <c r="E45" s="155"/>
      <c r="F45" s="155"/>
      <c r="G45" s="173"/>
      <c r="H45" s="174"/>
      <c r="I45" s="155"/>
    </row>
    <row r="46" spans="1:9" x14ac:dyDescent="0.2">
      <c r="A46" s="86">
        <v>0.8</v>
      </c>
      <c r="B46" s="86">
        <v>0.8</v>
      </c>
      <c r="C46" s="86">
        <v>0.8</v>
      </c>
      <c r="D46" s="86">
        <v>0.8</v>
      </c>
      <c r="E46" s="86">
        <v>0.8</v>
      </c>
      <c r="F46" s="85"/>
      <c r="G46" s="95"/>
      <c r="H46" s="112"/>
      <c r="I46" s="85"/>
    </row>
    <row r="47" spans="1:9" x14ac:dyDescent="0.2">
      <c r="A47" s="87"/>
      <c r="B47" s="88"/>
      <c r="C47" s="88"/>
      <c r="D47" s="88"/>
      <c r="E47" s="89"/>
      <c r="F47" s="32" t="s">
        <v>44</v>
      </c>
      <c r="G47" s="113"/>
      <c r="H47" s="114"/>
      <c r="I47" s="91"/>
    </row>
    <row r="48" spans="1:9" ht="26.25" customHeight="1" x14ac:dyDescent="0.2">
      <c r="A48" s="92" t="e">
        <f ca="1">IF(GTE(A44,A46),"D1", "")</f>
        <v>#NAME?</v>
      </c>
      <c r="B48" s="92" t="e">
        <f ca="1">IF(AND(IF((A48=""), FALSE, TRUE), GTE(B44,B46)),"D2","" )</f>
        <v>#NAME?</v>
      </c>
      <c r="C48" s="92" t="e">
        <f ca="1">IF(AND(IF((B48=""), FALSE, TRUE), GTE(C44,C46)),"D3","")</f>
        <v>#NAME?</v>
      </c>
      <c r="D48" s="92" t="e">
        <f ca="1">IF(AND(IF((C48=""), FALSE, TRUE),GTE(D44,D46)),"D4", "")</f>
        <v>#NAME?</v>
      </c>
      <c r="E48" s="93" t="e">
        <f ca="1">IF(AND(IF((D48=""), FALSE, TRUE), GTE(E44,E46)),"D5", "")</f>
        <v>#NAME?</v>
      </c>
      <c r="F48" s="94" t="e">
        <f>IF(IF((A48=""), FALSE, TRUE),CHOOSE(COUNTA(A48:E48),'Assesment Rules'!B4,'Assesment Rules'!B5,'Assesment Rules'!B6,'Assesment Rules'!B7,'Assesment Rules'!B8), "None")</f>
        <v>#NAME?</v>
      </c>
      <c r="G48" s="95"/>
      <c r="H48" s="112"/>
      <c r="I48" s="57"/>
    </row>
    <row r="49" spans="1:9" ht="75" customHeight="1" x14ac:dyDescent="0.2">
      <c r="A49" s="115"/>
      <c r="B49" s="96"/>
      <c r="C49" s="96"/>
      <c r="D49" s="96"/>
      <c r="E49" s="116"/>
      <c r="F49" s="116"/>
      <c r="G49" s="95"/>
      <c r="H49" s="112"/>
      <c r="I49" s="117"/>
    </row>
    <row r="50" spans="1:9" s="9" customFormat="1" ht="18.75" customHeight="1" x14ac:dyDescent="0.2">
      <c r="A50" s="177" t="s">
        <v>228</v>
      </c>
      <c r="B50" s="178"/>
      <c r="C50" s="178"/>
      <c r="D50" s="178"/>
      <c r="E50" s="178"/>
      <c r="F50" s="178"/>
      <c r="G50" s="179"/>
      <c r="H50" s="179"/>
      <c r="I50" s="180"/>
    </row>
    <row r="51" spans="1:9" x14ac:dyDescent="0.2">
      <c r="A51" s="141" t="s">
        <v>229</v>
      </c>
      <c r="B51" s="141"/>
      <c r="C51" s="141"/>
      <c r="D51" s="141"/>
      <c r="E51" s="141"/>
      <c r="F51" s="141"/>
      <c r="G51" s="164"/>
      <c r="H51" s="164"/>
      <c r="I51" s="145"/>
    </row>
    <row r="52" spans="1:9" ht="21" x14ac:dyDescent="0.2">
      <c r="A52" s="35" t="s">
        <v>230</v>
      </c>
      <c r="B52" s="35"/>
      <c r="C52" s="35"/>
      <c r="D52" s="35"/>
      <c r="E52" s="35"/>
      <c r="F52" s="36" t="s">
        <v>435</v>
      </c>
      <c r="G52" s="159">
        <f>COUNTIF(F52:F59, "Y")</f>
        <v>0</v>
      </c>
      <c r="H52" s="159">
        <f>COUNTA(F52:F59)</f>
        <v>7</v>
      </c>
      <c r="I52" s="35"/>
    </row>
    <row r="53" spans="1:9" x14ac:dyDescent="0.2">
      <c r="A53" s="35" t="str">
        <f>HYPERLINK("http://msdn.microsoft.com/en-us/library/z1hkazw7(v=vs.100).aspx", "ASP.NET State Management")</f>
        <v>ASP.NET State Management</v>
      </c>
      <c r="B53" s="35"/>
      <c r="C53" s="35"/>
      <c r="D53" s="35"/>
      <c r="E53" s="35"/>
      <c r="F53" s="126" t="s">
        <v>435</v>
      </c>
      <c r="G53" s="164"/>
      <c r="H53" s="164"/>
      <c r="I53" s="35"/>
    </row>
    <row r="54" spans="1:9" x14ac:dyDescent="0.2">
      <c r="A54" s="35" t="s">
        <v>231</v>
      </c>
      <c r="B54" s="35"/>
      <c r="C54" s="35"/>
      <c r="D54" s="35"/>
      <c r="E54" s="35"/>
      <c r="F54" s="126" t="s">
        <v>435</v>
      </c>
      <c r="G54" s="164"/>
      <c r="H54" s="164"/>
      <c r="I54" s="35"/>
    </row>
    <row r="55" spans="1:9" x14ac:dyDescent="0.2">
      <c r="A55" s="35" t="s">
        <v>232</v>
      </c>
      <c r="B55" s="35"/>
      <c r="C55" s="35"/>
      <c r="D55" s="35"/>
      <c r="E55" s="35"/>
      <c r="F55" s="126" t="s">
        <v>435</v>
      </c>
      <c r="G55" s="164"/>
      <c r="H55" s="164"/>
      <c r="I55" s="35"/>
    </row>
    <row r="56" spans="1:9" x14ac:dyDescent="0.2">
      <c r="A56" s="35" t="s">
        <v>233</v>
      </c>
      <c r="B56" s="35"/>
      <c r="C56" s="35"/>
      <c r="D56" s="35"/>
      <c r="E56" s="35"/>
      <c r="F56" s="126" t="s">
        <v>435</v>
      </c>
      <c r="G56" s="164"/>
      <c r="H56" s="164"/>
      <c r="I56" s="35"/>
    </row>
    <row r="57" spans="1:9" ht="21" x14ac:dyDescent="0.2">
      <c r="A57" s="35" t="s">
        <v>234</v>
      </c>
      <c r="B57" s="35"/>
      <c r="C57" s="35"/>
      <c r="D57" s="35"/>
      <c r="E57" s="35"/>
      <c r="F57" s="126" t="s">
        <v>435</v>
      </c>
      <c r="G57" s="164"/>
      <c r="H57" s="164"/>
      <c r="I57" s="35"/>
    </row>
    <row r="58" spans="1:9" x14ac:dyDescent="0.2">
      <c r="A58" s="35"/>
      <c r="B58" s="35"/>
      <c r="C58" s="35"/>
      <c r="D58" s="35"/>
      <c r="E58" s="35"/>
      <c r="F58" s="36"/>
      <c r="G58" s="164"/>
      <c r="H58" s="164"/>
      <c r="I58" s="35"/>
    </row>
    <row r="59" spans="1:9" x14ac:dyDescent="0.2">
      <c r="A59" s="62" t="str">
        <f>HYPERLINK("http://msdn.microsoft.com/en-us/library/2tw134k3(v=vs.100).aspx", "Custom config sections")</f>
        <v>Custom config sections</v>
      </c>
      <c r="B59" s="62"/>
      <c r="C59" s="62"/>
      <c r="D59" s="62"/>
      <c r="E59" s="62"/>
      <c r="F59" s="126" t="s">
        <v>435</v>
      </c>
      <c r="G59" s="159"/>
      <c r="H59" s="159"/>
      <c r="I59" s="62"/>
    </row>
    <row r="60" spans="1:9" ht="31.5" x14ac:dyDescent="0.2">
      <c r="A60" s="65"/>
      <c r="B60" s="65" t="s">
        <v>235</v>
      </c>
      <c r="C60" s="65"/>
      <c r="D60" s="65"/>
      <c r="E60" s="65"/>
      <c r="F60" s="126" t="s">
        <v>435</v>
      </c>
      <c r="G60" s="161">
        <f>COUNTIF(F60:F70, "Y")</f>
        <v>0</v>
      </c>
      <c r="H60" s="161">
        <f>COUNTA(F60:F70)</f>
        <v>11</v>
      </c>
      <c r="I60" s="65"/>
    </row>
    <row r="61" spans="1:9" x14ac:dyDescent="0.2">
      <c r="A61" s="35"/>
      <c r="B61" s="35" t="s">
        <v>236</v>
      </c>
      <c r="C61" s="35"/>
      <c r="D61" s="35"/>
      <c r="E61" s="35"/>
      <c r="F61" s="126" t="s">
        <v>435</v>
      </c>
      <c r="G61" s="164"/>
      <c r="H61" s="163"/>
      <c r="I61" s="35"/>
    </row>
    <row r="62" spans="1:9" x14ac:dyDescent="0.2">
      <c r="A62" s="35"/>
      <c r="B62" s="35" t="s">
        <v>237</v>
      </c>
      <c r="C62" s="35"/>
      <c r="D62" s="35"/>
      <c r="E62" s="35"/>
      <c r="F62" s="126" t="s">
        <v>435</v>
      </c>
      <c r="G62" s="164"/>
      <c r="H62" s="164"/>
      <c r="I62" s="35"/>
    </row>
    <row r="63" spans="1:9" x14ac:dyDescent="0.2">
      <c r="A63" s="35"/>
      <c r="B63" s="35" t="s">
        <v>238</v>
      </c>
      <c r="C63" s="35"/>
      <c r="D63" s="35"/>
      <c r="E63" s="35"/>
      <c r="F63" s="126" t="s">
        <v>435</v>
      </c>
      <c r="G63" s="164"/>
      <c r="H63" s="164"/>
      <c r="I63" s="35"/>
    </row>
    <row r="64" spans="1:9" ht="21" x14ac:dyDescent="0.2">
      <c r="A64" s="35"/>
      <c r="B64" s="35" t="s">
        <v>239</v>
      </c>
      <c r="C64" s="35"/>
      <c r="D64" s="35"/>
      <c r="E64" s="35"/>
      <c r="F64" s="36" t="s">
        <v>436</v>
      </c>
      <c r="G64" s="164"/>
      <c r="H64" s="164"/>
      <c r="I64" s="35"/>
    </row>
    <row r="65" spans="1:9" ht="21" x14ac:dyDescent="0.2">
      <c r="A65" s="35"/>
      <c r="B65" s="35" t="s">
        <v>240</v>
      </c>
      <c r="C65" s="35"/>
      <c r="D65" s="35"/>
      <c r="E65" s="35"/>
      <c r="F65" s="126" t="s">
        <v>435</v>
      </c>
      <c r="G65" s="164"/>
      <c r="H65" s="164"/>
      <c r="I65" s="35"/>
    </row>
    <row r="66" spans="1:9" ht="21" x14ac:dyDescent="0.2">
      <c r="A66" s="35"/>
      <c r="B66" s="35" t="s">
        <v>241</v>
      </c>
      <c r="C66" s="35"/>
      <c r="D66" s="35"/>
      <c r="E66" s="35"/>
      <c r="F66" s="36" t="s">
        <v>436</v>
      </c>
      <c r="G66" s="164"/>
      <c r="H66" s="164"/>
      <c r="I66" s="35"/>
    </row>
    <row r="67" spans="1:9" x14ac:dyDescent="0.2">
      <c r="A67" s="35"/>
      <c r="B67" s="35" t="str">
        <f>HYPERLINK("http://msdn.microsoft.com/en-us/library/y3bwdsh3(v=vs.100).aspx","Controls events")</f>
        <v>Controls events</v>
      </c>
      <c r="C67" s="35"/>
      <c r="D67" s="35"/>
      <c r="E67" s="35"/>
      <c r="F67" s="36" t="s">
        <v>436</v>
      </c>
      <c r="G67" s="164"/>
      <c r="H67" s="164"/>
      <c r="I67" s="35"/>
    </row>
    <row r="68" spans="1:9" x14ac:dyDescent="0.2">
      <c r="A68" s="35"/>
      <c r="B68" s="35" t="s">
        <v>242</v>
      </c>
      <c r="C68" s="35"/>
      <c r="D68" s="35"/>
      <c r="E68" s="35"/>
      <c r="F68" s="126" t="s">
        <v>435</v>
      </c>
      <c r="G68" s="164"/>
      <c r="H68" s="164"/>
      <c r="I68" s="35"/>
    </row>
    <row r="69" spans="1:9" ht="21" x14ac:dyDescent="0.2">
      <c r="A69" s="35"/>
      <c r="B69" s="35" t="s">
        <v>243</v>
      </c>
      <c r="C69" s="35"/>
      <c r="D69" s="35"/>
      <c r="E69" s="35"/>
      <c r="F69" s="126" t="s">
        <v>435</v>
      </c>
      <c r="G69" s="164"/>
      <c r="H69" s="164"/>
      <c r="I69" s="35"/>
    </row>
    <row r="70" spans="1:9" x14ac:dyDescent="0.2">
      <c r="A70" s="62"/>
      <c r="B70" s="62" t="s">
        <v>244</v>
      </c>
      <c r="C70" s="62"/>
      <c r="D70" s="62"/>
      <c r="E70" s="62"/>
      <c r="F70" s="126" t="s">
        <v>435</v>
      </c>
      <c r="G70" s="159"/>
      <c r="H70" s="159"/>
      <c r="I70" s="62"/>
    </row>
    <row r="71" spans="1:9" ht="31.5" x14ac:dyDescent="0.2">
      <c r="A71" s="65"/>
      <c r="B71" s="65"/>
      <c r="C71" s="65" t="s">
        <v>245</v>
      </c>
      <c r="D71" s="65"/>
      <c r="E71" s="65"/>
      <c r="F71" s="36" t="s">
        <v>436</v>
      </c>
      <c r="G71" s="161">
        <f>COUNTIF(F71:F76, "Y")</f>
        <v>0</v>
      </c>
      <c r="H71" s="161">
        <f>COUNTA(F71:F76)</f>
        <v>6</v>
      </c>
      <c r="I71" s="65"/>
    </row>
    <row r="72" spans="1:9" ht="21" x14ac:dyDescent="0.2">
      <c r="A72" s="35"/>
      <c r="B72" s="35"/>
      <c r="C72" s="35" t="s">
        <v>246</v>
      </c>
      <c r="D72" s="35"/>
      <c r="E72" s="35"/>
      <c r="F72" s="36" t="s">
        <v>436</v>
      </c>
      <c r="G72" s="164"/>
      <c r="H72" s="163"/>
      <c r="I72" s="35"/>
    </row>
    <row r="73" spans="1:9" x14ac:dyDescent="0.2">
      <c r="A73" s="35"/>
      <c r="B73" s="35"/>
      <c r="C73" s="35" t="s">
        <v>247</v>
      </c>
      <c r="D73" s="35"/>
      <c r="E73" s="35"/>
      <c r="F73" s="36" t="s">
        <v>436</v>
      </c>
      <c r="G73" s="164"/>
      <c r="H73" s="164"/>
      <c r="I73" s="35"/>
    </row>
    <row r="74" spans="1:9" x14ac:dyDescent="0.2">
      <c r="A74" s="35"/>
      <c r="B74" s="35"/>
      <c r="C74" s="35" t="s">
        <v>248</v>
      </c>
      <c r="D74" s="35"/>
      <c r="E74" s="35"/>
      <c r="F74" s="36" t="s">
        <v>437</v>
      </c>
      <c r="G74" s="164"/>
      <c r="H74" s="164"/>
      <c r="I74" s="35"/>
    </row>
    <row r="75" spans="1:9" x14ac:dyDescent="0.2">
      <c r="A75" s="35"/>
      <c r="B75" s="35"/>
      <c r="C75" s="35" t="s">
        <v>249</v>
      </c>
      <c r="D75" s="35"/>
      <c r="E75" s="35"/>
      <c r="F75" s="36" t="s">
        <v>437</v>
      </c>
      <c r="G75" s="164"/>
      <c r="H75" s="164"/>
      <c r="I75" s="35"/>
    </row>
    <row r="76" spans="1:9" ht="21" x14ac:dyDescent="0.2">
      <c r="A76" s="62"/>
      <c r="B76" s="62"/>
      <c r="C76" s="62" t="s">
        <v>250</v>
      </c>
      <c r="D76" s="62"/>
      <c r="E76" s="62"/>
      <c r="F76" s="36" t="s">
        <v>437</v>
      </c>
      <c r="G76" s="159"/>
      <c r="H76" s="159"/>
      <c r="I76" s="62"/>
    </row>
    <row r="77" spans="1:9" x14ac:dyDescent="0.2">
      <c r="A77" s="65"/>
      <c r="B77" s="65"/>
      <c r="C77" s="65"/>
      <c r="D77" s="65" t="s">
        <v>251</v>
      </c>
      <c r="E77" s="65"/>
      <c r="F77" s="36" t="s">
        <v>436</v>
      </c>
      <c r="G77" s="163">
        <f>COUNTIF(F77:F78, "Y")</f>
        <v>0</v>
      </c>
      <c r="H77" s="163">
        <f>COUNTA(F77:F78)</f>
        <v>2</v>
      </c>
      <c r="I77" s="65"/>
    </row>
    <row r="78" spans="1:9" x14ac:dyDescent="0.2">
      <c r="A78" s="35"/>
      <c r="B78" s="35"/>
      <c r="C78" s="35"/>
      <c r="D78" s="35" t="s">
        <v>252</v>
      </c>
      <c r="E78" s="35"/>
      <c r="F78" s="36" t="s">
        <v>436</v>
      </c>
      <c r="G78" s="164"/>
      <c r="H78" s="164"/>
      <c r="I78" s="35"/>
    </row>
    <row r="79" spans="1:9" x14ac:dyDescent="0.2">
      <c r="A79" s="141" t="s">
        <v>253</v>
      </c>
      <c r="B79" s="141"/>
      <c r="C79" s="141"/>
      <c r="D79" s="141"/>
      <c r="E79" s="141"/>
      <c r="F79" s="141"/>
      <c r="G79" s="164"/>
      <c r="H79" s="164"/>
      <c r="I79" s="145"/>
    </row>
    <row r="80" spans="1:9" ht="21" x14ac:dyDescent="0.2">
      <c r="A80" s="62" t="s">
        <v>254</v>
      </c>
      <c r="B80" s="62"/>
      <c r="C80" s="62"/>
      <c r="D80" s="62"/>
      <c r="E80" s="62"/>
      <c r="F80" s="36" t="s">
        <v>435</v>
      </c>
      <c r="G80" s="76">
        <f>COUNTIF(F80, "Y")</f>
        <v>0</v>
      </c>
      <c r="H80" s="76">
        <f>COUNTA(F80)</f>
        <v>1</v>
      </c>
      <c r="I80" s="62"/>
    </row>
    <row r="81" spans="1:9" ht="21" x14ac:dyDescent="0.2">
      <c r="A81" s="65"/>
      <c r="B81" s="65" t="s">
        <v>255</v>
      </c>
      <c r="C81" s="65"/>
      <c r="D81" s="65"/>
      <c r="E81" s="65"/>
      <c r="F81" s="126" t="s">
        <v>435</v>
      </c>
      <c r="G81" s="161">
        <f>COUNTIF(F81:F84, "Y")</f>
        <v>0</v>
      </c>
      <c r="H81" s="161">
        <f>COUNTA(F81:F84)</f>
        <v>4</v>
      </c>
      <c r="I81" s="65"/>
    </row>
    <row r="82" spans="1:9" x14ac:dyDescent="0.2">
      <c r="A82" s="35"/>
      <c r="B82" s="35" t="s">
        <v>256</v>
      </c>
      <c r="C82" s="35"/>
      <c r="D82" s="35"/>
      <c r="E82" s="35"/>
      <c r="F82" s="126" t="s">
        <v>435</v>
      </c>
      <c r="G82" s="164"/>
      <c r="H82" s="163"/>
      <c r="I82" s="35"/>
    </row>
    <row r="83" spans="1:9" x14ac:dyDescent="0.2">
      <c r="A83" s="35"/>
      <c r="B83" s="35" t="s">
        <v>257</v>
      </c>
      <c r="C83" s="35"/>
      <c r="D83" s="35"/>
      <c r="E83" s="35"/>
      <c r="F83" s="126" t="s">
        <v>435</v>
      </c>
      <c r="G83" s="164"/>
      <c r="H83" s="164"/>
      <c r="I83" s="35"/>
    </row>
    <row r="84" spans="1:9" x14ac:dyDescent="0.2">
      <c r="A84" s="62"/>
      <c r="B84" s="62" t="s">
        <v>258</v>
      </c>
      <c r="C84" s="62"/>
      <c r="D84" s="62"/>
      <c r="E84" s="62"/>
      <c r="F84" s="126" t="s">
        <v>435</v>
      </c>
      <c r="G84" s="159"/>
      <c r="H84" s="159"/>
      <c r="I84" s="62"/>
    </row>
    <row r="85" spans="1:9" x14ac:dyDescent="0.2">
      <c r="A85" s="65"/>
      <c r="B85" s="65"/>
      <c r="C85" s="65" t="s">
        <v>259</v>
      </c>
      <c r="D85" s="65"/>
      <c r="E85" s="65"/>
      <c r="F85" s="126" t="s">
        <v>435</v>
      </c>
      <c r="G85" s="163">
        <f>COUNTIF(F85:F86, "Y")</f>
        <v>0</v>
      </c>
      <c r="H85" s="163">
        <f>COUNTA(F85:F86)</f>
        <v>2</v>
      </c>
      <c r="I85" s="65"/>
    </row>
    <row r="86" spans="1:9" x14ac:dyDescent="0.2">
      <c r="A86" s="35"/>
      <c r="B86" s="35"/>
      <c r="C86" s="35" t="s">
        <v>260</v>
      </c>
      <c r="D86" s="35"/>
      <c r="E86" s="35"/>
      <c r="F86" s="126" t="s">
        <v>435</v>
      </c>
      <c r="G86" s="164"/>
      <c r="H86" s="164"/>
      <c r="I86" s="35"/>
    </row>
    <row r="87" spans="1:9" x14ac:dyDescent="0.2">
      <c r="A87" s="151" t="s">
        <v>206</v>
      </c>
      <c r="B87" s="151"/>
      <c r="C87" s="151"/>
      <c r="D87" s="152"/>
      <c r="E87" s="151"/>
      <c r="F87" s="151"/>
      <c r="G87" s="175"/>
      <c r="H87" s="176"/>
      <c r="I87" s="151"/>
    </row>
    <row r="88" spans="1:9" x14ac:dyDescent="0.2">
      <c r="A88" s="60">
        <f>IFERROR(ROUND((SUM(G52,G80)/SUM(H52,H80)),2),0)</f>
        <v>0</v>
      </c>
      <c r="B88" s="60">
        <f>IFERROR(ROUND((SUM(G60,G81)/SUM(H60,H81)),2),0)</f>
        <v>0</v>
      </c>
      <c r="C88" s="60">
        <f>IFERROR(ROUND((SUM(G71,G85)/SUM(H71,H85)),2),0)</f>
        <v>0</v>
      </c>
      <c r="D88" s="60">
        <f>IFERROR(ROUND((SUM(G77)/SUM(H77)),2),0)</f>
        <v>0</v>
      </c>
      <c r="E88" s="60">
        <v>0</v>
      </c>
      <c r="F88" s="57"/>
      <c r="G88" s="95"/>
      <c r="H88" s="112"/>
      <c r="I88" s="57"/>
    </row>
    <row r="89" spans="1:9" x14ac:dyDescent="0.2">
      <c r="A89" s="151" t="s">
        <v>207</v>
      </c>
      <c r="B89" s="155"/>
      <c r="C89" s="155"/>
      <c r="D89" s="155"/>
      <c r="E89" s="155"/>
      <c r="F89" s="155"/>
      <c r="G89" s="173"/>
      <c r="H89" s="174"/>
      <c r="I89" s="155"/>
    </row>
    <row r="90" spans="1:9" x14ac:dyDescent="0.2">
      <c r="A90" s="86">
        <v>0.8</v>
      </c>
      <c r="B90" s="86">
        <v>0.8</v>
      </c>
      <c r="C90" s="86">
        <v>0.8</v>
      </c>
      <c r="D90" s="86">
        <v>0.8</v>
      </c>
      <c r="E90" s="86">
        <v>0.8</v>
      </c>
      <c r="F90" s="85"/>
      <c r="G90" s="95"/>
      <c r="H90" s="112"/>
      <c r="I90" s="85"/>
    </row>
    <row r="91" spans="1:9" x14ac:dyDescent="0.2">
      <c r="A91" s="87"/>
      <c r="B91" s="88"/>
      <c r="C91" s="88"/>
      <c r="D91" s="88"/>
      <c r="E91" s="89"/>
      <c r="F91" s="32" t="s">
        <v>44</v>
      </c>
      <c r="G91" s="113"/>
      <c r="H91" s="114"/>
      <c r="I91" s="91"/>
    </row>
    <row r="92" spans="1:9" x14ac:dyDescent="0.2">
      <c r="A92" s="92" t="e">
        <f ca="1">IF(GTE(A88,A90),"D1", "")</f>
        <v>#NAME?</v>
      </c>
      <c r="B92" s="92" t="e">
        <f ca="1">IF(AND(IF((A92=""), FALSE, TRUE), GTE(B88,B90)),"D2","" )</f>
        <v>#NAME?</v>
      </c>
      <c r="C92" s="92" t="e">
        <f ca="1">IF(AND(IF((B92=""), FALSE, TRUE), GTE(C88,C90)),"D3","")</f>
        <v>#NAME?</v>
      </c>
      <c r="D92" s="92" t="e">
        <f ca="1">IF(AND(IF((C92=""), FALSE, TRUE),GTE(D88,D90)),"D4", "")</f>
        <v>#NAME?</v>
      </c>
      <c r="E92" s="93" t="e">
        <f ca="1">IF(AND(IF((D92=""), FALSE, TRUE), GTE(E88,E90)),"D5", "")</f>
        <v>#NAME?</v>
      </c>
      <c r="F92" s="94" t="e">
        <f>IF(IF((A92=""), FALSE, TRUE),CHOOSE(COUNTA(A92:E92),'Assesment Rules'!B4,'Assesment Rules'!B5,'Assesment Rules'!B6,'Assesment Rules'!B7,'Assesment Rules'!B8), "None")</f>
        <v>#NAME?</v>
      </c>
      <c r="G92" s="95"/>
      <c r="H92" s="112"/>
      <c r="I92" s="57"/>
    </row>
    <row r="93" spans="1:9" ht="75" customHeight="1" x14ac:dyDescent="0.2">
      <c r="A93" s="115"/>
      <c r="B93" s="115"/>
      <c r="C93" s="115"/>
      <c r="D93" s="115"/>
      <c r="E93" s="118"/>
      <c r="F93" s="11"/>
      <c r="G93" s="95"/>
      <c r="H93" s="112"/>
      <c r="I93" s="57"/>
    </row>
    <row r="94" spans="1:9" ht="15" x14ac:dyDescent="0.2">
      <c r="A94" s="177" t="s">
        <v>261</v>
      </c>
      <c r="B94" s="178"/>
      <c r="C94" s="178"/>
      <c r="D94" s="178"/>
      <c r="E94" s="178"/>
      <c r="F94" s="178"/>
      <c r="G94" s="179"/>
      <c r="H94" s="179"/>
      <c r="I94" s="180"/>
    </row>
    <row r="95" spans="1:9" s="9" customFormat="1" x14ac:dyDescent="0.2">
      <c r="A95" s="141" t="s">
        <v>262</v>
      </c>
      <c r="B95" s="141"/>
      <c r="C95" s="141"/>
      <c r="D95" s="141"/>
      <c r="E95" s="141"/>
      <c r="F95" s="141"/>
      <c r="G95" s="164"/>
      <c r="H95" s="164"/>
      <c r="I95" s="145"/>
    </row>
    <row r="96" spans="1:9" x14ac:dyDescent="0.2">
      <c r="A96" s="35" t="str">
        <f>HYPERLINK("http://msdn.microsoft.com/en-us/library/86faxx0d(VS.80).aspx", "Form lifecycle")</f>
        <v>Form lifecycle</v>
      </c>
      <c r="B96" s="35"/>
      <c r="C96" s="35"/>
      <c r="D96" s="35"/>
      <c r="E96" s="35"/>
      <c r="F96" s="36"/>
      <c r="G96" s="159">
        <f>COUNTIF(F96:F102, "Y")</f>
        <v>0</v>
      </c>
      <c r="H96" s="159">
        <f>COUNTA(F96:F102)</f>
        <v>0</v>
      </c>
      <c r="I96" s="35"/>
    </row>
    <row r="97" spans="1:9" ht="21" x14ac:dyDescent="0.2">
      <c r="A97" s="35" t="str">
        <f>HYPERLINK("http://msdn.microsoft.com/en-us/library/ms228348(v=vs.90).aspx", "Create and configure text display controls on a Windows Form")</f>
        <v>Create and configure text display controls on a Windows Form</v>
      </c>
      <c r="B97" s="35"/>
      <c r="C97" s="35"/>
      <c r="D97" s="35"/>
      <c r="E97" s="35"/>
      <c r="F97" s="36"/>
      <c r="G97" s="164"/>
      <c r="H97" s="163"/>
      <c r="I97" s="35"/>
    </row>
    <row r="98" spans="1:9" ht="21" x14ac:dyDescent="0.2">
      <c r="A98" s="35" t="str">
        <f>HYPERLINK("http://msdn.microsoft.com/en-us/library/windows/desktop/ms677502(v=vs.85).aspx","Perform database operations by using a Command object")</f>
        <v>Perform database operations by using a Command object</v>
      </c>
      <c r="B98" s="35"/>
      <c r="C98" s="35"/>
      <c r="D98" s="35"/>
      <c r="E98" s="35"/>
      <c r="F98" s="36"/>
      <c r="G98" s="164"/>
      <c r="H98" s="164"/>
      <c r="I98" s="35"/>
    </row>
    <row r="99" spans="1:9" ht="21" x14ac:dyDescent="0.2">
      <c r="A99" s="35" t="str">
        <f>HYPERLINK("http://msdn.microsoft.com/en-us/library/haa3afyz(v=vs.71).aspx", "Retrieve data by using a DataReader object")</f>
        <v>Retrieve data by using a DataReader object</v>
      </c>
      <c r="B99" s="35"/>
      <c r="C99" s="35"/>
      <c r="D99" s="35"/>
      <c r="E99" s="35"/>
      <c r="F99" s="36"/>
      <c r="G99" s="164"/>
      <c r="H99" s="164"/>
      <c r="I99" s="35"/>
    </row>
    <row r="100" spans="1:9" x14ac:dyDescent="0.2">
      <c r="A100" s="35" t="str">
        <f>HYPERLINK("http://msdn.microsoft.com/en-us/library/fksx3b4f.aspx","Build SQL commands in code")</f>
        <v>Build SQL commands in code</v>
      </c>
      <c r="B100" s="35"/>
      <c r="C100" s="35"/>
      <c r="D100" s="35"/>
      <c r="E100" s="35"/>
      <c r="F100" s="36"/>
      <c r="G100" s="164"/>
      <c r="H100" s="164"/>
      <c r="I100" s="35"/>
    </row>
    <row r="101" spans="1:9" x14ac:dyDescent="0.2">
      <c r="A101" s="35" t="str">
        <f>HYPERLINK("http://msdn.microsoft.com/en-us/library/azsy1tw2.aspx","Read XML data into the DOM")</f>
        <v>Read XML data into the DOM</v>
      </c>
      <c r="B101" s="35"/>
      <c r="C101" s="35"/>
      <c r="D101" s="35"/>
      <c r="E101" s="35"/>
      <c r="F101" s="36"/>
      <c r="G101" s="164"/>
      <c r="H101" s="164"/>
      <c r="I101" s="35"/>
    </row>
    <row r="102" spans="1:9" ht="21" x14ac:dyDescent="0.2">
      <c r="A102" s="62" t="str">
        <f>HYPERLINK("http://msdn.microsoft.com/en-us/library/1w7dc16f.aspx","Modify nodes within an XML document")</f>
        <v>Modify nodes within an XML document</v>
      </c>
      <c r="B102" s="62"/>
      <c r="C102" s="62"/>
      <c r="D102" s="62"/>
      <c r="E102" s="62"/>
      <c r="F102" s="36"/>
      <c r="G102" s="159"/>
      <c r="H102" s="159"/>
      <c r="I102" s="62"/>
    </row>
    <row r="103" spans="1:9" s="9" customFormat="1" x14ac:dyDescent="0.2">
      <c r="A103" s="65"/>
      <c r="B103" s="65" t="str">
        <f>HYPERLINK("http://msdn.microsoft.com/en-us/library/aa741313(v=vs.85).aspx","Configure a WebBrowser control")</f>
        <v>Configure a WebBrowser control</v>
      </c>
      <c r="C103" s="65"/>
      <c r="D103" s="65"/>
      <c r="E103" s="65"/>
      <c r="F103" s="36"/>
      <c r="G103" s="161">
        <f>COUNTIF(F103:F108, "Y")</f>
        <v>0</v>
      </c>
      <c r="H103" s="161">
        <f>COUNTA(F103:F108)</f>
        <v>0</v>
      </c>
      <c r="I103" s="65"/>
    </row>
    <row r="104" spans="1:9" s="9" customFormat="1" ht="31.5" x14ac:dyDescent="0.2">
      <c r="A104" s="35"/>
      <c r="B104" s="35" t="str">
        <f>HYPERLINK("http://msdn.microsoft.com/en-us/library/aa983670(v=vs.71).aspx","Manage mouse and keyboard events within Windows Forms applications")</f>
        <v>Manage mouse and keyboard events within Windows Forms applications</v>
      </c>
      <c r="C104" s="35"/>
      <c r="D104" s="35"/>
      <c r="E104" s="35"/>
      <c r="F104" s="36"/>
      <c r="G104" s="164"/>
      <c r="H104" s="163"/>
      <c r="I104" s="35"/>
    </row>
    <row r="105" spans="1:9" s="9" customFormat="1" ht="21" x14ac:dyDescent="0.2">
      <c r="A105" s="35"/>
      <c r="B105" s="35" t="str">
        <f>HYPERLINK("http://msdn.microsoft.com/en-us/library/ms951306.aspx","Manage control layout on a Windows Form")</f>
        <v>Manage control layout on a Windows Form</v>
      </c>
      <c r="C105" s="35"/>
      <c r="D105" s="35"/>
      <c r="E105" s="35"/>
      <c r="F105" s="36"/>
      <c r="G105" s="164"/>
      <c r="H105" s="164"/>
      <c r="I105" s="35"/>
    </row>
    <row r="106" spans="1:9" s="9" customFormat="1" ht="21" x14ac:dyDescent="0.2">
      <c r="A106" s="35"/>
      <c r="B106" s="35" t="str">
        <f>HYPERLINK("http://msdn.microsoft.com/en-us/library/ff648648.aspx","Protect access to data source connection details")</f>
        <v>Protect access to data source connection details</v>
      </c>
      <c r="C106" s="35"/>
      <c r="D106" s="35"/>
      <c r="E106" s="35"/>
      <c r="F106" s="36"/>
      <c r="G106" s="164"/>
      <c r="H106" s="164"/>
      <c r="I106" s="35"/>
    </row>
    <row r="107" spans="1:9" s="9" customFormat="1" x14ac:dyDescent="0.2">
      <c r="A107" s="35"/>
      <c r="B107" s="35" t="str">
        <f>HYPERLINK("http://msdn.microsoft.com/en-us/library/ms130809.aspx","Perform bulk copy operations")</f>
        <v>Perform bulk copy operations</v>
      </c>
      <c r="C107" s="35"/>
      <c r="D107" s="35"/>
      <c r="E107" s="35"/>
      <c r="F107" s="36"/>
      <c r="G107" s="164"/>
      <c r="H107" s="164"/>
      <c r="I107" s="35"/>
    </row>
    <row r="108" spans="1:9" s="9" customFormat="1" ht="31.5" x14ac:dyDescent="0.2">
      <c r="A108" s="62"/>
      <c r="B108" s="62" t="str">
        <f>HYPERLINK("http://msdn.microsoft.com/en-us/library/cc221403(v=vs.95).aspx","Manage a background process by using the BackgroundWorker component")</f>
        <v>Manage a background process by using the BackgroundWorker component</v>
      </c>
      <c r="C108" s="62"/>
      <c r="D108" s="62"/>
      <c r="E108" s="62"/>
      <c r="F108" s="36"/>
      <c r="G108" s="159"/>
      <c r="H108" s="159"/>
      <c r="I108" s="62"/>
    </row>
    <row r="109" spans="1:9" s="9" customFormat="1" ht="31.5" x14ac:dyDescent="0.2">
      <c r="A109" s="65"/>
      <c r="B109" s="65"/>
      <c r="C109" s="65" t="str">
        <f>HYPERLINK("http://msdn.microsoft.com/en-us/library/ef2xyb33.aspx","Implement complex data binding to integrate data from multiple sources")</f>
        <v>Implement complex data binding to integrate data from multiple sources</v>
      </c>
      <c r="D109" s="65"/>
      <c r="E109" s="65"/>
      <c r="F109" s="36"/>
      <c r="G109" s="161">
        <f>COUNTIF(F109:F114, "Y")</f>
        <v>0</v>
      </c>
      <c r="H109" s="161">
        <f>COUNTA(F109:F114)</f>
        <v>0</v>
      </c>
      <c r="I109" s="65"/>
    </row>
    <row r="110" spans="1:9" s="9" customFormat="1" ht="21" x14ac:dyDescent="0.2">
      <c r="A110" s="35"/>
      <c r="B110" s="35"/>
      <c r="C110" s="35" t="str">
        <f>HYPERLINK("http://msdn.microsoft.com/en-us/library/az5a73z1.aspx","Access keys for Windows Forms controls")</f>
        <v>Access keys for Windows Forms controls</v>
      </c>
      <c r="D110" s="35"/>
      <c r="E110" s="35"/>
      <c r="F110" s="36"/>
      <c r="G110" s="164"/>
      <c r="H110" s="163"/>
      <c r="I110" s="35"/>
    </row>
    <row r="111" spans="1:9" s="9" customFormat="1" ht="31.5" x14ac:dyDescent="0.2">
      <c r="A111" s="35"/>
      <c r="B111" s="35"/>
      <c r="C111" s="35" t="str">
        <f>HYPERLINK("http://msdn.microsoft.com/en-us/library/edzehd2t.aspx", "Create event handlers at run time to respond to system or user events dynamically")</f>
        <v>Create event handlers at run time to respond to system or user events dynamically</v>
      </c>
      <c r="D111" s="35"/>
      <c r="E111" s="35"/>
      <c r="F111" s="36"/>
      <c r="G111" s="164"/>
      <c r="H111" s="164"/>
      <c r="I111" s="35"/>
    </row>
    <row r="112" spans="1:9" s="9" customFormat="1" ht="31.5" x14ac:dyDescent="0.2">
      <c r="A112" s="35"/>
      <c r="B112" s="35"/>
      <c r="C112" s="35" t="str">
        <f>HYPERLINK("http://msdn.microsoft.com/en-us/library/ms254502(v=vs.80).aspx","Control a connection pool by configuring ConnectionString values based on database type")</f>
        <v>Control a connection pool by configuring ConnectionString values based on database type</v>
      </c>
      <c r="D112" s="35"/>
      <c r="E112" s="35"/>
      <c r="F112" s="36"/>
      <c r="G112" s="164"/>
      <c r="H112" s="164"/>
      <c r="I112" s="35"/>
    </row>
    <row r="113" spans="1:9" s="9" customFormat="1" ht="31.5" x14ac:dyDescent="0.2">
      <c r="A113" s="35"/>
      <c r="B113" s="35"/>
      <c r="C113" s="35" t="str">
        <f>HYPERLINK("http://msdn.microsoft.com/en-us/library/ms131277(v=sql.105).aspx", "Store and retrieve binary large object (BLOB) data types in a database")</f>
        <v>Store and retrieve binary large object (BLOB) data types in a database</v>
      </c>
      <c r="D113" s="35"/>
      <c r="E113" s="35"/>
      <c r="F113" s="36"/>
      <c r="G113" s="164"/>
      <c r="H113" s="164"/>
      <c r="I113" s="35"/>
    </row>
    <row r="114" spans="1:9" s="9" customFormat="1" x14ac:dyDescent="0.2">
      <c r="A114" s="62"/>
      <c r="B114" s="62"/>
      <c r="C114" s="62" t="str">
        <f>HYPERLINK("http://msdn.microsoft.com/en-us/library/ms256048.aspx","Modify the XML declaration")</f>
        <v>Modify the XML declaration</v>
      </c>
      <c r="D114" s="62"/>
      <c r="E114" s="62"/>
      <c r="F114" s="36"/>
      <c r="G114" s="159"/>
      <c r="H114" s="159"/>
      <c r="I114" s="62"/>
    </row>
    <row r="115" spans="1:9" s="9" customFormat="1" ht="31.5" x14ac:dyDescent="0.2">
      <c r="A115" s="65"/>
      <c r="B115" s="65"/>
      <c r="C115" s="65"/>
      <c r="D115" s="65" t="str">
        <f>HYPERLINK("http://msdn.microsoft.com/en-us/library/y99d1cd3(v=vs.80).aspx", "Implement globalization and localization for a Windows Forms application")</f>
        <v>Implement globalization and localization for a Windows Forms application</v>
      </c>
      <c r="E115" s="65"/>
      <c r="F115" s="36"/>
      <c r="G115" s="163">
        <f>COUNTIF(F115:F118, "Y")</f>
        <v>0</v>
      </c>
      <c r="H115" s="163">
        <f>COUNTA(F115:F118)</f>
        <v>0</v>
      </c>
      <c r="I115" s="65"/>
    </row>
    <row r="116" spans="1:9" s="9" customFormat="1" ht="21" x14ac:dyDescent="0.2">
      <c r="A116" s="35"/>
      <c r="B116" s="35"/>
      <c r="C116" s="35"/>
      <c r="D116" s="35" t="str">
        <f>HYPERLINK("http://msdn.microsoft.com/en-us/library/aa984454(v=vs.71).aspx", "Implement accessibility features within a Windows Forms application")</f>
        <v>Implement accessibility features within a Windows Forms application</v>
      </c>
      <c r="E116" s="35"/>
      <c r="F116" s="36"/>
      <c r="G116" s="164"/>
      <c r="H116" s="164"/>
      <c r="I116" s="35"/>
    </row>
    <row r="117" spans="1:9" s="9" customFormat="1" ht="21" x14ac:dyDescent="0.2">
      <c r="A117" s="35"/>
      <c r="B117" s="35"/>
      <c r="C117" s="35"/>
      <c r="D117" s="35" t="str">
        <f>HYPERLINK("http://msdn.microsoft.com/en-us/library/d4dabts7(v=vs.80).aspx", "Create and configure multiple-document interface (MDI) forms")</f>
        <v>Create and configure multiple-document interface (MDI) forms</v>
      </c>
      <c r="E117" s="35"/>
      <c r="F117" s="36"/>
      <c r="G117" s="164"/>
      <c r="H117" s="164"/>
      <c r="I117" s="35"/>
    </row>
    <row r="118" spans="1:9" s="9" customFormat="1" ht="31.5" x14ac:dyDescent="0.2">
      <c r="A118" s="35"/>
      <c r="B118" s="35"/>
      <c r="C118" s="35"/>
      <c r="D118" s="35" t="str">
        <f>HYPERLINK("http://msdn.microsoft.com/en-us/library/t71a733d(v=vs.80).aspx","Configure the installation of a Windows Forms application by using ClickOnce technology")</f>
        <v>Configure the installation of a Windows Forms application by using ClickOnce technology</v>
      </c>
      <c r="E118" s="35"/>
      <c r="F118" s="36"/>
      <c r="G118" s="164"/>
      <c r="H118" s="164"/>
      <c r="I118" s="35"/>
    </row>
    <row r="119" spans="1:9" x14ac:dyDescent="0.2">
      <c r="A119" s="141" t="s">
        <v>263</v>
      </c>
      <c r="B119" s="141"/>
      <c r="C119" s="141"/>
      <c r="D119" s="141"/>
      <c r="E119" s="141"/>
      <c r="F119" s="141"/>
      <c r="G119" s="164"/>
      <c r="H119" s="164"/>
      <c r="I119" s="145"/>
    </row>
    <row r="120" spans="1:9" x14ac:dyDescent="0.2">
      <c r="A120" s="35" t="str">
        <f>HYPERLINK("http://msdn.microsoft.com/en-us/library/ms752914.aspx","Dependency property")</f>
        <v>Dependency property</v>
      </c>
      <c r="B120" s="35"/>
      <c r="C120" s="35"/>
      <c r="D120" s="35"/>
      <c r="E120" s="35"/>
      <c r="F120" s="36"/>
      <c r="G120" s="159">
        <f>COUNTIF(F120:F128, "Y")</f>
        <v>0</v>
      </c>
      <c r="H120" s="159">
        <f>COUNTA(F120:F128)</f>
        <v>0</v>
      </c>
      <c r="I120" s="35"/>
    </row>
    <row r="121" spans="1:9" ht="21" x14ac:dyDescent="0.2">
      <c r="A121" s="35" t="str">
        <f>HYPERLINK("http://msdn.microsoft.com/en-us/library/ms745683.aspx","Create and apply styles and theming")</f>
        <v>Create and apply styles and theming</v>
      </c>
      <c r="B121" s="35"/>
      <c r="C121" s="35"/>
      <c r="D121" s="35"/>
      <c r="E121" s="35"/>
      <c r="F121" s="36"/>
      <c r="G121" s="164"/>
      <c r="H121" s="163"/>
      <c r="I121" s="35"/>
    </row>
    <row r="122" spans="1:9" x14ac:dyDescent="0.2">
      <c r="A122" s="35" t="str">
        <f>HYPERLINK("http://msdn.microsoft.com/en-us/library/ms742521.aspx","Create a data template")</f>
        <v>Create a data template</v>
      </c>
      <c r="B122" s="35"/>
      <c r="C122" s="35"/>
      <c r="D122" s="35"/>
      <c r="E122" s="35"/>
      <c r="F122" s="36"/>
      <c r="G122" s="164"/>
      <c r="H122" s="164"/>
      <c r="I122" s="35"/>
    </row>
    <row r="123" spans="1:9" ht="21" x14ac:dyDescent="0.2">
      <c r="A123" s="35" t="str">
        <f>HYPERLINK("http://msdn.microsoft.com/en-us/library/ms742806.aspx","Bubble and tunnel routing strategies")</f>
        <v>Bubble and tunnel routing strategies</v>
      </c>
      <c r="B123" s="35"/>
      <c r="C123" s="35"/>
      <c r="D123" s="35"/>
      <c r="E123" s="35"/>
      <c r="F123" s="36"/>
      <c r="G123" s="164"/>
      <c r="H123" s="164"/>
      <c r="I123" s="35"/>
    </row>
    <row r="124" spans="1:9" x14ac:dyDescent="0.2">
      <c r="A124" s="35" t="str">
        <f>HYPERLINK("http://wpftutorial.net/LogicalAndVisualTree.html","Visual vs Logical tree")</f>
        <v>Visual vs Logical tree</v>
      </c>
      <c r="B124" s="35"/>
      <c r="C124" s="35"/>
      <c r="D124" s="35"/>
      <c r="E124" s="35"/>
      <c r="F124" s="36"/>
      <c r="G124" s="164"/>
      <c r="H124" s="164"/>
      <c r="I124" s="35"/>
    </row>
    <row r="125" spans="1:9" x14ac:dyDescent="0.2">
      <c r="A125" s="35" t="str">
        <f>HYPERLINK("http://msdn.microsoft.com/en-us/library/ms752347.aspx", "Implement data binding")</f>
        <v>Implement data binding</v>
      </c>
      <c r="B125" s="35"/>
      <c r="C125" s="35"/>
      <c r="D125" s="35"/>
      <c r="E125" s="35"/>
      <c r="F125" s="36"/>
      <c r="G125" s="164"/>
      <c r="H125" s="164"/>
      <c r="I125" s="35"/>
    </row>
    <row r="126" spans="1:9" ht="21" x14ac:dyDescent="0.2">
      <c r="A126" s="35" t="str">
        <f>HYPERLINK("http://msdn.microsoft.com/en-us/library/ms668604.aspx", "INotifyPropertyChanged &amp; Observable collections")</f>
        <v>INotifyPropertyChanged &amp; Observable collections</v>
      </c>
      <c r="B126" s="35"/>
      <c r="C126" s="35"/>
      <c r="D126" s="35"/>
      <c r="E126" s="35"/>
      <c r="F126" s="36"/>
      <c r="G126" s="164"/>
      <c r="H126" s="164"/>
      <c r="I126" s="35"/>
    </row>
    <row r="127" spans="1:9" x14ac:dyDescent="0.2">
      <c r="A127" s="35" t="str">
        <f>HYPERLINK("http://msdn.microsoft.com/en-us/library/ms752059.aspx", "XAML")</f>
        <v>XAML</v>
      </c>
      <c r="B127" s="35"/>
      <c r="C127" s="35"/>
      <c r="D127" s="82"/>
      <c r="E127" s="35"/>
      <c r="F127" s="36"/>
      <c r="G127" s="164"/>
      <c r="H127" s="164"/>
      <c r="I127" s="35"/>
    </row>
    <row r="128" spans="1:9" x14ac:dyDescent="0.2">
      <c r="A128" s="62" t="str">
        <f>HYPERLINK("http://msdn.microsoft.com/en-us/library/cc294992.aspx", "UserControls")</f>
        <v>UserControls</v>
      </c>
      <c r="B128" s="80"/>
      <c r="C128" s="62"/>
      <c r="D128" s="62"/>
      <c r="E128" s="62"/>
      <c r="F128" s="36"/>
      <c r="G128" s="159"/>
      <c r="H128" s="159"/>
      <c r="I128" s="62"/>
    </row>
    <row r="129" spans="1:9" x14ac:dyDescent="0.2">
      <c r="A129" s="65"/>
      <c r="B129" s="65" t="str">
        <f>HYPERLINK("http://msdn.microsoft.com/en-us/magazine/cc785480.aspx","Routed Events &amp; Commands")</f>
        <v>Routed Events &amp; Commands</v>
      </c>
      <c r="C129" s="65"/>
      <c r="D129" s="65"/>
      <c r="E129" s="65"/>
      <c r="F129" s="36"/>
      <c r="G129" s="161">
        <f>COUNTIF(F129:F136, "Y")</f>
        <v>0</v>
      </c>
      <c r="H129" s="161">
        <f>COUNTA(F129:F136)</f>
        <v>0</v>
      </c>
      <c r="I129" s="65"/>
    </row>
    <row r="130" spans="1:9" x14ac:dyDescent="0.2">
      <c r="A130" s="82"/>
      <c r="B130" s="35" t="str">
        <f>HYPERLINK("http://msdn.microsoft.com/en-us/library/cc295312.aspx","Value Converters")</f>
        <v>Value Converters</v>
      </c>
      <c r="C130" s="35"/>
      <c r="D130" s="35"/>
      <c r="E130" s="35"/>
      <c r="F130" s="36"/>
      <c r="G130" s="164"/>
      <c r="H130" s="163"/>
      <c r="I130" s="35"/>
    </row>
    <row r="131" spans="1:9" x14ac:dyDescent="0.2">
      <c r="A131" s="35"/>
      <c r="B131" s="35" t="s">
        <v>264</v>
      </c>
      <c r="C131" s="35"/>
      <c r="D131" s="35"/>
      <c r="E131" s="35"/>
      <c r="F131" s="36"/>
      <c r="G131" s="164"/>
      <c r="H131" s="164"/>
      <c r="I131" s="35"/>
    </row>
    <row r="132" spans="1:9" x14ac:dyDescent="0.2">
      <c r="A132" s="35"/>
      <c r="B132" s="35" t="str">
        <f>HYPERLINK("http://msdn.microsoft.com/en-us/library/cc295235.aspx","Custom controls")</f>
        <v>Custom controls</v>
      </c>
      <c r="C132" s="35"/>
      <c r="D132" s="35"/>
      <c r="E132" s="35"/>
      <c r="F132" s="36"/>
      <c r="G132" s="164"/>
      <c r="H132" s="164"/>
      <c r="I132" s="35"/>
    </row>
    <row r="133" spans="1:9" ht="21" x14ac:dyDescent="0.2">
      <c r="A133" s="35"/>
      <c r="B133" s="35" t="str">
        <f>HYPERLINK("http://www.codeproject.com/Articles/19112/Dynamic-User-Interfaces-in-WPF","Modify the visual interface at run time")</f>
        <v>Modify the visual interface at run time</v>
      </c>
      <c r="C133" s="35"/>
      <c r="D133" s="35"/>
      <c r="E133" s="35"/>
      <c r="F133" s="36"/>
      <c r="G133" s="164"/>
      <c r="H133" s="164"/>
      <c r="I133" s="35"/>
    </row>
    <row r="134" spans="1:9" x14ac:dyDescent="0.2">
      <c r="A134" s="35"/>
      <c r="B134" s="35" t="str">
        <f>HYPERLINK("http://msdn.microsoft.com/en-us/library/ms752312.aspx","Animations &amp; storybording")</f>
        <v>Animations &amp; storybording</v>
      </c>
      <c r="C134" s="35"/>
      <c r="D134" s="35"/>
      <c r="E134" s="35"/>
      <c r="F134" s="36"/>
      <c r="G134" s="164"/>
      <c r="H134" s="164"/>
      <c r="I134" s="35"/>
    </row>
    <row r="135" spans="1:9" ht="21" x14ac:dyDescent="0.2">
      <c r="A135" s="35"/>
      <c r="B135" s="35" t="str">
        <f>HYPERLINK("http://msdn.microsoft.com/en-us/library/ms748388.aspx","Types of documents supported by WPF")</f>
        <v>Types of documents supported by WPF</v>
      </c>
      <c r="C135" s="35"/>
      <c r="D135" s="35"/>
      <c r="E135" s="35"/>
      <c r="F135" s="36"/>
      <c r="G135" s="164"/>
      <c r="H135" s="164"/>
      <c r="I135" s="35"/>
    </row>
    <row r="136" spans="1:9" ht="21" x14ac:dyDescent="0.2">
      <c r="A136" s="62"/>
      <c r="B136" s="62" t="str">
        <f>HYPERLINK("http://msdn.microsoft.com/en-us/library/system.windows.hierarchicaldatatemplate.aspx", "DataTemplate vs HierarchicalDataTemplate")</f>
        <v>DataTemplate vs HierarchicalDataTemplate</v>
      </c>
      <c r="C136" s="62"/>
      <c r="D136" s="62"/>
      <c r="E136" s="62"/>
      <c r="F136" s="36"/>
      <c r="G136" s="159"/>
      <c r="H136" s="159"/>
      <c r="I136" s="62"/>
    </row>
    <row r="137" spans="1:9" x14ac:dyDescent="0.2">
      <c r="A137" s="65"/>
      <c r="B137" s="65"/>
      <c r="C137" s="65" t="str">
        <f>HYPERLINK("http://msdn.microsoft.com/en-us/library/ms742474.aspx","Interoperability (WPF+WinForms)")</f>
        <v>Interoperability (WPF+WinForms)</v>
      </c>
      <c r="D137" s="65"/>
      <c r="E137" s="65"/>
      <c r="F137" s="36"/>
      <c r="G137" s="161">
        <f>COUNTIF(F137:F146, "Y")</f>
        <v>0</v>
      </c>
      <c r="H137" s="161">
        <f>COUNTA(F137:F146)</f>
        <v>0</v>
      </c>
      <c r="I137" s="65"/>
    </row>
    <row r="138" spans="1:9" x14ac:dyDescent="0.2">
      <c r="A138" s="35"/>
      <c r="B138" s="35"/>
      <c r="C138" s="35" t="str">
        <f>HYPERLINK("http://channel9.msdn.com/Blogs/AdamKinney/Cider-Beta-2--Styling-a-WPF-application-with-Blend-and-Cider","Blend/Cider")</f>
        <v>Blend/Cider</v>
      </c>
      <c r="D138" s="35"/>
      <c r="E138" s="35"/>
      <c r="F138" s="36"/>
      <c r="G138" s="164"/>
      <c r="H138" s="163"/>
      <c r="I138" s="35"/>
    </row>
    <row r="139" spans="1:9" x14ac:dyDescent="0.2">
      <c r="A139" s="35"/>
      <c r="B139" s="35"/>
      <c r="C139" s="35" t="str">
        <f>HYPERLINK("http://msdn.microsoft.com/en-us/library/142dbbz4(v=vs.80).aspx","ClickOnce deployment")</f>
        <v>ClickOnce deployment</v>
      </c>
      <c r="D139" s="35"/>
      <c r="E139" s="35"/>
      <c r="F139" s="36"/>
      <c r="G139" s="164"/>
      <c r="H139" s="164"/>
      <c r="I139" s="35"/>
    </row>
    <row r="140" spans="1:9" x14ac:dyDescent="0.2">
      <c r="A140" s="35"/>
      <c r="B140" s="35"/>
      <c r="C140" s="35" t="str">
        <f>HYPERLINK("http://msdn.microsoft.com/en-us/library/ms745683.aspx","Skinning/Themeing")</f>
        <v>Skinning/Themeing</v>
      </c>
      <c r="D140" s="35"/>
      <c r="E140" s="35"/>
      <c r="F140" s="36"/>
      <c r="G140" s="164"/>
      <c r="H140" s="164"/>
      <c r="I140" s="35"/>
    </row>
    <row r="141" spans="1:9" x14ac:dyDescent="0.2">
      <c r="A141" s="35"/>
      <c r="B141" s="35"/>
      <c r="C141" s="35" t="str">
        <f>HYPERLINK("http://stackoverflow.com/questions/3723893/itemscontrol-itemspanel-and-itemspresenter-silverlight-xaml","ItemsControl vs ItemsPresenter")</f>
        <v>ItemsControl vs ItemsPresenter</v>
      </c>
      <c r="D141" s="35"/>
      <c r="E141" s="35"/>
      <c r="F141" s="36"/>
      <c r="G141" s="164"/>
      <c r="H141" s="164"/>
      <c r="I141" s="35"/>
    </row>
    <row r="142" spans="1:9" ht="21" x14ac:dyDescent="0.2">
      <c r="A142" s="35"/>
      <c r="B142" s="35"/>
      <c r="C142" s="35" t="str">
        <f>HYPERLINK("http://charly-studio.com/blog/contentcontrol-vs-contentpresenter/","ContentControl vs ContentPresenter")</f>
        <v>ContentControl vs ContentPresenter</v>
      </c>
      <c r="D142" s="35"/>
      <c r="E142" s="35"/>
      <c r="F142" s="36"/>
      <c r="G142" s="164"/>
      <c r="H142" s="164"/>
      <c r="I142" s="35"/>
    </row>
    <row r="143" spans="1:9" x14ac:dyDescent="0.2">
      <c r="A143" s="35"/>
      <c r="B143" s="35"/>
      <c r="C143" s="35" t="str">
        <f>HYPERLINK("http://wpftutorial.net/Behaviors.html","Attached behavior")</f>
        <v>Attached behavior</v>
      </c>
      <c r="D143" s="35"/>
      <c r="E143" s="35"/>
      <c r="F143" s="36"/>
      <c r="G143" s="164"/>
      <c r="H143" s="164"/>
      <c r="I143" s="35"/>
    </row>
    <row r="144" spans="1:9" ht="21" x14ac:dyDescent="0.2">
      <c r="A144" s="35"/>
      <c r="B144" s="35"/>
      <c r="C144" s="35" t="str">
        <f>HYPERLINK("http://msdn.microsoft.com/en-us/library/ms788718.aspx","Incorporate globalization and localization features")</f>
        <v>Incorporate globalization and localization features</v>
      </c>
      <c r="D144" s="35"/>
      <c r="E144" s="35"/>
      <c r="F144" s="36"/>
      <c r="G144" s="164"/>
      <c r="H144" s="164"/>
      <c r="I144" s="35"/>
    </row>
    <row r="145" spans="1:9" ht="21" x14ac:dyDescent="0.2">
      <c r="A145" s="35"/>
      <c r="B145" s="35"/>
      <c r="C145" s="35" t="str">
        <f>HYPERLINK("http://geekswithblogs.net/mbcrump/archive/2010/06/17/configuring-applicationuser-settings-in-wpf-the-easy-way.aspx","Manage user and application settings")</f>
        <v>Manage user and application settings</v>
      </c>
      <c r="D145" s="35"/>
      <c r="E145" s="35"/>
      <c r="F145" s="36"/>
      <c r="G145" s="164"/>
      <c r="H145" s="164"/>
      <c r="I145" s="35"/>
    </row>
    <row r="146" spans="1:9" ht="21" x14ac:dyDescent="0.2">
      <c r="A146" s="62"/>
      <c r="B146" s="62"/>
      <c r="C146" s="62" t="str">
        <f>HYPERLINK("http://msdn.microsoft.com/en-us/library/aa970915.aspx","Add multimedia content to an application in WPF")</f>
        <v>Add multimedia content to an application in WPF</v>
      </c>
      <c r="D146" s="62"/>
      <c r="E146" s="62"/>
      <c r="F146" s="36"/>
      <c r="G146" s="159"/>
      <c r="H146" s="159"/>
      <c r="I146" s="62"/>
    </row>
    <row r="147" spans="1:9" x14ac:dyDescent="0.2">
      <c r="A147" s="65"/>
      <c r="B147" s="65"/>
      <c r="C147" s="65"/>
      <c r="D147" s="65" t="str">
        <f>HYPERLINK("http://worldlifesite.hubpages.com/hub/prism_cal","What is Prism,CAL &amp; CAG")</f>
        <v>What is Prism,CAL &amp; CAG</v>
      </c>
      <c r="E147" s="65"/>
      <c r="F147" s="36"/>
      <c r="G147" s="163">
        <f>COUNTIF(F147:F154, "Y")</f>
        <v>0</v>
      </c>
      <c r="H147" s="163">
        <f>COUNTA(F147:F154)</f>
        <v>0</v>
      </c>
      <c r="I147" s="65"/>
    </row>
    <row r="148" spans="1:9" x14ac:dyDescent="0.2">
      <c r="A148" s="35"/>
      <c r="B148" s="35"/>
      <c r="C148" s="35"/>
      <c r="D148" s="35" t="str">
        <f>HYPERLINK("http://msdn.microsoft.com/en-us/library/ms747437.aspx","WPF 3D")</f>
        <v>WPF 3D</v>
      </c>
      <c r="E148" s="35"/>
      <c r="F148" s="36"/>
      <c r="G148" s="164"/>
      <c r="H148" s="164"/>
      <c r="I148" s="35"/>
    </row>
    <row r="149" spans="1:9" ht="21" x14ac:dyDescent="0.2">
      <c r="A149" s="35"/>
      <c r="B149" s="35"/>
      <c r="C149" s="35"/>
      <c r="D149" s="35" t="str">
        <f>HYPERLINK("http://msdn.microsoft.com/en-us/library/cc903925(v=vs.95).aspx", "Differences between Silverlight &amp; WPF")</f>
        <v>Differences between Silverlight &amp; WPF</v>
      </c>
      <c r="E149" s="35"/>
      <c r="F149" s="36"/>
      <c r="G149" s="164"/>
      <c r="H149" s="164"/>
      <c r="I149" s="35"/>
    </row>
    <row r="150" spans="1:9" ht="21" x14ac:dyDescent="0.2">
      <c r="A150" s="35"/>
      <c r="B150" s="35"/>
      <c r="C150" s="35"/>
      <c r="D150" s="35" t="str">
        <f>HYPERLINK("http://msdn.microsoft.com/en-us/library/system.diagnostics.presentationtracesources.aspx","Debug WPF issues by using PresentationTraceSources")</f>
        <v>Debug WPF issues by using PresentationTraceSources</v>
      </c>
      <c r="E150" s="35"/>
      <c r="F150" s="36"/>
      <c r="G150" s="164"/>
      <c r="H150" s="164"/>
      <c r="I150" s="35"/>
    </row>
    <row r="151" spans="1:9" x14ac:dyDescent="0.2">
      <c r="A151" s="35"/>
      <c r="B151" s="35"/>
      <c r="C151" s="35"/>
      <c r="D151" s="35" t="str">
        <f>HYPERLINK("http://msdn.microsoft.com/en-us/library/aa970683(v=vs.85).aspx", "WPF Performance tuning")</f>
        <v>WPF Performance tuning</v>
      </c>
      <c r="E151" s="35"/>
      <c r="F151" s="36"/>
      <c r="G151" s="164"/>
      <c r="H151" s="164"/>
      <c r="I151" s="35"/>
    </row>
    <row r="152" spans="1:9" x14ac:dyDescent="0.2">
      <c r="A152" s="35"/>
      <c r="B152" s="35"/>
      <c r="C152" s="35"/>
      <c r="D152" s="35" t="str">
        <f>HYPERLINK("http://wpffx.codeplex.com/", "Pixel Shaders")</f>
        <v>Pixel Shaders</v>
      </c>
      <c r="E152" s="35"/>
      <c r="F152" s="36"/>
      <c r="G152" s="164"/>
      <c r="H152" s="164"/>
      <c r="I152" s="35"/>
    </row>
    <row r="153" spans="1:9" x14ac:dyDescent="0.2">
      <c r="A153" s="35"/>
      <c r="B153" s="35"/>
      <c r="C153" s="35"/>
      <c r="D153" s="35" t="str">
        <f>HYPERLINK("http://en.wikipedia.org/wiki/Extensible_Application_Markup_Language#Technology", "BAML")</f>
        <v>BAML</v>
      </c>
      <c r="E153" s="35"/>
      <c r="F153" s="36"/>
      <c r="G153" s="164"/>
      <c r="H153" s="164"/>
      <c r="I153" s="35"/>
    </row>
    <row r="154" spans="1:9" x14ac:dyDescent="0.2">
      <c r="A154" s="35"/>
      <c r="B154" s="35"/>
      <c r="C154" s="35"/>
      <c r="D154" s="35" t="str">
        <f>HYPERLINK("http://msdn.microsoft.com/en-us/library/ms750509.aspx", "Freezable Objects")</f>
        <v>Freezable Objects</v>
      </c>
      <c r="E154" s="35"/>
      <c r="F154" s="36"/>
      <c r="G154" s="164"/>
      <c r="H154" s="164"/>
      <c r="I154" s="35"/>
    </row>
    <row r="155" spans="1:9" x14ac:dyDescent="0.2">
      <c r="A155" s="151" t="s">
        <v>206</v>
      </c>
      <c r="B155" s="151"/>
      <c r="C155" s="151"/>
      <c r="D155" s="152"/>
      <c r="E155" s="151"/>
      <c r="F155" s="151"/>
      <c r="G155" s="175"/>
      <c r="H155" s="176"/>
      <c r="I155" s="151"/>
    </row>
    <row r="156" spans="1:9" x14ac:dyDescent="0.2">
      <c r="A156" s="60">
        <f>IFERROR(ROUND((SUM(G96,G120)/SUM(H96,H120)),2),0)</f>
        <v>0</v>
      </c>
      <c r="B156" s="60">
        <f>IFERROR(ROUND((SUM(G103,G129)/SUM(H103,H129)),2),0)</f>
        <v>0</v>
      </c>
      <c r="C156" s="60">
        <f>IFERROR(ROUND((SUM(G109,G137)/SUM(H109,H137)),2),0)</f>
        <v>0</v>
      </c>
      <c r="D156" s="60">
        <f>IFERROR(ROUND((SUM(G115,G147)/SUM(H115,H147)),2),0)</f>
        <v>0</v>
      </c>
      <c r="E156" s="60">
        <v>0</v>
      </c>
      <c r="F156" s="57"/>
      <c r="G156" s="95"/>
      <c r="H156" s="112"/>
      <c r="I156" s="57"/>
    </row>
    <row r="157" spans="1:9" x14ac:dyDescent="0.2">
      <c r="A157" s="151" t="s">
        <v>207</v>
      </c>
      <c r="B157" s="155"/>
      <c r="C157" s="155"/>
      <c r="D157" s="155"/>
      <c r="E157" s="155"/>
      <c r="F157" s="155"/>
      <c r="G157" s="173"/>
      <c r="H157" s="174"/>
      <c r="I157" s="155"/>
    </row>
    <row r="158" spans="1:9" x14ac:dyDescent="0.2">
      <c r="A158" s="86">
        <v>0.8</v>
      </c>
      <c r="B158" s="86">
        <v>0.8</v>
      </c>
      <c r="C158" s="86">
        <v>0.8</v>
      </c>
      <c r="D158" s="86">
        <v>0.8</v>
      </c>
      <c r="E158" s="86">
        <v>0.8</v>
      </c>
      <c r="F158" s="85"/>
      <c r="G158" s="95"/>
      <c r="H158" s="112"/>
      <c r="I158" s="85"/>
    </row>
    <row r="159" spans="1:9" x14ac:dyDescent="0.2">
      <c r="A159" s="87"/>
      <c r="B159" s="88"/>
      <c r="C159" s="88"/>
      <c r="D159" s="88"/>
      <c r="E159" s="89"/>
      <c r="F159" s="32" t="s">
        <v>44</v>
      </c>
      <c r="G159" s="113"/>
      <c r="H159" s="114"/>
      <c r="I159" s="91"/>
    </row>
    <row r="160" spans="1:9" ht="26.25" customHeight="1" x14ac:dyDescent="0.2">
      <c r="A160" s="92" t="e">
        <f ca="1">IF(GTE(A156,A158),"D1", "")</f>
        <v>#NAME?</v>
      </c>
      <c r="B160" s="92" t="e">
        <f ca="1">IF(AND(IF((A160=""), FALSE, TRUE), GTE(B156,B158)),"D2","" )</f>
        <v>#NAME?</v>
      </c>
      <c r="C160" s="92" t="e">
        <f ca="1">IF(AND(IF((B160=""), FALSE, TRUE), GTE(C156,C158)),"D3","")</f>
        <v>#NAME?</v>
      </c>
      <c r="D160" s="92" t="e">
        <f ca="1">IF(AND(IF((C160=""), FALSE, TRUE),GTE(D156,D158)),"D4", "")</f>
        <v>#NAME?</v>
      </c>
      <c r="E160" s="93" t="e">
        <f ca="1">IF(AND(IF((D160=""), FALSE, TRUE), GTE(E156,E158)),"D5", "")</f>
        <v>#NAME?</v>
      </c>
      <c r="F160" s="94" t="e">
        <f>IF(IF((A160=""), FALSE, TRUE),CHOOSE(COUNTA(A160:E160),'Assesment Rules'!B72,'Assesment Rules'!B73,'Assesment Rules'!B74,'Assesment Rules'!B75,'Assesment Rules'!B76), "None")</f>
        <v>#NAME?</v>
      </c>
      <c r="G160" s="95"/>
      <c r="H160" s="112"/>
      <c r="I160" s="57"/>
    </row>
    <row r="161" spans="1:9" ht="75" customHeight="1" x14ac:dyDescent="0.2">
      <c r="A161" s="35"/>
      <c r="B161" s="35"/>
      <c r="C161" s="35"/>
      <c r="D161" s="35"/>
      <c r="E161" s="35"/>
      <c r="F161" s="35"/>
      <c r="G161" s="56"/>
      <c r="H161" s="56"/>
      <c r="I161" s="35"/>
    </row>
    <row r="162" spans="1:9" x14ac:dyDescent="0.2">
      <c r="A162" s="141" t="s">
        <v>265</v>
      </c>
      <c r="B162" s="141"/>
      <c r="C162" s="141"/>
      <c r="D162" s="141"/>
      <c r="E162" s="141"/>
      <c r="F162" s="141"/>
      <c r="G162" s="164"/>
      <c r="H162" s="164"/>
      <c r="I162" s="142"/>
    </row>
    <row r="163" spans="1:9" x14ac:dyDescent="0.2">
      <c r="A163" s="35" t="s">
        <v>266</v>
      </c>
      <c r="B163" s="36"/>
      <c r="C163" s="35"/>
      <c r="D163" s="2"/>
      <c r="E163" s="35"/>
      <c r="F163" s="11"/>
      <c r="G163" s="56"/>
      <c r="H163" s="56"/>
      <c r="I163" s="35"/>
    </row>
    <row r="164" spans="1:9" x14ac:dyDescent="0.2">
      <c r="A164" s="35" t="s">
        <v>267</v>
      </c>
      <c r="B164" s="36"/>
      <c r="C164" s="35"/>
      <c r="D164" s="2"/>
      <c r="E164" s="35"/>
      <c r="F164" s="11"/>
      <c r="G164" s="56"/>
      <c r="H164" s="56"/>
      <c r="I164" s="35"/>
    </row>
    <row r="165" spans="1:9" x14ac:dyDescent="0.2">
      <c r="A165" s="35" t="s">
        <v>268</v>
      </c>
      <c r="B165" s="36"/>
      <c r="C165" s="35"/>
      <c r="D165" s="35"/>
      <c r="E165" s="35"/>
      <c r="F165" s="36"/>
      <c r="G165" s="56"/>
      <c r="H165" s="56"/>
      <c r="I165" s="35"/>
    </row>
    <row r="166" spans="1:9" x14ac:dyDescent="0.2">
      <c r="A166" s="35"/>
      <c r="B166" s="35"/>
      <c r="C166" s="35"/>
      <c r="D166" s="35"/>
      <c r="E166" s="35"/>
      <c r="F166" s="36"/>
      <c r="G166" s="56"/>
      <c r="H166" s="56"/>
      <c r="I166" s="35"/>
    </row>
    <row r="167" spans="1:9" x14ac:dyDescent="0.2">
      <c r="A167" s="35"/>
      <c r="B167" s="35"/>
      <c r="C167" s="35"/>
      <c r="D167" s="35"/>
      <c r="E167" s="35"/>
      <c r="F167" s="36"/>
      <c r="G167" s="56"/>
      <c r="H167" s="56"/>
      <c r="I167" s="35"/>
    </row>
    <row r="168" spans="1:9" x14ac:dyDescent="0.2">
      <c r="A168" s="35"/>
      <c r="B168" s="35"/>
      <c r="C168" s="35"/>
      <c r="D168" s="35"/>
      <c r="E168" s="35"/>
      <c r="F168" s="36"/>
      <c r="G168" s="56"/>
      <c r="H168" s="56"/>
      <c r="I168" s="35"/>
    </row>
    <row r="169" spans="1:9" x14ac:dyDescent="0.2">
      <c r="A169" s="35"/>
      <c r="B169" s="35"/>
      <c r="C169" s="35"/>
      <c r="D169" s="35"/>
      <c r="E169" s="35"/>
      <c r="F169" s="36"/>
      <c r="G169" s="56"/>
      <c r="H169" s="56"/>
      <c r="I169" s="35"/>
    </row>
    <row r="170" spans="1:9" x14ac:dyDescent="0.2">
      <c r="A170" s="35"/>
      <c r="B170" s="35"/>
      <c r="C170" s="35"/>
      <c r="D170" s="35"/>
      <c r="E170" s="35"/>
      <c r="F170" s="36"/>
      <c r="G170" s="56"/>
      <c r="H170" s="56"/>
      <c r="I170" s="35"/>
    </row>
    <row r="171" spans="1:9" x14ac:dyDescent="0.2">
      <c r="A171" s="35"/>
      <c r="B171" s="35"/>
      <c r="C171" s="35"/>
      <c r="D171" s="35"/>
      <c r="E171" s="35"/>
      <c r="F171" s="36"/>
      <c r="G171" s="56"/>
      <c r="H171" s="56"/>
      <c r="I171" s="35"/>
    </row>
    <row r="172" spans="1:9" x14ac:dyDescent="0.2">
      <c r="A172" s="35"/>
      <c r="B172" s="35"/>
      <c r="C172" s="35"/>
      <c r="D172" s="35"/>
      <c r="E172" s="35"/>
      <c r="F172" s="36"/>
      <c r="G172" s="56"/>
      <c r="H172" s="56"/>
      <c r="I172" s="35"/>
    </row>
    <row r="173" spans="1:9" x14ac:dyDescent="0.2">
      <c r="A173" s="35"/>
      <c r="B173" s="35"/>
      <c r="C173" s="35"/>
      <c r="D173" s="35"/>
      <c r="E173" s="35"/>
      <c r="F173" s="36"/>
      <c r="G173" s="56"/>
      <c r="H173" s="56"/>
      <c r="I173" s="35"/>
    </row>
    <row r="174" spans="1:9" x14ac:dyDescent="0.2">
      <c r="A174" s="35"/>
      <c r="B174" s="35"/>
      <c r="C174" s="35"/>
      <c r="D174" s="35"/>
      <c r="E174" s="35"/>
      <c r="F174" s="36"/>
      <c r="G174" s="56"/>
      <c r="H174" s="56"/>
      <c r="I174" s="35"/>
    </row>
    <row r="175" spans="1:9" x14ac:dyDescent="0.2">
      <c r="A175" s="35"/>
      <c r="B175" s="35"/>
      <c r="C175" s="35"/>
      <c r="D175" s="35"/>
      <c r="E175" s="35"/>
      <c r="F175" s="36"/>
      <c r="G175" s="56"/>
      <c r="H175" s="56"/>
      <c r="I175" s="35"/>
    </row>
  </sheetData>
  <mergeCells count="51">
    <mergeCell ref="A1:F1"/>
    <mergeCell ref="A3:I3"/>
    <mergeCell ref="G4:G19"/>
    <mergeCell ref="H4:H19"/>
    <mergeCell ref="G20:G33"/>
    <mergeCell ref="H20:H33"/>
    <mergeCell ref="G34:G39"/>
    <mergeCell ref="H34:H39"/>
    <mergeCell ref="G40:G42"/>
    <mergeCell ref="H40:H42"/>
    <mergeCell ref="A43:I43"/>
    <mergeCell ref="A45:I45"/>
    <mergeCell ref="A50:I50"/>
    <mergeCell ref="A51:I51"/>
    <mergeCell ref="G52:G59"/>
    <mergeCell ref="H52:H59"/>
    <mergeCell ref="G60:G70"/>
    <mergeCell ref="H60:H70"/>
    <mergeCell ref="G71:G76"/>
    <mergeCell ref="H71:H76"/>
    <mergeCell ref="G77:G78"/>
    <mergeCell ref="H77:H78"/>
    <mergeCell ref="A79:I79"/>
    <mergeCell ref="G81:G84"/>
    <mergeCell ref="H81:H84"/>
    <mergeCell ref="G85:G86"/>
    <mergeCell ref="H85:H86"/>
    <mergeCell ref="A87:I87"/>
    <mergeCell ref="A89:I89"/>
    <mergeCell ref="A94:I94"/>
    <mergeCell ref="A95:I95"/>
    <mergeCell ref="G96:G102"/>
    <mergeCell ref="H96:H102"/>
    <mergeCell ref="G103:G108"/>
    <mergeCell ref="H103:H108"/>
    <mergeCell ref="G109:G114"/>
    <mergeCell ref="H109:H114"/>
    <mergeCell ref="G115:G118"/>
    <mergeCell ref="H115:H118"/>
    <mergeCell ref="A119:I119"/>
    <mergeCell ref="G120:G128"/>
    <mergeCell ref="H120:H128"/>
    <mergeCell ref="G129:G136"/>
    <mergeCell ref="H129:H136"/>
    <mergeCell ref="A157:I157"/>
    <mergeCell ref="A162:I162"/>
    <mergeCell ref="G137:G146"/>
    <mergeCell ref="H137:H146"/>
    <mergeCell ref="G147:G154"/>
    <mergeCell ref="H147:H154"/>
    <mergeCell ref="A155:I155"/>
  </mergeCells>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workbookViewId="0">
      <pane ySplit="2" topLeftCell="A3" activePane="bottomLeft" state="frozen"/>
      <selection pane="bottomLeft" activeCell="A3" sqref="A3"/>
    </sheetView>
  </sheetViews>
  <sheetFormatPr defaultColWidth="11.42578125" defaultRowHeight="12" customHeight="1" x14ac:dyDescent="0.2"/>
  <cols>
    <col min="1" max="5" width="30.7109375" customWidth="1"/>
    <col min="6" max="6" width="9.28515625" customWidth="1"/>
    <col min="7" max="8" width="9.28515625" hidden="1" customWidth="1"/>
    <col min="9" max="9" width="35" customWidth="1"/>
  </cols>
  <sheetData>
    <row r="1" spans="1:9" ht="31.5" customHeight="1" x14ac:dyDescent="0.2">
      <c r="A1" s="147" t="s">
        <v>269</v>
      </c>
      <c r="B1" s="147"/>
      <c r="C1" s="147"/>
      <c r="D1" s="147"/>
      <c r="E1" s="147"/>
      <c r="F1" s="39"/>
      <c r="G1" s="100"/>
      <c r="H1" s="100"/>
      <c r="I1" s="39"/>
    </row>
    <row r="2" spans="1:9" ht="12.75" customHeight="1" x14ac:dyDescent="0.2">
      <c r="A2" s="32" t="s">
        <v>1</v>
      </c>
      <c r="B2" s="32" t="s">
        <v>5</v>
      </c>
      <c r="C2" s="32" t="s">
        <v>9</v>
      </c>
      <c r="D2" s="32" t="s">
        <v>12</v>
      </c>
      <c r="E2" s="32" t="s">
        <v>14</v>
      </c>
      <c r="F2" s="32" t="s">
        <v>43</v>
      </c>
      <c r="G2" s="53" t="s">
        <v>148</v>
      </c>
      <c r="H2" s="53" t="s">
        <v>149</v>
      </c>
      <c r="I2" s="34" t="s">
        <v>25</v>
      </c>
    </row>
    <row r="3" spans="1:9" ht="12.75" customHeight="1" x14ac:dyDescent="0.2">
      <c r="A3" s="141" t="s">
        <v>41</v>
      </c>
      <c r="B3" s="141"/>
      <c r="C3" s="141"/>
      <c r="D3" s="141"/>
      <c r="E3" s="141"/>
      <c r="F3" s="141"/>
      <c r="G3" s="181"/>
      <c r="H3" s="181"/>
      <c r="I3" s="141"/>
    </row>
    <row r="4" spans="1:9" ht="12.75" customHeight="1" x14ac:dyDescent="0.2">
      <c r="A4" s="119" t="str">
        <f>HYPERLINK("http://www.php.net/manual/en/language.control-structures.php","Flow control operators")</f>
        <v>Flow control operators</v>
      </c>
      <c r="B4" s="58"/>
      <c r="C4" s="58"/>
      <c r="D4" s="35"/>
      <c r="E4" s="35"/>
      <c r="F4" s="36"/>
      <c r="G4" s="164">
        <f>COUNTIF(F4:F20, "Y")</f>
        <v>0</v>
      </c>
      <c r="H4" s="159">
        <f>COUNTA(F4:F20)</f>
        <v>0</v>
      </c>
      <c r="I4" s="35"/>
    </row>
    <row r="5" spans="1:9" ht="12.75" customHeight="1" x14ac:dyDescent="0.2">
      <c r="A5" s="119" t="str">
        <f>HYPERLINK("http://www.php.net/manual/en/language.types.php","Types, Type Casting")</f>
        <v>Types, Type Casting</v>
      </c>
      <c r="B5" s="58"/>
      <c r="C5" s="58"/>
      <c r="D5" s="35"/>
      <c r="E5" s="35"/>
      <c r="F5" s="36"/>
      <c r="G5" s="164"/>
      <c r="H5" s="164"/>
      <c r="I5" s="35"/>
    </row>
    <row r="6" spans="1:9" ht="12.75" customHeight="1" x14ac:dyDescent="0.2">
      <c r="A6" s="2" t="str">
        <f>HYPERLINK("http://php.net/manual/en/language.variables.php","Variables")</f>
        <v>Variables</v>
      </c>
      <c r="B6" s="58"/>
      <c r="C6" s="58"/>
      <c r="D6" s="35"/>
      <c r="E6" s="35"/>
      <c r="F6" s="36"/>
      <c r="G6" s="164"/>
      <c r="H6" s="164"/>
      <c r="I6" s="35"/>
    </row>
    <row r="7" spans="1:9" s="9" customFormat="1" ht="12.75" customHeight="1" x14ac:dyDescent="0.2">
      <c r="A7" s="2" t="str">
        <f>HYPERLINK("http://www.php.net/manual/en/language.constants.php","Constants")</f>
        <v>Constants</v>
      </c>
      <c r="B7" s="58"/>
      <c r="C7" s="58"/>
      <c r="D7" s="35"/>
      <c r="E7" s="35"/>
      <c r="F7" s="36"/>
      <c r="G7" s="164"/>
      <c r="H7" s="164"/>
      <c r="I7" s="35"/>
    </row>
    <row r="8" spans="1:9" s="9" customFormat="1" ht="12.75" customHeight="1" x14ac:dyDescent="0.2">
      <c r="A8" s="2" t="str">
        <f>HYPERLINK("http://www.php.net/manual/en/language.operators.php","Operators")</f>
        <v>Operators</v>
      </c>
      <c r="B8" s="58"/>
      <c r="C8" s="58"/>
      <c r="D8" s="35"/>
      <c r="E8" s="35"/>
      <c r="F8" s="36"/>
      <c r="G8" s="164"/>
      <c r="H8" s="164"/>
      <c r="I8" s="35"/>
    </row>
    <row r="9" spans="1:9" s="9" customFormat="1" ht="12.75" customHeight="1" x14ac:dyDescent="0.2">
      <c r="A9" s="119" t="str">
        <f>HYPERLINK("http://php.net/manual/en/language.oop5.php","Classes and Objects")</f>
        <v>Classes and Objects</v>
      </c>
      <c r="B9" s="58"/>
      <c r="C9" s="58"/>
      <c r="D9" s="35"/>
      <c r="E9" s="35"/>
      <c r="F9" s="36"/>
      <c r="G9" s="164"/>
      <c r="H9" s="164"/>
      <c r="I9" s="35"/>
    </row>
    <row r="10" spans="1:9" s="9" customFormat="1" ht="12.75" customHeight="1" x14ac:dyDescent="0.2">
      <c r="A10" s="119" t="str">
        <f>HYPERLINK("http://php.net/manual/en/ref.strings.php","Standard library string functions")</f>
        <v>Standard library string functions</v>
      </c>
      <c r="B10" s="58"/>
      <c r="C10" s="58"/>
      <c r="D10" s="35"/>
      <c r="E10" s="35"/>
      <c r="F10" s="36"/>
      <c r="G10" s="164"/>
      <c r="H10" s="164"/>
      <c r="I10" s="35"/>
    </row>
    <row r="11" spans="1:9" ht="12.75" customHeight="1" x14ac:dyDescent="0.2">
      <c r="A11" s="119" t="str">
        <f>HYPERLINK("http://www.php.net/manual/ru/ref.filesystem.php","Standard library file functions")</f>
        <v>Standard library file functions</v>
      </c>
      <c r="B11" s="58"/>
      <c r="C11" s="58"/>
      <c r="D11" s="35"/>
      <c r="E11" s="35"/>
      <c r="F11" s="36"/>
      <c r="G11" s="164"/>
      <c r="H11" s="164"/>
      <c r="I11" s="35"/>
    </row>
    <row r="12" spans="1:9" ht="12.75" customHeight="1" x14ac:dyDescent="0.2">
      <c r="A12" s="119" t="str">
        <f>HYPERLINK("http://php.net/manual/en/ref.array.php","Standard library array functions")</f>
        <v>Standard library array functions</v>
      </c>
      <c r="B12" s="58"/>
      <c r="C12" s="58"/>
      <c r="D12" s="35"/>
      <c r="E12" s="35"/>
      <c r="F12" s="36"/>
      <c r="G12" s="164"/>
      <c r="H12" s="164"/>
      <c r="I12" s="35"/>
    </row>
    <row r="13" spans="1:9" ht="12.75" customHeight="1" x14ac:dyDescent="0.2">
      <c r="A13" s="119" t="str">
        <f>HYPERLINK("http://www.php.net/manual/en/book.datetime.php","Standard library date/time functions")</f>
        <v>Standard library date/time functions</v>
      </c>
      <c r="B13" s="58"/>
      <c r="C13" s="58"/>
      <c r="D13" s="35"/>
      <c r="E13" s="35"/>
      <c r="F13" s="36"/>
      <c r="G13" s="164"/>
      <c r="H13" s="164"/>
      <c r="I13" s="35"/>
    </row>
    <row r="14" spans="1:9" ht="12.75" customHeight="1" x14ac:dyDescent="0.2">
      <c r="A14" s="119" t="str">
        <f>HYPERLINK("http://www.php.net/manual/en/refs.xml.php","Standard library xml functions")</f>
        <v>Standard library xml functions</v>
      </c>
      <c r="B14" s="58"/>
      <c r="C14" s="58"/>
      <c r="D14" s="35"/>
      <c r="E14" s="35"/>
      <c r="F14" s="36"/>
      <c r="G14" s="164"/>
      <c r="H14" s="164"/>
      <c r="I14" s="35"/>
    </row>
    <row r="15" spans="1:9" ht="12.75" customHeight="1" x14ac:dyDescent="0.2">
      <c r="A15" s="119" t="str">
        <f>HYPERLINK("http://www.php.net/manual/en/reserved.variables.php","HTTP Request handling in PHP ($_GET, $_POST); Raw Post")</f>
        <v>HTTP Request handling in PHP ($_GET, $_POST); Raw Post</v>
      </c>
      <c r="B15" s="58"/>
      <c r="C15" s="58"/>
      <c r="D15" s="35"/>
      <c r="E15" s="35"/>
      <c r="F15" s="36"/>
      <c r="G15" s="164"/>
      <c r="H15" s="164"/>
      <c r="I15" s="35"/>
    </row>
    <row r="16" spans="1:9" ht="12.75" customHeight="1" x14ac:dyDescent="0.2">
      <c r="A16" s="119" t="str">
        <f>HYPERLINK("http://php.net/manual/en/language.exceptions.php","Exceptions inheritance, throwing and handling")</f>
        <v>Exceptions inheritance, throwing and handling</v>
      </c>
      <c r="B16" s="58"/>
      <c r="C16" s="58"/>
      <c r="D16" s="35"/>
      <c r="E16" s="35"/>
      <c r="F16" s="36"/>
      <c r="G16" s="164"/>
      <c r="H16" s="164"/>
      <c r="I16" s="35"/>
    </row>
    <row r="17" spans="1:9" ht="12.75" customHeight="1" x14ac:dyDescent="0.2">
      <c r="A17" s="2" t="str">
        <f>HYPERLINK("http://php.net/manual/en/book.errorfunc.php","Error handling")</f>
        <v>Error handling</v>
      </c>
      <c r="B17" s="35"/>
      <c r="C17" s="58"/>
      <c r="D17" s="35"/>
      <c r="E17" s="35"/>
      <c r="F17" s="36"/>
      <c r="G17" s="164"/>
      <c r="H17" s="164"/>
      <c r="I17" s="35"/>
    </row>
    <row r="18" spans="1:9" ht="12.75" customHeight="1" x14ac:dyDescent="0.2">
      <c r="A18" s="119" t="str">
        <f>HYPERLINK("http://www.php.net/manual/en/features.sessions.php","Session management")</f>
        <v>Session management</v>
      </c>
      <c r="B18" s="35"/>
      <c r="C18" s="58"/>
      <c r="D18" s="35"/>
      <c r="E18" s="35"/>
      <c r="F18" s="36"/>
      <c r="G18" s="164"/>
      <c r="H18" s="164"/>
      <c r="I18" s="35"/>
    </row>
    <row r="19" spans="1:9" ht="12.75" customHeight="1" x14ac:dyDescent="0.2">
      <c r="A19" s="2" t="str">
        <f>HYPERLINK("http://www.php.net/manual/en/features.cookies.php","Cookie management")</f>
        <v>Cookie management</v>
      </c>
      <c r="B19" s="35"/>
      <c r="C19" s="58"/>
      <c r="D19" s="35"/>
      <c r="E19" s="35"/>
      <c r="F19" s="36"/>
      <c r="G19" s="164"/>
      <c r="H19" s="164"/>
      <c r="I19" s="35"/>
    </row>
    <row r="20" spans="1:9" ht="12.75" customHeight="1" x14ac:dyDescent="0.2">
      <c r="A20" s="120" t="str">
        <f>HYPERLINK("http://php.net/manual/en/features.file-upload.php","Handling files upload via POST request")</f>
        <v>Handling files upload via POST request</v>
      </c>
      <c r="B20" s="67"/>
      <c r="C20" s="67"/>
      <c r="D20" s="67"/>
      <c r="E20" s="62"/>
      <c r="F20" s="36"/>
      <c r="G20" s="159"/>
      <c r="H20" s="159"/>
      <c r="I20" s="62"/>
    </row>
    <row r="21" spans="1:9" ht="12.75" customHeight="1" x14ac:dyDescent="0.2">
      <c r="A21" s="65"/>
      <c r="B21" s="121" t="str">
        <f>HYPERLINK("http://php.net/manual/en/features.gc.php","Garbage collection")</f>
        <v>Garbage collection</v>
      </c>
      <c r="C21" s="122"/>
      <c r="D21" s="65"/>
      <c r="E21" s="65"/>
      <c r="F21" s="36"/>
      <c r="G21" s="163">
        <f>COUNTIF(F21:F30, "Y")</f>
        <v>0</v>
      </c>
      <c r="H21" s="161">
        <f>COUNTA(F21:F30)</f>
        <v>0</v>
      </c>
      <c r="I21" s="65"/>
    </row>
    <row r="22" spans="1:9" ht="12.75" customHeight="1" x14ac:dyDescent="0.2">
      <c r="A22" s="58"/>
      <c r="B22" s="58" t="str">
        <f>HYPERLINK("http://php.net/manual/en/language.namespaces.php", "Namespaces")</f>
        <v>Namespaces</v>
      </c>
      <c r="C22" s="58"/>
      <c r="D22" s="35"/>
      <c r="E22" s="35"/>
      <c r="F22" s="36"/>
      <c r="G22" s="164"/>
      <c r="H22" s="164"/>
      <c r="I22" s="35"/>
    </row>
    <row r="23" spans="1:9" ht="12.75" customHeight="1" x14ac:dyDescent="0.2">
      <c r="A23" s="58"/>
      <c r="B23" s="58" t="str">
        <f>HYPERLINK("http://php.net/manual/en/language.oop5.interfaces.php", "Interfaces")</f>
        <v>Interfaces</v>
      </c>
      <c r="C23" s="58"/>
      <c r="D23" s="35"/>
      <c r="E23" s="35"/>
      <c r="F23" s="36"/>
      <c r="G23" s="164"/>
      <c r="H23" s="164"/>
      <c r="I23" s="35"/>
    </row>
    <row r="24" spans="1:9" ht="12.75" customHeight="1" x14ac:dyDescent="0.2">
      <c r="A24" s="58"/>
      <c r="B24" s="58" t="str">
        <f>HYPERLINK("http://php.net/manual/en/language.oop5.abstract.php", "Abstract Classes")</f>
        <v>Abstract Classes</v>
      </c>
      <c r="C24" s="58"/>
      <c r="D24" s="35"/>
      <c r="E24" s="35"/>
      <c r="F24" s="36"/>
      <c r="G24" s="164"/>
      <c r="H24" s="164"/>
      <c r="I24" s="35"/>
    </row>
    <row r="25" spans="1:9" ht="12.75" customHeight="1" x14ac:dyDescent="0.2">
      <c r="A25" s="58"/>
      <c r="B25" s="58" t="str">
        <f>HYPERLINK("http://php.net/manual/en/class.closure.php", "Closures")</f>
        <v>Closures</v>
      </c>
      <c r="C25" s="58"/>
      <c r="D25" s="35"/>
      <c r="E25" s="35"/>
      <c r="F25" s="36"/>
      <c r="G25" s="164"/>
      <c r="H25" s="164"/>
      <c r="I25" s="35"/>
    </row>
    <row r="26" spans="1:9" ht="12.75" customHeight="1" x14ac:dyDescent="0.2">
      <c r="A26" s="58"/>
      <c r="B26" s="58" t="str">
        <f>HYPERLINK("http://php.net/manual/en/book.pcre.php", "Regular expressions (PCRE)")</f>
        <v>Regular expressions (PCRE)</v>
      </c>
      <c r="C26" s="58"/>
      <c r="D26" s="35"/>
      <c r="E26" s="35"/>
      <c r="F26" s="36"/>
      <c r="G26" s="164"/>
      <c r="H26" s="164"/>
      <c r="I26" s="35"/>
    </row>
    <row r="27" spans="1:9" ht="12.75" customHeight="1" x14ac:dyDescent="0.2">
      <c r="A27" s="58"/>
      <c r="B27" s="58" t="str">
        <f>HYPERLINK("http://php.net/manual/en/language.oop5.magic.php", "Magic Methods")</f>
        <v>Magic Methods</v>
      </c>
      <c r="C27" s="58"/>
      <c r="D27" s="35"/>
      <c r="E27" s="35"/>
      <c r="F27" s="36"/>
      <c r="G27" s="164"/>
      <c r="H27" s="164"/>
      <c r="I27" s="35"/>
    </row>
    <row r="28" spans="1:9" ht="12.75" customHeight="1" x14ac:dyDescent="0.2">
      <c r="A28" s="58"/>
      <c r="B28" s="58" t="str">
        <f>HYPERLINK("http://www.php.net/manual/en/language.oop5.static.php", "Static Keyword")</f>
        <v>Static Keyword</v>
      </c>
      <c r="C28" s="58"/>
      <c r="D28" s="35"/>
      <c r="E28" s="35"/>
      <c r="F28" s="36"/>
      <c r="G28" s="164"/>
      <c r="H28" s="164"/>
      <c r="I28" s="35"/>
    </row>
    <row r="29" spans="1:9" ht="12.75" customHeight="1" x14ac:dyDescent="0.2">
      <c r="A29" s="58"/>
      <c r="B29" s="58" t="str">
        <f>HYPERLINK("http://www.php.net/manual/en/language.types.callable.php", "Callback")</f>
        <v>Callback</v>
      </c>
      <c r="C29" s="35"/>
      <c r="D29" s="35"/>
      <c r="E29" s="35"/>
      <c r="F29" s="36"/>
      <c r="G29" s="164"/>
      <c r="H29" s="164"/>
      <c r="I29" s="35"/>
    </row>
    <row r="30" spans="1:9" ht="12.75" customHeight="1" x14ac:dyDescent="0.2">
      <c r="A30" s="58"/>
      <c r="B30" s="35"/>
      <c r="C30" s="35"/>
      <c r="D30" s="35"/>
      <c r="E30" s="57"/>
      <c r="F30" s="36"/>
      <c r="G30" s="164"/>
      <c r="H30" s="164"/>
      <c r="I30" s="35"/>
    </row>
    <row r="31" spans="1:9" ht="12.75" customHeight="1" x14ac:dyDescent="0.2">
      <c r="A31" s="123"/>
      <c r="B31" s="67" t="s">
        <v>270</v>
      </c>
      <c r="C31" s="62"/>
      <c r="D31" s="62"/>
      <c r="E31" s="62"/>
      <c r="F31" s="36"/>
      <c r="G31" s="76"/>
      <c r="H31" s="76"/>
      <c r="I31" s="62"/>
    </row>
    <row r="32" spans="1:9" ht="12.75" customHeight="1" x14ac:dyDescent="0.2">
      <c r="A32" s="122"/>
      <c r="B32" s="24"/>
      <c r="C32" s="122" t="str">
        <f>HYPERLINK("http://php.net/manual/en/language.oop5.traits.php", "Traits")</f>
        <v>Traits</v>
      </c>
      <c r="D32" s="65"/>
      <c r="E32" s="65"/>
      <c r="F32" s="36"/>
      <c r="G32" s="163">
        <f>COUNTIF(F32:F43, "Y")</f>
        <v>0</v>
      </c>
      <c r="H32" s="161">
        <f>COUNTA(F32:F43)</f>
        <v>0</v>
      </c>
      <c r="I32" s="65"/>
    </row>
    <row r="33" spans="1:9" ht="12.75" customHeight="1" x14ac:dyDescent="0.2">
      <c r="A33" s="35"/>
      <c r="B33" s="11"/>
      <c r="C33" s="58" t="str">
        <f>HYPERLINK("http://php.net/manual/en/book.reflection.php", "Reflection")</f>
        <v>Reflection</v>
      </c>
      <c r="D33" s="35"/>
      <c r="E33" s="35"/>
      <c r="F33" s="36"/>
      <c r="G33" s="164"/>
      <c r="H33" s="164"/>
      <c r="I33" s="35"/>
    </row>
    <row r="34" spans="1:9" ht="12.75" customHeight="1" x14ac:dyDescent="0.2">
      <c r="A34" s="35"/>
      <c r="B34" s="35"/>
      <c r="C34" s="58" t="str">
        <f>HYPERLINK("http://php.net/manual/en/language.oop5.late-static-bindings.php", "Late Static Bindings")</f>
        <v>Late Static Bindings</v>
      </c>
      <c r="D34" s="35"/>
      <c r="E34" s="35"/>
      <c r="F34" s="36"/>
      <c r="G34" s="164"/>
      <c r="H34" s="164"/>
      <c r="I34" s="35"/>
    </row>
    <row r="35" spans="1:9" ht="12.75" customHeight="1" x14ac:dyDescent="0.2">
      <c r="A35" s="35"/>
      <c r="B35" s="35"/>
      <c r="C35" s="119" t="str">
        <f>HYPERLINK("http://www.php.net/manual/en/book.mbstring.php","UTF8 string functions vs standard string functions")</f>
        <v>UTF8 string functions vs standard string functions</v>
      </c>
      <c r="D35" s="35"/>
      <c r="E35" s="35"/>
      <c r="F35" s="36"/>
      <c r="G35" s="164"/>
      <c r="H35" s="164"/>
      <c r="I35" s="35"/>
    </row>
    <row r="36" spans="1:9" ht="12.75" customHeight="1" x14ac:dyDescent="0.2">
      <c r="A36" s="35"/>
      <c r="B36" s="35"/>
      <c r="C36" s="2" t="str">
        <f>HYPERLINK("http://www.php.net/manual/en/book.gettext.php","LocaIization (l10n)")</f>
        <v>LocaIization (l10n)</v>
      </c>
      <c r="D36" s="35"/>
      <c r="E36" s="35"/>
      <c r="F36" s="36"/>
      <c r="G36" s="164"/>
      <c r="H36" s="164"/>
      <c r="I36" s="35"/>
    </row>
    <row r="37" spans="1:9" ht="12.75" customHeight="1" x14ac:dyDescent="0.2">
      <c r="A37" s="35"/>
      <c r="B37" s="35"/>
      <c r="C37" s="2" t="str">
        <f>HYPERLINK("http://php.net/manual/en/book.stream.php","Streams")</f>
        <v>Streams</v>
      </c>
      <c r="D37" s="35"/>
      <c r="E37" s="35"/>
      <c r="F37" s="36"/>
      <c r="G37" s="164"/>
      <c r="H37" s="164"/>
      <c r="I37" s="35"/>
    </row>
    <row r="38" spans="1:9" ht="12.75" customHeight="1" x14ac:dyDescent="0.2">
      <c r="A38" s="35"/>
      <c r="B38" s="35"/>
      <c r="C38" s="35" t="str">
        <f>HYPERLINK("http://php.net/manual/en/book.spl.php", "SPL Interfaces and Classes")</f>
        <v>SPL Interfaces and Classes</v>
      </c>
      <c r="D38" s="35"/>
      <c r="E38" s="35"/>
      <c r="F38" s="36"/>
      <c r="G38" s="164"/>
      <c r="H38" s="164"/>
      <c r="I38" s="35"/>
    </row>
    <row r="39" spans="1:9" ht="12.75" customHeight="1" x14ac:dyDescent="0.2">
      <c r="A39" s="35"/>
      <c r="B39" s="35"/>
      <c r="C39" s="35" t="str">
        <f>HYPERLINK("http://php.net/manual/en/book.phar.php", "PHAR")</f>
        <v>PHAR</v>
      </c>
      <c r="D39" s="35"/>
      <c r="E39" s="35"/>
      <c r="F39" s="36"/>
      <c r="G39" s="164"/>
      <c r="H39" s="164"/>
      <c r="I39" s="35"/>
    </row>
    <row r="40" spans="1:9" ht="12.75" customHeight="1" x14ac:dyDescent="0.2">
      <c r="A40" s="35"/>
      <c r="B40" s="35"/>
      <c r="C40" s="35" t="str">
        <f>HYPERLINK("http://php.net/manual/en/book.apc.php", "Opcode cache (APC)")</f>
        <v>Opcode cache (APC)</v>
      </c>
      <c r="D40" s="35"/>
      <c r="E40" s="35"/>
      <c r="F40" s="36"/>
      <c r="G40" s="164"/>
      <c r="H40" s="164"/>
      <c r="I40" s="35"/>
    </row>
    <row r="41" spans="1:9" ht="12.75" customHeight="1" x14ac:dyDescent="0.2">
      <c r="A41" s="35"/>
      <c r="B41" s="35"/>
      <c r="C41" s="2" t="str">
        <f>HYPERLINK("http://www.php.net/manual/en/language.generators.php","Generators")</f>
        <v>Generators</v>
      </c>
      <c r="D41" s="35"/>
      <c r="E41" s="35"/>
      <c r="F41" s="36"/>
      <c r="G41" s="164"/>
      <c r="H41" s="164"/>
      <c r="I41" s="35"/>
    </row>
    <row r="42" spans="1:9" ht="12.75" customHeight="1" x14ac:dyDescent="0.2">
      <c r="A42" s="35"/>
      <c r="B42" s="35"/>
      <c r="C42" s="35" t="str">
        <f>HYPERLINK("http://php.net/manual/en/book.mcrypt.php", "Cryptography")</f>
        <v>Cryptography</v>
      </c>
      <c r="D42" s="35"/>
      <c r="E42" s="35"/>
      <c r="F42" s="36"/>
      <c r="G42" s="164"/>
      <c r="H42" s="164"/>
      <c r="I42" s="35"/>
    </row>
    <row r="43" spans="1:9" ht="12.75" customHeight="1" x14ac:dyDescent="0.2">
      <c r="A43" s="62"/>
      <c r="B43" s="62"/>
      <c r="C43" s="62" t="str">
        <f>HYPERLINK("http://php.net/manual/en/book.pdo.php", "PDO")</f>
        <v>PDO</v>
      </c>
      <c r="D43" s="62"/>
      <c r="E43" s="62"/>
      <c r="F43" s="36"/>
      <c r="G43" s="159"/>
      <c r="H43" s="159"/>
      <c r="I43" s="62"/>
    </row>
    <row r="44" spans="1:9" ht="12.75" customHeight="1" x14ac:dyDescent="0.2">
      <c r="A44" s="65"/>
      <c r="B44" s="65"/>
      <c r="C44" s="24"/>
      <c r="D44" s="65" t="s">
        <v>271</v>
      </c>
      <c r="E44" s="65"/>
      <c r="F44" s="36"/>
      <c r="G44" s="163">
        <f>COUNTIF(F44:F49, "Y")</f>
        <v>0</v>
      </c>
      <c r="H44" s="163">
        <f>COUNTA(F44:F49)</f>
        <v>0</v>
      </c>
      <c r="I44" s="65"/>
    </row>
    <row r="45" spans="1:9" ht="12.75" customHeight="1" x14ac:dyDescent="0.2">
      <c r="A45" s="35"/>
      <c r="B45" s="35"/>
      <c r="C45" s="11"/>
      <c r="D45" s="119" t="str">
        <f>HYPERLINK("http://php.net/manual/en/book.sockets.php","Sockets")</f>
        <v>Sockets</v>
      </c>
      <c r="E45" s="35"/>
      <c r="F45" s="36"/>
      <c r="G45" s="164"/>
      <c r="H45" s="164"/>
      <c r="I45" s="35"/>
    </row>
    <row r="46" spans="1:9" ht="12.75" customHeight="1" x14ac:dyDescent="0.2">
      <c r="A46" s="35"/>
      <c r="B46" s="35"/>
      <c r="C46" s="35"/>
      <c r="D46" s="2" t="str">
        <f>HYPERLINK("http://www.php.net/manual/en/book.intl.php","Internationalization (I18n)")</f>
        <v>Internationalization (I18n)</v>
      </c>
      <c r="E46" s="35"/>
      <c r="F46" s="36"/>
      <c r="G46" s="164"/>
      <c r="H46" s="164"/>
      <c r="I46" s="35"/>
    </row>
    <row r="47" spans="1:9" ht="12.75" customHeight="1" x14ac:dyDescent="0.2">
      <c r="A47" s="35"/>
      <c r="B47" s="35"/>
      <c r="C47" s="35"/>
      <c r="D47" s="51" t="s">
        <v>272</v>
      </c>
      <c r="E47" s="35"/>
      <c r="F47" s="36"/>
      <c r="G47" s="164"/>
      <c r="H47" s="164"/>
      <c r="I47" s="35"/>
    </row>
    <row r="48" spans="1:9" ht="12.75" customHeight="1" x14ac:dyDescent="0.2">
      <c r="A48" s="35"/>
      <c r="B48" s="35"/>
      <c r="C48" s="35"/>
      <c r="D48" s="51" t="str">
        <f>HYPERLINK("https://github.com/php-fig/fig-standards/blob/master/accepted/PSR-0.md", "PSR-0")</f>
        <v>PSR-0</v>
      </c>
      <c r="E48" s="35"/>
      <c r="F48" s="36"/>
      <c r="G48" s="164"/>
      <c r="H48" s="164"/>
      <c r="I48" s="35"/>
    </row>
    <row r="49" spans="1:9" ht="12.75" customHeight="1" x14ac:dyDescent="0.2">
      <c r="A49" s="35"/>
      <c r="B49" s="35"/>
      <c r="C49" s="35"/>
      <c r="D49" s="51" t="str">
        <f>HYPERLINK("http://getcomposer.org/doc/", "Composer")</f>
        <v>Composer</v>
      </c>
      <c r="E49" s="35"/>
      <c r="F49" s="36"/>
      <c r="G49" s="164"/>
      <c r="H49" s="164"/>
      <c r="I49" s="35"/>
    </row>
    <row r="50" spans="1:9" ht="12.75" customHeight="1" x14ac:dyDescent="0.2">
      <c r="A50" s="151" t="s">
        <v>206</v>
      </c>
      <c r="B50" s="151"/>
      <c r="C50" s="151"/>
      <c r="D50" s="152"/>
      <c r="E50" s="151"/>
      <c r="F50" s="151"/>
      <c r="G50" s="175"/>
      <c r="H50" s="176"/>
      <c r="I50" s="151"/>
    </row>
    <row r="51" spans="1:9" ht="12.75" customHeight="1" x14ac:dyDescent="0.2">
      <c r="A51" s="60">
        <f>IFERROR(ROUND((SUM(G4)/SUM(H4)),2),0)</f>
        <v>0</v>
      </c>
      <c r="B51" s="60">
        <f>IFERROR(ROUND((SUM(G21)/SUM(H21)),2),0)</f>
        <v>0</v>
      </c>
      <c r="C51" s="60">
        <f>IFERROR(ROUND((SUM(G32)/SUM(H32)),2),0)</f>
        <v>0</v>
      </c>
      <c r="D51" s="60">
        <f>IFERROR(ROUND((SUM(G44)/SUM(H44)),2),0)</f>
        <v>0</v>
      </c>
      <c r="E51" s="60">
        <v>0</v>
      </c>
      <c r="F51" s="57"/>
      <c r="G51" s="112"/>
      <c r="H51" s="112"/>
      <c r="I51" s="57"/>
    </row>
    <row r="52" spans="1:9" ht="12.75" customHeight="1" x14ac:dyDescent="0.2">
      <c r="A52" s="151" t="s">
        <v>207</v>
      </c>
      <c r="B52" s="155"/>
      <c r="C52" s="155"/>
      <c r="D52" s="155"/>
      <c r="E52" s="155"/>
      <c r="F52" s="155"/>
      <c r="G52" s="174"/>
      <c r="H52" s="174"/>
      <c r="I52" s="155"/>
    </row>
    <row r="53" spans="1:9" ht="12.75" customHeight="1" x14ac:dyDescent="0.2">
      <c r="A53" s="86">
        <v>0.8</v>
      </c>
      <c r="B53" s="86">
        <v>0.8</v>
      </c>
      <c r="C53" s="86">
        <v>0.8</v>
      </c>
      <c r="D53" s="86">
        <v>0.8</v>
      </c>
      <c r="E53" s="86">
        <v>0.8</v>
      </c>
      <c r="F53" s="85"/>
      <c r="G53" s="112"/>
      <c r="H53" s="112"/>
      <c r="I53" s="85"/>
    </row>
    <row r="54" spans="1:9" ht="12.75" customHeight="1" x14ac:dyDescent="0.2">
      <c r="A54" s="87"/>
      <c r="B54" s="88"/>
      <c r="C54" s="88"/>
      <c r="D54" s="88"/>
      <c r="E54" s="89"/>
      <c r="F54" s="32" t="s">
        <v>44</v>
      </c>
      <c r="G54" s="114"/>
      <c r="H54" s="114"/>
      <c r="I54" s="91"/>
    </row>
    <row r="55" spans="1:9" ht="26.25" customHeight="1" x14ac:dyDescent="0.2">
      <c r="A55" s="92" t="e">
        <f ca="1">IF(GTE(A51,A53),"D1", "")</f>
        <v>#NAME?</v>
      </c>
      <c r="B55" s="92" t="e">
        <f ca="1">IF(AND(IF((A55=""), FALSE, TRUE), GTE(B51,B53)),"D2","" )</f>
        <v>#NAME?</v>
      </c>
      <c r="C55" s="92" t="e">
        <f ca="1">IF(AND(IF((B55=""), FALSE, TRUE), GTE(C51,C53)),"D3","")</f>
        <v>#NAME?</v>
      </c>
      <c r="D55" s="92" t="e">
        <f ca="1">IF(AND(IF((C55=""), FALSE, TRUE),GTE(D51,D53)),"D4", "")</f>
        <v>#NAME?</v>
      </c>
      <c r="E55" s="93" t="e">
        <f ca="1">IF(AND(IF((D55=""), FALSE, TRUE), GTE(E51,E53)),"D5", "")</f>
        <v>#NAME?</v>
      </c>
      <c r="F55" s="94" t="e">
        <f>IF(IF((A55=""), FALSE, TRUE),CHOOSE(COUNTA(A55:E55),'Assesment Rules'!B4,'Assesment Rules'!B5,'Assesment Rules'!B6,'Assesment Rules'!B7,'Assesment Rules'!B8), "None")</f>
        <v>#NAME?</v>
      </c>
      <c r="G55" s="112"/>
      <c r="H55" s="112"/>
      <c r="I55" s="57"/>
    </row>
    <row r="56" spans="1:9" ht="75" customHeight="1" x14ac:dyDescent="0.2">
      <c r="A56" s="7"/>
      <c r="B56" s="11"/>
      <c r="C56" s="11"/>
      <c r="D56" s="11"/>
      <c r="E56" s="11"/>
      <c r="F56" s="11"/>
      <c r="G56" s="112"/>
      <c r="H56" s="112"/>
      <c r="I56" s="11"/>
    </row>
    <row r="57" spans="1:9" ht="12.75" customHeight="1" x14ac:dyDescent="0.2">
      <c r="A57" s="141" t="s">
        <v>265</v>
      </c>
      <c r="B57" s="141"/>
      <c r="C57" s="141"/>
      <c r="D57" s="141"/>
      <c r="E57" s="141"/>
      <c r="F57" s="141"/>
      <c r="G57" s="164"/>
      <c r="H57" s="164"/>
      <c r="I57" s="142"/>
    </row>
    <row r="58" spans="1:9" ht="12.75" customHeight="1" x14ac:dyDescent="0.2">
      <c r="A58" s="35" t="s">
        <v>273</v>
      </c>
      <c r="B58" s="36"/>
      <c r="C58" s="35"/>
      <c r="D58" s="2"/>
      <c r="E58" s="35"/>
      <c r="F58" s="11"/>
      <c r="G58" s="56"/>
      <c r="H58" s="56"/>
      <c r="I58" s="35"/>
    </row>
    <row r="59" spans="1:9" ht="12.75" customHeight="1" x14ac:dyDescent="0.2">
      <c r="A59" s="35" t="s">
        <v>274</v>
      </c>
      <c r="B59" s="36"/>
      <c r="C59" s="35"/>
      <c r="D59" s="2"/>
      <c r="E59" s="35"/>
      <c r="F59" s="11"/>
      <c r="G59" s="56"/>
      <c r="H59" s="56"/>
      <c r="I59" s="35"/>
    </row>
    <row r="60" spans="1:9" ht="12.75" customHeight="1" x14ac:dyDescent="0.2">
      <c r="A60" s="35" t="s">
        <v>275</v>
      </c>
      <c r="B60" s="36"/>
      <c r="C60" s="35"/>
      <c r="D60" s="2"/>
      <c r="E60" s="35"/>
      <c r="F60" s="11"/>
      <c r="G60" s="56"/>
      <c r="H60" s="56"/>
      <c r="I60" s="35"/>
    </row>
    <row r="61" spans="1:9" ht="12.75" customHeight="1" x14ac:dyDescent="0.2">
      <c r="A61" s="35" t="s">
        <v>276</v>
      </c>
      <c r="B61" s="36"/>
      <c r="C61" s="35"/>
      <c r="D61" s="2"/>
      <c r="E61" s="35"/>
      <c r="F61" s="11"/>
      <c r="G61" s="56"/>
      <c r="H61" s="56"/>
      <c r="I61" s="35"/>
    </row>
    <row r="62" spans="1:9" ht="12.75" customHeight="1" x14ac:dyDescent="0.2">
      <c r="A62" s="35"/>
      <c r="B62" s="35"/>
      <c r="C62" s="35"/>
      <c r="D62" s="2"/>
      <c r="E62" s="35"/>
      <c r="F62" s="35"/>
      <c r="G62" s="56"/>
      <c r="H62" s="56"/>
      <c r="I62" s="35"/>
    </row>
    <row r="63" spans="1:9" ht="12.75" customHeight="1" x14ac:dyDescent="0.2">
      <c r="A63" s="35"/>
      <c r="B63" s="35"/>
      <c r="C63" s="35"/>
      <c r="D63" s="2"/>
      <c r="E63" s="35"/>
      <c r="F63" s="35"/>
      <c r="G63" s="56"/>
      <c r="H63" s="56"/>
      <c r="I63" s="35"/>
    </row>
    <row r="64" spans="1:9" ht="12.75" customHeight="1" x14ac:dyDescent="0.2">
      <c r="A64" s="35"/>
      <c r="B64" s="35"/>
      <c r="C64" s="35"/>
      <c r="D64" s="2"/>
      <c r="E64" s="35"/>
      <c r="F64" s="35"/>
      <c r="G64" s="56"/>
      <c r="H64" s="56"/>
      <c r="I64" s="35"/>
    </row>
    <row r="65" spans="1:9" ht="12.75" customHeight="1" x14ac:dyDescent="0.2">
      <c r="A65" s="35"/>
      <c r="B65" s="35"/>
      <c r="C65" s="35"/>
      <c r="D65" s="2"/>
      <c r="E65" s="35"/>
      <c r="F65" s="35"/>
      <c r="G65" s="56"/>
      <c r="H65" s="56"/>
      <c r="I65" s="35"/>
    </row>
    <row r="66" spans="1:9" ht="12.75" customHeight="1" x14ac:dyDescent="0.2">
      <c r="A66" s="35"/>
      <c r="B66" s="35"/>
      <c r="C66" s="35"/>
      <c r="D66" s="2"/>
      <c r="E66" s="35"/>
      <c r="F66" s="35"/>
      <c r="G66" s="56"/>
      <c r="H66" s="56"/>
      <c r="I66" s="35"/>
    </row>
    <row r="67" spans="1:9" ht="12.75" customHeight="1" x14ac:dyDescent="0.2">
      <c r="A67" s="35"/>
      <c r="B67" s="35"/>
      <c r="C67" s="35"/>
      <c r="D67" s="2"/>
      <c r="E67" s="35"/>
      <c r="F67" s="35"/>
      <c r="G67" s="56"/>
      <c r="H67" s="56"/>
      <c r="I67" s="35"/>
    </row>
    <row r="68" spans="1:9" ht="12.75" customHeight="1" x14ac:dyDescent="0.2">
      <c r="A68" s="35"/>
      <c r="B68" s="35"/>
      <c r="C68" s="35"/>
      <c r="D68" s="2"/>
      <c r="E68" s="35"/>
      <c r="F68" s="35"/>
      <c r="G68" s="56"/>
      <c r="H68" s="56"/>
      <c r="I68" s="35"/>
    </row>
    <row r="69" spans="1:9" ht="12.75" customHeight="1" x14ac:dyDescent="0.2">
      <c r="A69" s="35"/>
      <c r="B69" s="35"/>
      <c r="C69" s="35"/>
      <c r="D69" s="2"/>
      <c r="E69" s="35"/>
      <c r="F69" s="35"/>
      <c r="G69" s="56"/>
      <c r="H69" s="56"/>
      <c r="I69" s="35"/>
    </row>
    <row r="70" spans="1:9" ht="12.75" customHeight="1" x14ac:dyDescent="0.2">
      <c r="A70" s="35"/>
      <c r="B70" s="35"/>
      <c r="C70" s="35"/>
      <c r="D70" s="2"/>
      <c r="E70" s="35"/>
      <c r="F70" s="35"/>
      <c r="G70" s="56"/>
      <c r="H70" s="56"/>
      <c r="I70" s="35"/>
    </row>
    <row r="71" spans="1:9" ht="12.75" customHeight="1" x14ac:dyDescent="0.2">
      <c r="A71" s="35"/>
      <c r="B71" s="35"/>
      <c r="C71" s="35"/>
      <c r="D71" s="2"/>
      <c r="E71" s="35"/>
      <c r="F71" s="35"/>
      <c r="G71" s="56"/>
      <c r="H71" s="56"/>
      <c r="I71" s="35"/>
    </row>
    <row r="72" spans="1:9" ht="12.75" customHeight="1" x14ac:dyDescent="0.2">
      <c r="A72" s="35"/>
      <c r="B72" s="35"/>
      <c r="C72" s="35"/>
      <c r="D72" s="2"/>
      <c r="E72" s="35"/>
      <c r="F72" s="35"/>
      <c r="G72" s="56"/>
      <c r="H72" s="56"/>
      <c r="I72" s="35"/>
    </row>
  </sheetData>
  <mergeCells count="13">
    <mergeCell ref="A1:E1"/>
    <mergeCell ref="A3:I3"/>
    <mergeCell ref="G4:G20"/>
    <mergeCell ref="H4:H20"/>
    <mergeCell ref="G21:G30"/>
    <mergeCell ref="H21:H30"/>
    <mergeCell ref="A52:I52"/>
    <mergeCell ref="A57:I57"/>
    <mergeCell ref="G32:G43"/>
    <mergeCell ref="H32:H43"/>
    <mergeCell ref="G44:G49"/>
    <mergeCell ref="H44:H49"/>
    <mergeCell ref="A50:I50"/>
  </mergeCells>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a0841da1-fdea-4cc6-8667-9015efabbc63">MFVQR3Q6ZRKZ-3-36</_dlc_DocId>
    <_dlc_DocIdUrl xmlns="a0841da1-fdea-4cc6-8667-9015efabbc63">
      <Url>https://sharepoint.epam.com/project/epm-asmt/_layouts/DocIdRedir.aspx?ID=MFVQR3Q6ZRKZ-3-36</Url>
      <Description>MFVQR3Q6ZRKZ-3-36</Description>
    </_dlc_DocIdUrl>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B902039CC573F948AEF7CE39C38DD110" ma:contentTypeVersion="1" ma:contentTypeDescription="Create a new document." ma:contentTypeScope="" ma:versionID="6aca45054575a3250458c6f8779bfa07">
  <xsd:schema xmlns:xsd="http://www.w3.org/2001/XMLSchema" xmlns:xs="http://www.w3.org/2001/XMLSchema" xmlns:p="http://schemas.microsoft.com/office/2006/metadata/properties" xmlns:ns2="a0841da1-fdea-4cc6-8667-9015efabbc63" targetNamespace="http://schemas.microsoft.com/office/2006/metadata/properties" ma:root="true" ma:fieldsID="e19af6da5f8199e374ea4ca9c1b9e417" ns2:_="">
    <xsd:import namespace="a0841da1-fdea-4cc6-8667-9015efabbc63"/>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841da1-fdea-4cc6-8667-9015efabbc63"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2B08F29-B124-412F-9B7D-42952E80E014}">
  <ds:schemaRefs>
    <ds:schemaRef ds:uri="http://schemas.microsoft.com/office/2006/metadata/properties"/>
    <ds:schemaRef ds:uri="http://schemas.microsoft.com/office/infopath/2007/PartnerControls"/>
    <ds:schemaRef ds:uri="a0841da1-fdea-4cc6-8667-9015efabbc63"/>
  </ds:schemaRefs>
</ds:datastoreItem>
</file>

<file path=customXml/itemProps2.xml><?xml version="1.0" encoding="utf-8"?>
<ds:datastoreItem xmlns:ds="http://schemas.openxmlformats.org/officeDocument/2006/customXml" ds:itemID="{452EE41D-8799-4CC6-83B0-3985D7642CD0}">
  <ds:schemaRefs>
    <ds:schemaRef ds:uri="http://schemas.microsoft.com/sharepoint/events"/>
  </ds:schemaRefs>
</ds:datastoreItem>
</file>

<file path=customXml/itemProps3.xml><?xml version="1.0" encoding="utf-8"?>
<ds:datastoreItem xmlns:ds="http://schemas.openxmlformats.org/officeDocument/2006/customXml" ds:itemID="{3766BB56-19D8-4B2A-B6D0-B52E9B06CB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841da1-fdea-4cc6-8667-9015efabbc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058A4E5-3DED-41E3-BE34-D97427B3062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Assesment Rules</vt:lpstr>
      <vt:lpstr>Career Path</vt:lpstr>
      <vt:lpstr>Profile Summary</vt:lpstr>
      <vt:lpstr>Non-technical Skills</vt:lpstr>
      <vt:lpstr>Management Skills</vt:lpstr>
      <vt:lpstr>Software Architecture</vt:lpstr>
      <vt:lpstr>Dev General Skills</vt:lpstr>
      <vt:lpstr>.NET</vt:lpstr>
      <vt:lpstr>PHP</vt:lpstr>
      <vt:lpstr>JAVA</vt:lpstr>
      <vt:lpstr>RelationDB</vt:lpstr>
      <vt:lpstr>'Profile Summary'!dlevels</vt:lpstr>
      <vt:lpstr>dlevels</vt:lpstr>
      <vt:lpstr>'Profile Summary'!yesno</vt:lpstr>
      <vt:lpstr>yesno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Tserakhau</dc:creator>
  <cp:lastModifiedBy>Andrei Tserakhau</cp:lastModifiedBy>
  <dcterms:created xsi:type="dcterms:W3CDTF">2013-06-25T10:36:30Z</dcterms:created>
  <dcterms:modified xsi:type="dcterms:W3CDTF">2014-01-09T13:14:26Z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0x010100B902039CC573F948AEF7CE39C38DD110</vt:lpwstr>
  </property>
  <property fmtid="{D5CDD505-2E9C-101B-9397-08002B2CF9AE}" pid="3" name="_dlc_DocIdItemGuid">
    <vt:lpwstr>a751a6e4-539c-4cf0-909d-0661d7eb9715</vt:lpwstr>
  </property>
</Properties>
</file>