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8D95767D-3529-4C8C-97A0-DDD914D7D204}" xr6:coauthVersionLast="47" xr6:coauthVersionMax="47" xr10:uidLastSave="{00000000-0000-0000-0000-000000000000}"/>
  <bookViews>
    <workbookView xWindow="-120" yWindow="-120" windowWidth="29040" windowHeight="15840" tabRatio="489" activeTab="4" xr2:uid="{00000000-000D-0000-FFFF-FFFF00000000}"/>
  </bookViews>
  <sheets>
    <sheet name="Summary" sheetId="1" r:id="rId1"/>
    <sheet name="STG" sheetId="2" r:id="rId2"/>
    <sheet name="HDL" sheetId="7" r:id="rId3"/>
    <sheet name="HCM" sheetId="4" r:id="rId4"/>
    <sheet name="Rec" sheetId="5" r:id="rId5"/>
  </sheets>
  <definedNames>
    <definedName name="_xlnm._FilterDatabase" localSheetId="3" hidden="1">HCM!$A$2:$N$4</definedName>
    <definedName name="_xlnm._FilterDatabase" localSheetId="4" hidden="1">Rec!$A$2:$O$4</definedName>
    <definedName name="_xlnm._FilterDatabase" localSheetId="1" hidden="1">STG!$A$2:$AT$2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O3" i="5" s="1"/>
  <c r="A4" i="7"/>
  <c r="A3" i="7"/>
  <c r="A3" i="4"/>
  <c r="B4" i="5" s="1"/>
  <c r="A4" i="4"/>
  <c r="A3" i="2"/>
  <c r="B10" i="1"/>
  <c r="C10" i="1"/>
  <c r="C4" i="5" l="1"/>
  <c r="E3" i="5"/>
  <c r="I3" i="5"/>
  <c r="C3" i="5"/>
  <c r="G3" i="5"/>
  <c r="D3" i="5"/>
  <c r="H3" i="5"/>
  <c r="J3" i="5"/>
  <c r="L3" i="5"/>
  <c r="N3" i="5"/>
  <c r="F3" i="5"/>
  <c r="K3" i="5"/>
  <c r="M3" i="5"/>
  <c r="A4" i="2"/>
  <c r="O4" i="5" s="1"/>
  <c r="D10" i="1"/>
  <c r="L4" i="5" l="1"/>
  <c r="M4" i="5"/>
  <c r="F4" i="5"/>
  <c r="G4" i="5"/>
  <c r="E4" i="5"/>
  <c r="I4" i="5"/>
  <c r="N4" i="5"/>
  <c r="H4" i="5"/>
  <c r="D4" i="5"/>
  <c r="K4" i="5"/>
  <c r="J4" i="5"/>
  <c r="H15" i="1"/>
  <c r="H14" i="1"/>
  <c r="H13" i="1"/>
  <c r="H12" i="1"/>
  <c r="L15" i="1"/>
  <c r="L14" i="1"/>
  <c r="L13" i="1"/>
  <c r="L12" i="1"/>
  <c r="P15" i="1"/>
  <c r="P14" i="1"/>
  <c r="P13" i="1"/>
  <c r="P12" i="1"/>
  <c r="G15" i="1"/>
  <c r="G14" i="1"/>
  <c r="G13" i="1"/>
  <c r="G12" i="1"/>
  <c r="K15" i="1"/>
  <c r="K14" i="1"/>
  <c r="K13" i="1"/>
  <c r="K12" i="1"/>
  <c r="O15" i="1"/>
  <c r="O14" i="1"/>
  <c r="O13" i="1"/>
  <c r="O12" i="1"/>
  <c r="F15" i="1"/>
  <c r="F14" i="1"/>
  <c r="F13" i="1"/>
  <c r="F12" i="1"/>
  <c r="J15" i="1"/>
  <c r="J14" i="1"/>
  <c r="J13" i="1"/>
  <c r="J12" i="1"/>
  <c r="N15" i="1"/>
  <c r="N14" i="1"/>
  <c r="N13" i="1"/>
  <c r="N12" i="1"/>
  <c r="R15" i="1"/>
  <c r="R14" i="1"/>
  <c r="R13" i="1"/>
  <c r="R12" i="1"/>
  <c r="I15" i="1"/>
  <c r="I14" i="1"/>
  <c r="I13" i="1"/>
  <c r="I12" i="1"/>
  <c r="M15" i="1"/>
  <c r="M14" i="1"/>
  <c r="M13" i="1"/>
  <c r="M12" i="1"/>
  <c r="Q14" i="1"/>
  <c r="Q13" i="1"/>
  <c r="Q12" i="1"/>
  <c r="Q15" i="1"/>
  <c r="I16" i="1" l="1"/>
  <c r="R16" i="1"/>
  <c r="J16" i="1"/>
  <c r="O16" i="1"/>
  <c r="K16" i="1"/>
  <c r="G16" i="1"/>
  <c r="P16" i="1"/>
  <c r="L16" i="1"/>
  <c r="H16" i="1"/>
  <c r="M16" i="1"/>
  <c r="N16" i="1"/>
  <c r="F16" i="1"/>
  <c r="D12" i="1"/>
  <c r="D14" i="1"/>
  <c r="Q16" i="1"/>
  <c r="D13" i="1"/>
  <c r="D15" i="1"/>
</calcChain>
</file>

<file path=xl/sharedStrings.xml><?xml version="1.0" encoding="utf-8"?>
<sst xmlns="http://schemas.openxmlformats.org/spreadsheetml/2006/main" count="185" uniqueCount="117">
  <si>
    <t>Data Migration Phase 1a Reconciliations</t>
  </si>
  <si>
    <t>Functional Area</t>
  </si>
  <si>
    <t>Business Object</t>
  </si>
  <si>
    <t>Entity</t>
  </si>
  <si>
    <t>Date</t>
  </si>
  <si>
    <t>Summary</t>
  </si>
  <si>
    <t>Staging</t>
  </si>
  <si>
    <t>HDL</t>
  </si>
  <si>
    <t>HCM</t>
  </si>
  <si>
    <t>SOURCE_SYSTEM_REFERENCE</t>
  </si>
  <si>
    <t>TARGET_SYSTEM_REFERENCE</t>
  </si>
  <si>
    <t>ADDRESS_EFFECTIVE_START_DATE</t>
  </si>
  <si>
    <t>ADDRESS_EFFECTIVE_END_DATE</t>
  </si>
  <si>
    <t>ADDRESS_TYPE</t>
  </si>
  <si>
    <t>ADDRESS_LINE1</t>
  </si>
  <si>
    <t>ADDRESS_LINE2</t>
  </si>
  <si>
    <t>ADDRESS_LINE3</t>
  </si>
  <si>
    <t>ADDRESS_LINE4</t>
  </si>
  <si>
    <t>BUILDING</t>
  </si>
  <si>
    <t>FLOOR_NUMBER</t>
  </si>
  <si>
    <t>TOWN_OR_CITY</t>
  </si>
  <si>
    <t>REGION1</t>
  </si>
  <si>
    <t>REGION2</t>
  </si>
  <si>
    <t>REGION3</t>
  </si>
  <si>
    <t>COUNTRY</t>
  </si>
  <si>
    <t>POSTAL_CODE</t>
  </si>
  <si>
    <t>LONG_POSTAL_CODE</t>
  </si>
  <si>
    <t>TIME_ZONE_CODE</t>
  </si>
  <si>
    <t>ADDRESS_PRIMARY_FLAG</t>
  </si>
  <si>
    <t>ADDL_ADDRESS_ATTRIBUTE1</t>
  </si>
  <si>
    <t>ADDL_ADDRESS_ATTRIBUTE2</t>
  </si>
  <si>
    <t>ADDL_ADDRESS_ATTRIBUTE3</t>
  </si>
  <si>
    <t>ADDL_ADDRESS_ATTRIBUTE4</t>
  </si>
  <si>
    <t>ADDL_ADDRESS_ATTRIBUTE5</t>
  </si>
  <si>
    <t>SOURCE_SYSTEM_OWNER</t>
  </si>
  <si>
    <t>SOURCE_SYSTEM_ID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</si>
  <si>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</si>
  <si>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</si>
  <si>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</si>
  <si>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</si>
  <si>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</si>
  <si>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</si>
  <si>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</si>
  <si>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</si>
  <si>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</si>
  <si>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</si>
  <si>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</si>
  <si>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</si>
  <si>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</si>
  <si>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</si>
  <si>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</si>
  <si>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</si>
  <si>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</si>
  <si>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PERSON_NUMBER</t>
  </si>
  <si>
    <t>METADATA</t>
  </si>
  <si>
    <t>PersonAddress</t>
  </si>
  <si>
    <t>EFFECTIVE_START_DATE</t>
  </si>
  <si>
    <t>EFFECTIVE_END_DATE</t>
  </si>
  <si>
    <t>ADDRESS_LINE_1</t>
  </si>
  <si>
    <t>ADDRESS_LINE_2</t>
  </si>
  <si>
    <t>ADDRESS_LINE_3</t>
  </si>
  <si>
    <t>ADDRESS_LINE_4</t>
  </si>
  <si>
    <t>REGION_1</t>
  </si>
  <si>
    <t>Loaded?</t>
  </si>
  <si>
    <t>Not Loaded</t>
  </si>
  <si>
    <t>STG&lt;&gt;HDL</t>
  </si>
  <si>
    <t>HCM&lt;&gt;HDL</t>
  </si>
  <si>
    <t>Loaded OK</t>
  </si>
  <si>
    <t>UNIQUE ID</t>
  </si>
  <si>
    <t>Unique identifier</t>
  </si>
  <si>
    <t>Unique Identifier</t>
  </si>
  <si>
    <t>PERSON NUM</t>
  </si>
  <si>
    <t>Per Num</t>
  </si>
  <si>
    <t>Total</t>
  </si>
  <si>
    <t>Person Address</t>
  </si>
  <si>
    <t>Worker</t>
  </si>
  <si>
    <t>Record Count</t>
  </si>
  <si>
    <t>Reconciliation Results</t>
  </si>
  <si>
    <t>Environment</t>
  </si>
  <si>
    <t>CR3</t>
  </si>
  <si>
    <t>12 Capern Grove</t>
  </si>
  <si>
    <t>Birmingham</t>
  </si>
  <si>
    <t>GB</t>
  </si>
  <si>
    <t>B32 2JJ</t>
  </si>
  <si>
    <t>HOME</t>
  </si>
  <si>
    <t>West Midlands</t>
  </si>
  <si>
    <t>Edgbaston</t>
  </si>
  <si>
    <t>Northfield</t>
  </si>
  <si>
    <t>B31 2QB</t>
  </si>
  <si>
    <t>B15 3HS</t>
  </si>
  <si>
    <t>156 Winchester Gardens</t>
  </si>
  <si>
    <t>Vicarage Road</t>
  </si>
  <si>
    <t>9 Hartley Place</t>
  </si>
  <si>
    <t>Y</t>
  </si>
  <si>
    <t/>
  </si>
  <si>
    <t>SIVA</t>
  </si>
  <si>
    <t>DATA_MIGRATION</t>
  </si>
  <si>
    <t>PER_1000175_ADR_HOME</t>
  </si>
  <si>
    <t>PER_1000175_ADR_MAIL</t>
  </si>
  <si>
    <t>PER_INFO_14MAY2019</t>
  </si>
  <si>
    <t>14-MAY-2019</t>
  </si>
  <si>
    <t>EFFECTIVESTARTDATE</t>
  </si>
  <si>
    <t>EFFECTIVEENDDATE</t>
  </si>
  <si>
    <t>ADDRESSTYPE</t>
  </si>
  <si>
    <t>PERSONNUMBER</t>
  </si>
  <si>
    <t>ADDRESSLINE1</t>
  </si>
  <si>
    <t>ADDRESSLINE2</t>
  </si>
  <si>
    <t>ADDRESSLINE3</t>
  </si>
  <si>
    <t>ADDRESSLINE4</t>
  </si>
  <si>
    <t>TOWNORCITY</t>
  </si>
  <si>
    <t>POSTALCODE</t>
  </si>
  <si>
    <t>LONGPOSTALCODE</t>
  </si>
  <si>
    <t>PRIMARYFLAG</t>
  </si>
  <si>
    <t>SOURCESYSTEMOWNER</t>
  </si>
  <si>
    <t>SOURCESYSTEMID</t>
  </si>
  <si>
    <t>12440_HOME</t>
  </si>
  <si>
    <t>188_HOME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</si>
</sst>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Tahoma"/>
    </font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rgb="FFCFE0F1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0" xfId="0" applyNumberFormat="1"/>
    <xf numFmtId="0" fontId="3" fillId="4" borderId="2" xfId="0" applyFont="1" applyFill="1" applyBorder="1" applyAlignment="1">
      <alignment horizontal="left" vertical="top" wrapText="1"/>
    </xf>
    <xf numFmtId="49" fontId="3" fillId="4" borderId="2" xfId="0" applyNumberFormat="1" applyFont="1" applyFill="1" applyBorder="1" applyAlignment="1">
      <alignment horizontal="left" vertical="top" wrapText="1"/>
    </xf>
    <xf numFmtId="0" fontId="2" fillId="9" borderId="3" xfId="0" applyFont="1" applyFill="1" applyBorder="1"/>
    <xf numFmtId="0" fontId="0" fillId="7" borderId="3" xfId="0" applyFill="1" applyBorder="1"/>
    <xf numFmtId="0" fontId="0" fillId="5" borderId="3" xfId="0" applyFill="1" applyBorder="1"/>
    <xf numFmtId="0" fontId="0" fillId="0" borderId="0" xfId="0" applyAlignment="1">
      <alignment horizontal="center" vertical="center"/>
    </xf>
    <xf numFmtId="0" fontId="0" fillId="6" borderId="0" xfId="0" applyFill="1"/>
    <xf numFmtId="0" fontId="2" fillId="1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11" borderId="3" xfId="0" applyFill="1" applyBorder="1"/>
    <xf numFmtId="0" fontId="2" fillId="11" borderId="3" xfId="0" applyFont="1" applyFill="1" applyBorder="1"/>
    <xf numFmtId="0" fontId="1" fillId="3" borderId="3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7" borderId="3" xfId="0" applyFill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14" fontId="4" fillId="0" borderId="2" xfId="0" applyNumberFormat="1" applyFont="1" applyBorder="1" applyAlignment="1">
      <alignment horizontal="left" vertical="top" wrapText="1"/>
    </xf>
    <xf numFmtId="0" fontId="5" fillId="0" borderId="0" xfId="1" applyAlignment="1">
      <alignment wrapText="1"/>
    </xf>
    <xf numFmtId="0" fontId="5" fillId="0" borderId="0" xfId="1"/>
    <xf numFmtId="15" fontId="5" fillId="0" borderId="0" xfId="1" applyNumberFormat="1"/>
    <xf numFmtId="0" fontId="0" fillId="8" borderId="3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ont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314857</xdr:colOff>
      <xdr:row>3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6"/>
  <sheetViews>
    <sheetView workbookViewId="0">
      <selection activeCell="J14" sqref="J14"/>
    </sheetView>
  </sheetViews>
  <sheetFormatPr defaultRowHeight="15" x14ac:dyDescent="0.25"/>
  <cols>
    <col min="1" max="1" width="12.85546875" bestFit="1" customWidth="1"/>
    <col min="2" max="2" width="7.42578125" bestFit="1" customWidth="1"/>
    <col min="3" max="4" width="6" bestFit="1" customWidth="1"/>
    <col min="5" max="5" width="11.140625" bestFit="1" customWidth="1"/>
    <col min="8" max="8" width="9.7109375" bestFit="1" customWidth="1"/>
    <col min="10" max="10" width="13.140625" customWidth="1"/>
  </cols>
  <sheetData>
    <row r="1" spans="1:18" x14ac:dyDescent="0.25">
      <c r="H1" t="s">
        <v>0</v>
      </c>
    </row>
    <row r="2" spans="1:18" x14ac:dyDescent="0.25">
      <c r="H2" t="s">
        <v>1</v>
      </c>
      <c r="J2" t="s">
        <v>8</v>
      </c>
    </row>
    <row r="3" spans="1:18" x14ac:dyDescent="0.25">
      <c r="H3" t="s">
        <v>2</v>
      </c>
      <c r="J3" t="s">
        <v>75</v>
      </c>
    </row>
    <row r="4" spans="1:18" x14ac:dyDescent="0.25">
      <c r="H4" t="s">
        <v>3</v>
      </c>
      <c r="J4" t="s">
        <v>74</v>
      </c>
    </row>
    <row r="5" spans="1:18" x14ac:dyDescent="0.25">
      <c r="H5" t="s">
        <v>78</v>
      </c>
      <c r="J5" t="s">
        <v>79</v>
      </c>
    </row>
    <row r="6" spans="1:18" x14ac:dyDescent="0.25">
      <c r="H6" t="s">
        <v>4</v>
      </c>
      <c r="J6" s="6">
        <v>43601</v>
      </c>
    </row>
    <row r="8" spans="1:18" x14ac:dyDescent="0.25">
      <c r="F8" s="31" t="s">
        <v>77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 ht="31.5" x14ac:dyDescent="0.25">
      <c r="A9" s="14" t="s">
        <v>5</v>
      </c>
      <c r="B9" s="14" t="s">
        <v>6</v>
      </c>
      <c r="C9" s="14" t="s">
        <v>7</v>
      </c>
      <c r="D9" s="14" t="s">
        <v>8</v>
      </c>
      <c r="E9" s="12"/>
      <c r="F9" s="21" t="s">
        <v>53</v>
      </c>
      <c r="G9" s="21" t="s">
        <v>56</v>
      </c>
      <c r="H9" s="21" t="s">
        <v>57</v>
      </c>
      <c r="I9" s="21" t="s">
        <v>13</v>
      </c>
      <c r="J9" s="21" t="s">
        <v>58</v>
      </c>
      <c r="K9" s="21" t="s">
        <v>59</v>
      </c>
      <c r="L9" s="21" t="s">
        <v>60</v>
      </c>
      <c r="M9" s="21" t="s">
        <v>61</v>
      </c>
      <c r="N9" s="21" t="s">
        <v>20</v>
      </c>
      <c r="O9" s="21" t="s">
        <v>62</v>
      </c>
      <c r="P9" s="21" t="s">
        <v>24</v>
      </c>
      <c r="Q9" s="21" t="s">
        <v>25</v>
      </c>
      <c r="R9" s="21" t="s">
        <v>26</v>
      </c>
    </row>
    <row r="10" spans="1:18" x14ac:dyDescent="0.25">
      <c r="A10" s="13" t="s">
        <v>76</v>
      </c>
      <c r="B10" s="15">
        <f>COUNTA(STG!H3:H6312)</f>
        <v>2</v>
      </c>
      <c r="C10" s="15">
        <f>COUNTA(STG!I3:I6312)</f>
        <v>2</v>
      </c>
      <c r="D10">
        <f>COUNTA(HCM!B3:B6445)</f>
        <v>2</v>
      </c>
    </row>
    <row r="12" spans="1:18" x14ac:dyDescent="0.25">
      <c r="D12" s="25">
        <f>MAX(F12:R12)</f>
        <v>0</v>
      </c>
      <c r="E12" s="10" t="s">
        <v>64</v>
      </c>
      <c r="F12" s="19">
        <f>COUNTIF(Rec!C$3:C$6318,"Not Loaded")</f>
        <v>0</v>
      </c>
      <c r="G12" s="19">
        <f>COUNTIF(Rec!D$3:D$6318,"Not Loaded")</f>
        <v>0</v>
      </c>
      <c r="H12" s="19">
        <f>COUNTIF(Rec!E$3:E$6318,"Not Loaded")</f>
        <v>0</v>
      </c>
      <c r="I12" s="19">
        <f>COUNTIF(Rec!F$3:F$6318,"Not Loaded")</f>
        <v>0</v>
      </c>
      <c r="J12" s="19">
        <f>COUNTIF(Rec!G$3:G$6318,"Not Loaded")</f>
        <v>0</v>
      </c>
      <c r="K12" s="19">
        <f>COUNTIF(Rec!H$3:H$6318,"Not Loaded")</f>
        <v>0</v>
      </c>
      <c r="L12" s="19">
        <f>COUNTIF(Rec!I$3:I$6318,"Not Loaded")</f>
        <v>0</v>
      </c>
      <c r="M12" s="19">
        <f>COUNTIF(Rec!J$3:J$6318,"Not Loaded")</f>
        <v>0</v>
      </c>
      <c r="N12" s="19">
        <f>COUNTIF(Rec!K$3:K$6318,"Not Loaded")</f>
        <v>0</v>
      </c>
      <c r="O12" s="19">
        <f>COUNTIF(Rec!L$3:L$6318,"Not Loaded")</f>
        <v>0</v>
      </c>
      <c r="P12" s="19">
        <f>COUNTIF(Rec!M$3:M$6318,"Not Loaded")</f>
        <v>0</v>
      </c>
      <c r="Q12" s="19">
        <f>COUNTIF(Rec!N$3:N$6318,"Not Loaded")</f>
        <v>0</v>
      </c>
      <c r="R12" s="19">
        <f>COUNTIF(Rec!O$3:O$6318,"Not Loaded")</f>
        <v>0</v>
      </c>
    </row>
    <row r="13" spans="1:18" x14ac:dyDescent="0.25">
      <c r="D13" s="17">
        <f>SUM(F13:R13)</f>
        <v>10</v>
      </c>
      <c r="E13" s="11" t="s">
        <v>65</v>
      </c>
      <c r="F13" s="19">
        <f>COUNTIF(Rec!C$3:C$6318,"STG&lt;&gt;HDL")</f>
        <v>0</v>
      </c>
      <c r="G13" s="19">
        <f>COUNTIF(Rec!D$3:D$6318,"STG&lt;&gt;HDL")</f>
        <v>2</v>
      </c>
      <c r="H13" s="19">
        <f>COUNTIF(Rec!E$3:E$6318,"STG&lt;&gt;HDL")</f>
        <v>0</v>
      </c>
      <c r="I13" s="19">
        <f>COUNTIF(Rec!F$3:F$6318,"STG&lt;&gt;HDL")</f>
        <v>0</v>
      </c>
      <c r="J13" s="19">
        <f>COUNTIF(Rec!G$3:G$6318,"STG&lt;&gt;HDL")</f>
        <v>2</v>
      </c>
      <c r="K13" s="19">
        <f>COUNTIF(Rec!H$3:H$6318,"STG&lt;&gt;HDL")</f>
        <v>2</v>
      </c>
      <c r="L13" s="19">
        <f>COUNTIF(Rec!I$3:I$6318,"STG&lt;&gt;HDL")</f>
        <v>1</v>
      </c>
      <c r="M13" s="19">
        <f>COUNTIF(Rec!J$3:J$6318,"STG&lt;&gt;HDL")</f>
        <v>0</v>
      </c>
      <c r="N13" s="19">
        <f>COUNTIF(Rec!K$3:K$6318,"STG&lt;&gt;HDL")</f>
        <v>0</v>
      </c>
      <c r="O13" s="19">
        <f>COUNTIF(Rec!L$3:L$6318,"STG&lt;&gt;HDL")</f>
        <v>1</v>
      </c>
      <c r="P13" s="19">
        <f>COUNTIF(Rec!M$3:M$6318,"STG&lt;&gt;HDL")</f>
        <v>0</v>
      </c>
      <c r="Q13" s="19">
        <f>COUNTIF(Rec!N$3:N$6318,"STG&lt;&gt;HDL")</f>
        <v>2</v>
      </c>
      <c r="R13" s="19">
        <f>COUNTIF(Rec!O$3:O$6318,"STG&lt;&gt;HDL")</f>
        <v>0</v>
      </c>
    </row>
    <row r="14" spans="1:18" x14ac:dyDescent="0.25">
      <c r="D14" s="17">
        <f>SUM(F14:R14)</f>
        <v>0</v>
      </c>
      <c r="E14" s="11" t="s">
        <v>66</v>
      </c>
      <c r="F14" s="19">
        <f>COUNTIF(Rec!C$3:C$6318,"HCM&lt;&gt;HDL")</f>
        <v>0</v>
      </c>
      <c r="G14" s="19">
        <f>COUNTIF(Rec!D$3:D$6318,"HCM&lt;&gt;HDL")</f>
        <v>0</v>
      </c>
      <c r="H14" s="19">
        <f>COUNTIF(Rec!E$3:E$6318,"HCM&lt;&gt;HDL")</f>
        <v>0</v>
      </c>
      <c r="I14" s="19">
        <f>COUNTIF(Rec!F$3:F$6318,"HCM&lt;&gt;HDL")</f>
        <v>0</v>
      </c>
      <c r="J14" s="19">
        <f>COUNTIF(Rec!G$3:G$6318,"HCM&lt;&gt;HDL")</f>
        <v>0</v>
      </c>
      <c r="K14" s="19">
        <f>COUNTIF(Rec!H$3:H$6318,"HCM&lt;&gt;HDL")</f>
        <v>0</v>
      </c>
      <c r="L14" s="19">
        <f>COUNTIF(Rec!I$3:I$6318,"HCM&lt;&gt;HDL")</f>
        <v>0</v>
      </c>
      <c r="M14" s="19">
        <f>COUNTIF(Rec!J$3:J$6318,"HCM&lt;&gt;HDL")</f>
        <v>0</v>
      </c>
      <c r="N14" s="19">
        <f>COUNTIF(Rec!K$3:K$6318,"HCM&lt;&gt;HDL")</f>
        <v>0</v>
      </c>
      <c r="O14" s="19">
        <f>COUNTIF(Rec!L$3:L$6318,"HCM&lt;&gt;HDL")</f>
        <v>0</v>
      </c>
      <c r="P14" s="19">
        <f>COUNTIF(Rec!M$3:M$6318,"HCM&lt;&gt;HDL")</f>
        <v>0</v>
      </c>
      <c r="Q14" s="19">
        <f>COUNTIF(Rec!N$3:N$6318,"HCM&lt;&gt;HDL")</f>
        <v>0</v>
      </c>
      <c r="R14" s="19">
        <f>COUNTIF(Rec!O$3:O$6318,"HCM&lt;&gt;HDL")</f>
        <v>0</v>
      </c>
    </row>
    <row r="15" spans="1:18" x14ac:dyDescent="0.25">
      <c r="D15" s="18">
        <f>MIN(F15:R15)</f>
        <v>0</v>
      </c>
      <c r="E15" s="9" t="s">
        <v>67</v>
      </c>
      <c r="F15" s="20">
        <f>COUNTIF(Rec!C$3:C$6318,"OK")</f>
        <v>2</v>
      </c>
      <c r="G15" s="20">
        <f>COUNTIF(Rec!D$3:D$6318,"OK")</f>
        <v>0</v>
      </c>
      <c r="H15" s="20">
        <f>COUNTIF(Rec!E$3:E$6318,"OK")</f>
        <v>2</v>
      </c>
      <c r="I15" s="20">
        <f>COUNTIF(Rec!F$3:F$6318,"OK")</f>
        <v>2</v>
      </c>
      <c r="J15" s="20">
        <f>COUNTIF(Rec!G$3:G$6318,"OK")</f>
        <v>0</v>
      </c>
      <c r="K15" s="20">
        <f>COUNTIF(Rec!H$3:H$6318,"OK")</f>
        <v>0</v>
      </c>
      <c r="L15" s="20">
        <f>COUNTIF(Rec!I$3:I$6318,"OK")</f>
        <v>1</v>
      </c>
      <c r="M15" s="20">
        <f>COUNTIF(Rec!J$3:J$6318,"OK")</f>
        <v>2</v>
      </c>
      <c r="N15" s="20">
        <f>COUNTIF(Rec!K$3:K$6318,"OK")</f>
        <v>2</v>
      </c>
      <c r="O15" s="20">
        <f>COUNTIF(Rec!L$3:L$6318,"OK")</f>
        <v>1</v>
      </c>
      <c r="P15" s="20">
        <f>COUNTIF(Rec!M$3:M$6318,"OK")</f>
        <v>2</v>
      </c>
      <c r="Q15" s="20">
        <f>COUNTIF(Rec!N$3:N$6318,"OK")</f>
        <v>0</v>
      </c>
      <c r="R15" s="20">
        <f>COUNTIF(Rec!O$3:O$6318,"OK")</f>
        <v>2</v>
      </c>
    </row>
    <row r="16" spans="1:18" x14ac:dyDescent="0.25">
      <c r="D16" s="22"/>
      <c r="E16" s="16" t="s">
        <v>73</v>
      </c>
      <c r="F16" s="19">
        <f>SUM(F12:F15)</f>
        <v>2</v>
      </c>
      <c r="G16" s="19">
        <f t="shared" ref="G16:R16" si="0">SUM(G12:G15)</f>
        <v>2</v>
      </c>
      <c r="H16" s="19">
        <f t="shared" si="0"/>
        <v>2</v>
      </c>
      <c r="I16" s="19">
        <f t="shared" si="0"/>
        <v>2</v>
      </c>
      <c r="J16" s="19">
        <f t="shared" si="0"/>
        <v>2</v>
      </c>
      <c r="K16" s="19">
        <f t="shared" si="0"/>
        <v>2</v>
      </c>
      <c r="L16" s="19">
        <f t="shared" si="0"/>
        <v>2</v>
      </c>
      <c r="M16" s="19">
        <f t="shared" si="0"/>
        <v>2</v>
      </c>
      <c r="N16" s="19">
        <f t="shared" si="0"/>
        <v>2</v>
      </c>
      <c r="O16" s="19">
        <f t="shared" si="0"/>
        <v>2</v>
      </c>
      <c r="P16" s="19">
        <f t="shared" si="0"/>
        <v>2</v>
      </c>
      <c r="Q16" s="19">
        <f t="shared" si="0"/>
        <v>2</v>
      </c>
      <c r="R16" s="19">
        <f t="shared" si="0"/>
        <v>2</v>
      </c>
    </row>
  </sheetData>
  <mergeCells count="1">
    <mergeCell ref="F8:R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1:AT4"/>
  <sheetViews>
    <sheetView workbookViewId="0">
      <pane ySplit="2" topLeftCell="A3" activePane="bottomLeft" state="frozen"/>
      <selection activeCell="H10" sqref="H10"/>
      <selection pane="bottomLeft" activeCell="E17" sqref="E17"/>
    </sheetView>
  </sheetViews>
  <sheetFormatPr defaultRowHeight="15" x14ac:dyDescent="0.25"/>
  <cols>
    <col min="1" max="1" width="16.42578125" bestFit="1" customWidth="1"/>
    <col min="4" max="4" width="31.7109375" bestFit="1" customWidth="1"/>
    <col min="5" max="5" width="30" bestFit="1" customWidth="1"/>
    <col min="7" max="7" width="10.140625" customWidth="1"/>
    <col min="8" max="8" width="35.5703125" bestFit="1" customWidth="1"/>
    <col min="9" max="9" width="33.28515625" bestFit="1" customWidth="1"/>
  </cols>
  <sheetData>
    <row r="1" spans="1:4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</row>
    <row r="2" spans="1:46" s="23" customFormat="1" ht="60" x14ac:dyDescent="0.25">
      <c r="A2" s="23" t="s">
        <v>70</v>
      </c>
      <c r="B2" s="23" t="s">
        <v>9</v>
      </c>
      <c r="C2" s="23" t="s">
        <v>10</v>
      </c>
      <c r="D2" s="23" t="s">
        <v>11</v>
      </c>
      <c r="E2" s="23" t="s">
        <v>12</v>
      </c>
      <c r="F2" s="23" t="s">
        <v>13</v>
      </c>
      <c r="G2" s="23" t="s">
        <v>71</v>
      </c>
      <c r="H2" s="24" t="s">
        <v>14</v>
      </c>
      <c r="I2" s="23" t="s">
        <v>15</v>
      </c>
      <c r="J2" s="23" t="s">
        <v>16</v>
      </c>
      <c r="K2" s="23" t="s">
        <v>17</v>
      </c>
      <c r="L2" s="23" t="s">
        <v>18</v>
      </c>
      <c r="M2" s="23" t="s">
        <v>19</v>
      </c>
      <c r="N2" s="23" t="s">
        <v>20</v>
      </c>
      <c r="O2" s="23" t="s">
        <v>21</v>
      </c>
      <c r="P2" s="23" t="s">
        <v>22</v>
      </c>
      <c r="Q2" s="23" t="s">
        <v>23</v>
      </c>
      <c r="R2" s="23" t="s">
        <v>24</v>
      </c>
      <c r="S2" s="23" t="s">
        <v>25</v>
      </c>
      <c r="T2" s="23" t="s">
        <v>26</v>
      </c>
      <c r="U2" s="23" t="s">
        <v>27</v>
      </c>
      <c r="V2" s="23" t="s">
        <v>28</v>
      </c>
      <c r="W2" s="23" t="s">
        <v>29</v>
      </c>
      <c r="X2" s="23" t="s">
        <v>30</v>
      </c>
      <c r="Y2" s="23" t="s">
        <v>31</v>
      </c>
      <c r="Z2" s="23" t="s">
        <v>32</v>
      </c>
      <c r="AA2" s="23" t="s">
        <v>33</v>
      </c>
      <c r="AB2" s="23" t="s">
        <v>34</v>
      </c>
      <c r="AC2" s="23" t="s">
        <v>35</v>
      </c>
      <c r="AD2" s="23" t="s">
        <v>36</v>
      </c>
      <c r="AE2" s="23" t="s">
        <v>37</v>
      </c>
      <c r="AF2" s="23" t="s">
        <v>38</v>
      </c>
      <c r="AG2" s="23" t="s">
        <v>39</v>
      </c>
      <c r="AH2" s="23" t="s">
        <v>40</v>
      </c>
      <c r="AI2" s="23" t="s">
        <v>41</v>
      </c>
      <c r="AJ2" s="23" t="s">
        <v>42</v>
      </c>
      <c r="AK2" s="23" t="s">
        <v>43</v>
      </c>
      <c r="AL2" s="23" t="s">
        <v>44</v>
      </c>
      <c r="AM2" s="23" t="s">
        <v>45</v>
      </c>
      <c r="AN2" s="23" t="s">
        <v>46</v>
      </c>
      <c r="AO2" s="23" t="s">
        <v>47</v>
      </c>
      <c r="AP2" s="23" t="s">
        <v>48</v>
      </c>
      <c r="AQ2" s="23" t="s">
        <v>49</v>
      </c>
      <c r="AR2" s="23" t="s">
        <v>50</v>
      </c>
      <c r="AS2" s="23" t="s">
        <v>51</v>
      </c>
      <c r="AT2" s="23" t="s">
        <v>52</v>
      </c>
    </row>
    <row r="3" spans="1:46" x14ac:dyDescent="0.25">
      <c r="A3" t="str">
        <f>G3&amp;"_"&amp;F3</f>
        <v>12440_HOME</v>
      </c>
      <c r="D3" s="6">
        <v>24684</v>
      </c>
      <c r="E3" s="6">
        <v>1027428</v>
      </c>
      <c r="F3" t="s">
        <v>84</v>
      </c>
      <c r="G3">
        <v>12440</v>
      </c>
      <c r="H3" t="s">
        <v>90</v>
      </c>
      <c r="I3" t="s">
        <v>87</v>
      </c>
      <c r="N3" t="s">
        <v>81</v>
      </c>
      <c r="O3" t="s">
        <v>85</v>
      </c>
      <c r="R3" t="s">
        <v>82</v>
      </c>
      <c r="S3" t="s">
        <v>88</v>
      </c>
      <c r="V3" t="s">
        <v>93</v>
      </c>
      <c r="AD3" t="s">
        <v>94</v>
      </c>
      <c r="AJ3" t="s">
        <v>99</v>
      </c>
      <c r="AQ3" t="s">
        <v>100</v>
      </c>
      <c r="AR3" t="s">
        <v>95</v>
      </c>
      <c r="AS3" t="s">
        <v>100</v>
      </c>
      <c r="AT3" t="s">
        <v>95</v>
      </c>
    </row>
    <row r="4" spans="1:46" x14ac:dyDescent="0.25">
      <c r="A4" t="str">
        <f t="shared" ref="A3:A4" si="0">G4&amp;"_"&amp;F4</f>
        <v>188_HOME</v>
      </c>
      <c r="D4" s="6">
        <v>25293</v>
      </c>
      <c r="E4" s="6">
        <v>1027428</v>
      </c>
      <c r="F4" t="s">
        <v>84</v>
      </c>
      <c r="G4">
        <v>188</v>
      </c>
      <c r="H4" t="s">
        <v>92</v>
      </c>
      <c r="I4" t="s">
        <v>91</v>
      </c>
      <c r="J4" t="s">
        <v>86</v>
      </c>
      <c r="N4" t="s">
        <v>81</v>
      </c>
      <c r="R4" t="s">
        <v>82</v>
      </c>
      <c r="S4" t="s">
        <v>89</v>
      </c>
      <c r="V4" t="s">
        <v>93</v>
      </c>
      <c r="AD4" t="s">
        <v>94</v>
      </c>
      <c r="AJ4" t="s">
        <v>99</v>
      </c>
      <c r="AQ4" t="s">
        <v>100</v>
      </c>
      <c r="AR4" t="s">
        <v>95</v>
      </c>
      <c r="AS4" t="s">
        <v>100</v>
      </c>
      <c r="AT4" t="s">
        <v>95</v>
      </c>
    </row>
  </sheetData>
  <sortState xmlns:xlrd2="http://schemas.microsoft.com/office/spreadsheetml/2017/richdata2" ref="A3:AT4">
    <sortCondition ref="G3:G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4"/>
  <sheetViews>
    <sheetView workbookViewId="0">
      <pane ySplit="2" topLeftCell="A3" activePane="bottomLeft" state="frozen"/>
      <selection pane="bottomLeft" activeCell="A5" sqref="A5"/>
    </sheetView>
  </sheetViews>
  <sheetFormatPr defaultColWidth="9.140625" defaultRowHeight="15" x14ac:dyDescent="0.25"/>
  <cols>
    <col min="1" max="1" width="14.5703125" style="29" bestFit="1" customWidth="1"/>
    <col min="2" max="2" width="8.7109375" style="29" bestFit="1" customWidth="1"/>
    <col min="3" max="3" width="8.5703125" style="29" bestFit="1" customWidth="1"/>
    <col min="4" max="4" width="8.42578125" style="29" bestFit="1" customWidth="1"/>
    <col min="5" max="5" width="12.5703125" style="29" bestFit="1" customWidth="1"/>
    <col min="6" max="6" width="11.85546875" style="29" bestFit="1" customWidth="1"/>
    <col min="7" max="7" width="9" style="29" bestFit="1" customWidth="1"/>
    <col min="8" max="8" width="8.7109375" style="29" bestFit="1" customWidth="1"/>
    <col min="9" max="9" width="35.85546875" style="29" bestFit="1" customWidth="1"/>
    <col min="10" max="10" width="33.28515625" style="29" bestFit="1" customWidth="1"/>
    <col min="11" max="11" width="33.85546875" style="29" bestFit="1" customWidth="1"/>
    <col min="12" max="12" width="32.42578125" style="29" bestFit="1" customWidth="1"/>
    <col min="13" max="13" width="30" style="29" bestFit="1" customWidth="1"/>
    <col min="14" max="14" width="28.7109375" style="29" bestFit="1" customWidth="1"/>
    <col min="15" max="15" width="8.42578125" style="29" bestFit="1" customWidth="1"/>
    <col min="16" max="16" width="11" style="29" bestFit="1" customWidth="1"/>
    <col min="17" max="18" width="9" style="29" bestFit="1" customWidth="1"/>
    <col min="19" max="19" width="17.5703125" style="29" bestFit="1" customWidth="1"/>
    <col min="20" max="20" width="23.85546875" style="29" bestFit="1" customWidth="1"/>
    <col min="21" max="52" width="8.85546875" customWidth="1"/>
    <col min="53" max="16384" width="9.140625" style="29"/>
  </cols>
  <sheetData>
    <row r="1" spans="1:52" x14ac:dyDescent="0.25">
      <c r="A1" s="29">
        <v>1</v>
      </c>
      <c r="B1" s="29">
        <v>2</v>
      </c>
      <c r="C1" s="29">
        <v>3</v>
      </c>
      <c r="D1" s="29">
        <v>4</v>
      </c>
      <c r="E1" s="29">
        <v>5</v>
      </c>
      <c r="F1" s="29">
        <v>6</v>
      </c>
      <c r="G1" s="29">
        <v>7</v>
      </c>
      <c r="H1" s="29">
        <v>8</v>
      </c>
      <c r="I1" s="29">
        <v>9</v>
      </c>
      <c r="J1" s="29">
        <v>10</v>
      </c>
      <c r="K1" s="29">
        <v>11</v>
      </c>
      <c r="L1" s="29">
        <v>12</v>
      </c>
      <c r="M1" s="29">
        <v>13</v>
      </c>
      <c r="N1" s="29">
        <v>14</v>
      </c>
      <c r="O1" s="29">
        <v>15</v>
      </c>
      <c r="P1" s="29">
        <v>16</v>
      </c>
      <c r="Q1" s="29">
        <v>17</v>
      </c>
      <c r="R1" s="29">
        <v>18</v>
      </c>
      <c r="S1" s="29">
        <v>19</v>
      </c>
      <c r="T1" s="29">
        <v>20</v>
      </c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52" s="28" customFormat="1" ht="45" x14ac:dyDescent="0.25">
      <c r="A2" s="28" t="s">
        <v>70</v>
      </c>
      <c r="B2" s="28" t="s">
        <v>72</v>
      </c>
      <c r="C2" s="28" t="s">
        <v>54</v>
      </c>
      <c r="D2" s="28" t="s">
        <v>55</v>
      </c>
      <c r="E2" s="28" t="s">
        <v>101</v>
      </c>
      <c r="F2" s="28" t="s">
        <v>102</v>
      </c>
      <c r="G2" s="28" t="s">
        <v>103</v>
      </c>
      <c r="H2" s="28" t="s">
        <v>104</v>
      </c>
      <c r="I2" s="28" t="s">
        <v>105</v>
      </c>
      <c r="J2" s="28" t="s">
        <v>106</v>
      </c>
      <c r="K2" s="28" t="s">
        <v>107</v>
      </c>
      <c r="L2" s="28" t="s">
        <v>108</v>
      </c>
      <c r="M2" s="28" t="s">
        <v>109</v>
      </c>
      <c r="N2" s="28" t="s">
        <v>21</v>
      </c>
      <c r="O2" s="28" t="s">
        <v>24</v>
      </c>
      <c r="P2" s="28" t="s">
        <v>110</v>
      </c>
      <c r="Q2" s="28" t="s">
        <v>111</v>
      </c>
      <c r="R2" s="28" t="s">
        <v>112</v>
      </c>
      <c r="S2" s="28" t="s">
        <v>113</v>
      </c>
      <c r="T2" s="28" t="s">
        <v>114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x14ac:dyDescent="0.25">
      <c r="A3" s="29" t="str">
        <f>H3&amp;"_"&amp;G3</f>
        <v>12440_HOME</v>
      </c>
      <c r="E3" s="30">
        <v>43003</v>
      </c>
      <c r="F3" s="30">
        <v>1027428</v>
      </c>
      <c r="G3" t="s">
        <v>84</v>
      </c>
      <c r="H3">
        <v>12440</v>
      </c>
      <c r="I3" s="29" t="s">
        <v>80</v>
      </c>
      <c r="M3" s="29" t="s">
        <v>81</v>
      </c>
      <c r="O3" s="29" t="s">
        <v>82</v>
      </c>
      <c r="P3" s="29" t="s">
        <v>83</v>
      </c>
      <c r="R3" s="29" t="s">
        <v>93</v>
      </c>
      <c r="S3" s="29" t="s">
        <v>96</v>
      </c>
      <c r="T3" s="29" t="s">
        <v>97</v>
      </c>
    </row>
    <row r="4" spans="1:52" x14ac:dyDescent="0.25">
      <c r="A4" s="29" t="str">
        <f>H4&amp;"_"&amp;G4</f>
        <v>188_HOME</v>
      </c>
      <c r="E4" s="30">
        <v>43003</v>
      </c>
      <c r="F4" s="30">
        <v>1027428</v>
      </c>
      <c r="G4" t="s">
        <v>84</v>
      </c>
      <c r="H4">
        <v>188</v>
      </c>
      <c r="I4" s="29" t="s">
        <v>80</v>
      </c>
      <c r="M4" s="29" t="s">
        <v>81</v>
      </c>
      <c r="O4" s="29" t="s">
        <v>82</v>
      </c>
      <c r="P4" s="29" t="s">
        <v>83</v>
      </c>
      <c r="R4" s="29" t="s">
        <v>93</v>
      </c>
      <c r="S4" s="29" t="s">
        <v>96</v>
      </c>
      <c r="T4" s="29" t="s">
        <v>98</v>
      </c>
    </row>
  </sheetData>
  <sortState xmlns:xlrd2="http://schemas.microsoft.com/office/spreadsheetml/2017/richdata2" ref="A3:AZ4">
    <sortCondition ref="A3: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N4"/>
  <sheetViews>
    <sheetView workbookViewId="0">
      <pane ySplit="2" topLeftCell="A3" activePane="bottomLeft" state="frozen"/>
      <selection pane="bottomLeft" activeCell="A4" sqref="A4"/>
    </sheetView>
  </sheetViews>
  <sheetFormatPr defaultRowHeight="15" x14ac:dyDescent="0.25"/>
  <cols>
    <col min="1" max="1" width="16" customWidth="1"/>
  </cols>
  <sheetData>
    <row r="1" spans="1:14" ht="15.75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ht="32.25" thickBot="1" x14ac:dyDescent="0.3">
      <c r="A2" s="2" t="s">
        <v>68</v>
      </c>
      <c r="B2" s="7" t="s">
        <v>53</v>
      </c>
      <c r="C2" s="7" t="s">
        <v>56</v>
      </c>
      <c r="D2" s="7" t="s">
        <v>57</v>
      </c>
      <c r="E2" s="7" t="s">
        <v>13</v>
      </c>
      <c r="F2" s="8" t="s">
        <v>58</v>
      </c>
      <c r="G2" s="7" t="s">
        <v>59</v>
      </c>
      <c r="H2" s="7" t="s">
        <v>60</v>
      </c>
      <c r="I2" s="7" t="s">
        <v>61</v>
      </c>
      <c r="J2" s="7" t="s">
        <v>20</v>
      </c>
      <c r="K2" s="7" t="s">
        <v>62</v>
      </c>
      <c r="L2" s="7" t="s">
        <v>24</v>
      </c>
      <c r="M2" s="7" t="s">
        <v>25</v>
      </c>
      <c r="N2" s="7" t="s">
        <v>26</v>
      </c>
    </row>
    <row r="3" spans="1:14" ht="21" x14ac:dyDescent="0.25">
      <c r="A3" s="4" t="str">
        <f>B3&amp;"_"&amp;E3</f>
        <v>12440_HOME</v>
      </c>
      <c r="B3">
        <v>12440</v>
      </c>
      <c r="C3" s="27">
        <v>43003</v>
      </c>
      <c r="D3" s="27">
        <v>1027428</v>
      </c>
      <c r="E3" t="s">
        <v>84</v>
      </c>
      <c r="F3" s="26" t="s">
        <v>80</v>
      </c>
      <c r="G3" s="5"/>
      <c r="H3" s="5"/>
      <c r="I3" s="5"/>
      <c r="J3" s="26" t="s">
        <v>81</v>
      </c>
      <c r="K3" s="5"/>
      <c r="L3" s="26" t="s">
        <v>82</v>
      </c>
      <c r="M3" s="26" t="s">
        <v>83</v>
      </c>
      <c r="N3" s="5"/>
    </row>
    <row r="4" spans="1:14" ht="21" x14ac:dyDescent="0.25">
      <c r="A4" s="4" t="str">
        <f>B4&amp;"_"&amp;E4</f>
        <v>188_HOME</v>
      </c>
      <c r="B4">
        <v>188</v>
      </c>
      <c r="C4" s="27">
        <v>43003</v>
      </c>
      <c r="D4" s="27">
        <v>1027428</v>
      </c>
      <c r="E4" t="s">
        <v>84</v>
      </c>
      <c r="F4" s="26" t="s">
        <v>80</v>
      </c>
      <c r="G4" s="5"/>
      <c r="H4" s="5"/>
      <c r="I4" s="5"/>
      <c r="J4" s="26" t="s">
        <v>81</v>
      </c>
      <c r="K4" s="5"/>
      <c r="L4" s="26" t="s">
        <v>82</v>
      </c>
      <c r="M4" s="26" t="s">
        <v>83</v>
      </c>
      <c r="N4" s="5"/>
    </row>
  </sheetData>
  <sortState xmlns:xlrd2="http://schemas.microsoft.com/office/spreadsheetml/2017/richdata2" ref="A3:N4">
    <sortCondition ref="B3:B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O4"/>
  <sheetViews>
    <sheetView tabSelected="1" workbookViewId="0">
      <pane ySplit="2" topLeftCell="A3" activePane="bottomLeft" state="frozen"/>
      <selection pane="bottomLeft" activeCell="Q7" sqref="Q7"/>
    </sheetView>
  </sheetViews>
  <sheetFormatPr defaultRowHeight="15" x14ac:dyDescent="0.25"/>
  <cols>
    <col min="1" max="3" width="13.5703125" bestFit="1" customWidth="1"/>
    <col min="4" max="4" width="11.140625" bestFit="1" customWidth="1"/>
    <col min="16" max="17" width="10.7109375" bestFit="1" customWidth="1"/>
  </cols>
  <sheetData>
    <row r="1" spans="1:15" ht="15.75" thickBot="1" x14ac:dyDescent="0.3">
      <c r="A1" s="1"/>
      <c r="B1" s="1"/>
    </row>
    <row r="2" spans="1:15" ht="32.25" thickBot="1" x14ac:dyDescent="0.3">
      <c r="A2" s="3" t="s">
        <v>69</v>
      </c>
      <c r="B2" s="3" t="s">
        <v>63</v>
      </c>
      <c r="C2" s="2" t="s">
        <v>53</v>
      </c>
      <c r="D2" s="2" t="s">
        <v>56</v>
      </c>
      <c r="E2" s="2" t="s">
        <v>57</v>
      </c>
      <c r="F2" s="2" t="s">
        <v>13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20</v>
      </c>
      <c r="L2" s="2" t="s">
        <v>62</v>
      </c>
      <c r="M2" s="2" t="s">
        <v>24</v>
      </c>
      <c r="N2" s="2" t="s">
        <v>25</v>
      </c>
      <c r="O2" s="2" t="s">
        <v>26</v>
      </c>
    </row>
    <row r="3" spans="1:15" x14ac:dyDescent="0.25">
      <c r="A3" t="s">
        <v>115</v>
      </c>
      <c r="B3" s="1" t="str">
        <f>_xlfn.IFNA(VLOOKUP($A3,HCM!$A$2:$F$1446,1,FALSE),"Not Loaded")</f>
        <v>12440_HOME</v>
      </c>
      <c r="C3" t="str">
        <f>IF($B3="Not Loaded","Not Loaded","OK")</f>
        <v>OK</v>
      </c>
      <c r="D3" t="str">
        <f>IF($B3="Not Loaded","Not Loaded",IF(VLOOKUP($A3,STG!$A$3:$V$6312,4,FALSE)=VLOOKUP($A3,HDL!$A$3:$Q$6314,5,FALSE),IF(VLOOKUP($A3,HDL!$A$3:$Q$6314,5,FALSE)=ROUND(VLOOKUP($A3,HCM!$A$2:$N$6445,3,FALSE),0),"OK","HCM&lt;&gt;HDL"),"STG&lt;&gt;HDL"))</f>
        <v>STG&lt;&gt;HDL</v>
      </c>
      <c r="E3" t="str">
        <f>IF($B3="Not Loaded","Not Loaded",IF(VLOOKUP($A3,STG!$A$3:$V$6312,5,FALSE)=VLOOKUP($A3,HDL!$A$3:$Q$6314,6,FALSE),IF(VLOOKUP($A3,HDL!$A$3:$Q$6314,6,FALSE)=VLOOKUP($A3,HCM!$A$2:$N$6445,4,FALSE),"OK","HCM&lt;&gt;HDL"),"STG&lt;&gt;HDL"))</f>
        <v>OK</v>
      </c>
      <c r="F3" t="str">
        <f>IF($B3="Not Loaded","Not Loaded",IF(VLOOKUP($A3,STG!$A$3:$W$6312,6,FALSE)=VLOOKUP($A3,HDL!$A$3:$N$6314,7,FALSE),IF(VLOOKUP($A3,HDL!$A$3:$N$6314,7,FALSE)=VLOOKUP($A3,HCM!$A$3:$N$6445,5,FALSE),"OK","HCM&lt;&gt;HDL"),"STG&lt;&gt;HDL"))</f>
        <v>OK</v>
      </c>
      <c r="G3" t="str">
        <f>IF($B3="Not Loaded","Not Loaded",IF(VLOOKUP($A3,STG!$A$3:$V$6312,8,FALSE)=VLOOKUP($A3,HDL!$A$3:$N$6314,9,FALSE),IF(VLOOKUP($A3,HDL!$A$3:$N$6314,9,FALSE)=VLOOKUP($A3,HCM!$A$3:$N$6445,6,FALSE),"OK","HCM&lt;&gt;HDL"),"STG&lt;&gt;HDL"))</f>
        <v>STG&lt;&gt;HDL</v>
      </c>
      <c r="H3" t="str">
        <f>IF($B3="Not Loaded","Not Loaded",IF(VLOOKUP($A3,STG!$A$3:$V$6312,9,FALSE)=VLOOKUP($A3,HDL!$A$3:$N$6314,10,FALSE),IF(VLOOKUP($A3,HDL!$A$3:$N$6314,10,FALSE)=VLOOKUP($A3,HCM!$A$3:$N$6445,7,FALSE),"OK","HCM&lt;&gt;HDL"),"STG&lt;&gt;HDL"))</f>
        <v>STG&lt;&gt;HDL</v>
      </c>
      <c r="I3" t="str">
        <f>IF($B3="Not Loaded","Not Loaded",IF(VLOOKUP($A3,STG!$A$3:$V$6312,10,FALSE)=VLOOKUP($A3,HDL!$A$3:$N$6314,11,FALSE),IF(VLOOKUP($A3,HDL!$A$3:$N6314,11,FALSE)=VLOOKUP($A3,HCM!$A$3:$N$6445,8,FALSE),"OK","HCM&lt;&gt;HDL"),"STG&lt;&gt;HDL"))</f>
        <v>OK</v>
      </c>
      <c r="J3" t="str">
        <f>IF($B3="Not Loaded","Not Loaded",IF(VLOOKUP($A3,STG!$A$3:$V$6312,11,FALSE)=VLOOKUP($A3,HDL!$A$3:$N$6314,12,FALSE),IF(VLOOKUP($A3,HDL!$A$3:$N$6314,12,FALSE)=VLOOKUP($A3,HCM!$A$3:$N$6445,9,FALSE),"OK","HCM&lt;&gt;HDL"),"STG&lt;&gt;HDL"))</f>
        <v>OK</v>
      </c>
      <c r="K3" t="str">
        <f>IF($B3="Not Loaded","Not Loaded",IF(VLOOKUP($A3,STG!$A$3:$V$6312,14,FALSE)=VLOOKUP($A3,HDL!$A$3:$N$6314,13,FALSE),IF(VLOOKUP($A3,HDL!$A$3:$N$6314,13,FALSE)=VLOOKUP($A3,HCM!$A$3:$N$6445,10,FALSE),"OK","HCM&lt;&gt;HDL"),"STG&lt;&gt;HDL"))</f>
        <v>OK</v>
      </c>
      <c r="L3" t="str">
        <f>IF($B3="Not Loaded","Not Loaded",IF(VLOOKUP($A3,STG!$A$3:$V$6312,15,FALSE)=VLOOKUP($A3,HDL!$A$3:$N$6314,14,FALSE),IF(VLOOKUP($A3,HDL!$A$3:$N$6314,14,FALSE)=VLOOKUP($A3,HCM!$A$3:$N$6445,11,FALSE),"OK","HCM&lt;&gt;HDL"),"STG&lt;&gt;HDL"))</f>
        <v>STG&lt;&gt;HDL</v>
      </c>
      <c r="M3" t="str">
        <f>IF($B3="Not Loaded","Not Loaded",IF(VLOOKUP($A3,STG!$A$3:$V$6312,18,FALSE)=VLOOKUP($A3,HDL!$A$3:$Z$6314,15,FALSE),IF(VLOOKUP($A3,HDL!$A$3:$Z$6314,15,FALSE)=VLOOKUP($A3,HCM!$A$3:$Z$6445,12,FALSE),"OK","HCM&lt;&gt;HDL"),"STG&lt;&gt;HDL"))</f>
        <v>OK</v>
      </c>
      <c r="N3" t="str">
        <f>IF($B3="Not Loaded","Not Loaded",IF(VLOOKUP($A3,STG!$A$3:$Z$6312,19,FALSE)=VLOOKUP($A3,HDL!$A$3:$Z$6314,16,FALSE),IF(VLOOKUP($A3,HDL!$A$3:$Z$6314,16,FALSE)=VLOOKUP($A3,HCM!$A$3:$Z$6445,13,FALSE),"OK","HCM&lt;&gt;HDL"),"STG&lt;&gt;HDL"))</f>
        <v>STG&lt;&gt;HDL</v>
      </c>
      <c r="O3" t="str">
        <f>IF($B3="Not Loaded","Not Loaded",IF(VLOOKUP($A3,STG!$A$3:$Z$6312,20,FALSE)=VLOOKUP($A3,HDL!$A$3:$Z$6314,17,FALSE),IF(VLOOKUP($A3,HDL!$A$3:$Z$6314,17,FALSE)=VLOOKUP($A3,HCM!$A$3:$Z$6445,14,FALSE),"OK","HCM&lt;&gt;HDL"),"STG&lt;&gt;HDL"))</f>
        <v>OK</v>
      </c>
    </row>
    <row r="4" spans="1:15" x14ac:dyDescent="0.25">
      <c r="A4" t="s">
        <v>116</v>
      </c>
      <c r="B4" s="1" t="str">
        <f>_xlfn.IFNA(VLOOKUP($A4,HCM!$A$2:$F$1446,1,FALSE),"Not Loaded")</f>
        <v>188_HOME</v>
      </c>
      <c r="C4" t="str">
        <f>IF($B4="Not Loaded","Not Loaded","OK")</f>
        <v>OK</v>
      </c>
      <c r="D4" t="str">
        <f>IF($B4="Not Loaded","Not Loaded",IF(VLOOKUP($A4,STG!$A$3:$V$6312,4,FALSE)=VLOOKUP($A4,HDL!$A$3:$Q$6314,5,FALSE),IF(VLOOKUP($A4,HDL!$A$3:$Q$6314,5,FALSE)=ROUND(VLOOKUP($A4,HCM!$A$2:$N$6445,3,FALSE),0),"OK","HCM&lt;&gt;HDL"),"STG&lt;&gt;HDL"))</f>
        <v>STG&lt;&gt;HDL</v>
      </c>
      <c r="E4" t="str">
        <f>IF($B4="Not Loaded","Not Loaded",IF(VLOOKUP($A4,STG!$A$3:$V$6312,5,FALSE)=VLOOKUP($A4,HDL!$A$3:$Q$6314,6,FALSE),IF(VLOOKUP($A4,HDL!$A$3:$Q$6314,6,FALSE)=VLOOKUP($A4,HCM!$A$2:$N$6445,4,FALSE),"OK","HCM&lt;&gt;HDL"),"STG&lt;&gt;HDL"))</f>
        <v>OK</v>
      </c>
      <c r="F4" t="str">
        <f>IF($B4="Not Loaded","Not Loaded",IF(VLOOKUP($A4,STG!$A$3:$W$6312,6,FALSE)=VLOOKUP($A4,HDL!$A$3:$N$6314,7,FALSE),IF(VLOOKUP($A4,HDL!$A$3:$N$6314,7,FALSE)=VLOOKUP($A4,HCM!$A$3:$N$6445,5,FALSE),"OK","HCM&lt;&gt;HDL"),"STG&lt;&gt;HDL"))</f>
        <v>OK</v>
      </c>
      <c r="G4" t="str">
        <f>IF($B4="Not Loaded","Not Loaded",IF(VLOOKUP($A4,STG!$A$3:$V$6312,8,FALSE)=VLOOKUP($A4,HDL!$A$3:$N$6314,9,FALSE),IF(VLOOKUP($A4,HDL!$A$3:$N$6314,9,FALSE)=VLOOKUP($A4,HCM!$A$3:$N$6445,6,FALSE),"OK","HCM&lt;&gt;HDL"),"STG&lt;&gt;HDL"))</f>
        <v>STG&lt;&gt;HDL</v>
      </c>
      <c r="H4" t="str">
        <f>IF($B4="Not Loaded","Not Loaded",IF(VLOOKUP($A4,STG!$A$3:$V$6312,9,FALSE)=VLOOKUP($A4,HDL!$A$3:$N$6314,10,FALSE),IF(VLOOKUP($A4,HDL!$A$3:$N$6314,10,FALSE)=VLOOKUP($A4,HCM!$A$3:$N$6445,7,FALSE),"OK","HCM&lt;&gt;HDL"),"STG&lt;&gt;HDL"))</f>
        <v>STG&lt;&gt;HDL</v>
      </c>
      <c r="I4" t="str">
        <f>IF($B4="Not Loaded","Not Loaded",IF(VLOOKUP($A4,STG!$A$3:$V$6312,10,FALSE)=VLOOKUP($A4,HDL!$A$3:$N$6314,11,FALSE),IF(VLOOKUP($A4,HDL!$A$3:$N6315,11,FALSE)=VLOOKUP($A4,HCM!$A$3:$N$6445,8,FALSE),"OK","HCM&lt;&gt;HDL"),"STG&lt;&gt;HDL"))</f>
        <v>STG&lt;&gt;HDL</v>
      </c>
      <c r="J4" t="str">
        <f>IF($B4="Not Loaded","Not Loaded",IF(VLOOKUP($A4,STG!$A$3:$V$6312,11,FALSE)=VLOOKUP($A4,HDL!$A$3:$N$6314,12,FALSE),IF(VLOOKUP($A4,HDL!$A$3:$N$6314,12,FALSE)=VLOOKUP($A4,HCM!$A$3:$N$6445,9,FALSE),"OK","HCM&lt;&gt;HDL"),"STG&lt;&gt;HDL"))</f>
        <v>OK</v>
      </c>
      <c r="K4" t="str">
        <f>IF($B4="Not Loaded","Not Loaded",IF(VLOOKUP($A4,STG!$A$3:$V$6312,14,FALSE)=VLOOKUP($A4,HDL!$A$3:$N$6314,13,FALSE),IF(VLOOKUP($A4,HDL!$A$3:$N$6314,13,FALSE)=VLOOKUP($A4,HCM!$A$3:$N$6445,10,FALSE),"OK","HCM&lt;&gt;HDL"),"STG&lt;&gt;HDL"))</f>
        <v>OK</v>
      </c>
      <c r="L4" t="str">
        <f>IF($B4="Not Loaded","Not Loaded",IF(VLOOKUP($A4,STG!$A$3:$V$6312,15,FALSE)=VLOOKUP($A4,HDL!$A$3:$N$6314,14,FALSE),IF(VLOOKUP($A4,HDL!$A$3:$N$6314,14,FALSE)=VLOOKUP($A4,HCM!$A$3:$N$6445,11,FALSE),"OK","HCM&lt;&gt;HDL"),"STG&lt;&gt;HDL"))</f>
        <v>OK</v>
      </c>
      <c r="M4" t="str">
        <f>IF($B4="Not Loaded","Not Loaded",IF(VLOOKUP($A4,STG!$A$3:$V$6312,18,FALSE)=VLOOKUP($A4,HDL!$A$3:$Z$6314,15,FALSE),IF(VLOOKUP($A4,HDL!$A$3:$Z$6314,15,FALSE)=VLOOKUP($A4,HCM!$A$3:$Z$6445,12,FALSE),"OK","HCM&lt;&gt;HDL"),"STG&lt;&gt;HDL"))</f>
        <v>OK</v>
      </c>
      <c r="N4" t="str">
        <f>IF($B4="Not Loaded","Not Loaded",IF(VLOOKUP($A4,STG!$A$3:$Z$6312,19,FALSE)=VLOOKUP($A4,HDL!$A$3:$Z$6314,16,FALSE),IF(VLOOKUP($A4,HDL!$A$3:$Z$6314,16,FALSE)=VLOOKUP($A4,HCM!$A$3:$Z$6445,13,FALSE),"OK","HCM&lt;&gt;HDL"),"STG&lt;&gt;HDL"))</f>
        <v>STG&lt;&gt;HDL</v>
      </c>
      <c r="O4" t="str">
        <f>IF($B4="Not Loaded","Not Loaded",IF(VLOOKUP($A4,STG!$A$3:$Z$6312,20,FALSE)=VLOOKUP($A4,HDL!$A$3:$Z$6314,17,FALSE),IF(VLOOKUP($A4,HDL!$A$3:$Z$6314,17,FALSE)=VLOOKUP($A4,HCM!$A$3:$Z$6445,14,FALSE),"OK","HCM&lt;&gt;HDL"),"STG&lt;&gt;HDL"))</f>
        <v>OK</v>
      </c>
    </row>
  </sheetData>
  <sortState xmlns:xlrd2="http://schemas.microsoft.com/office/spreadsheetml/2017/richdata2" ref="A3:A4">
    <sortCondition ref="A3:A4"/>
  </sortState>
  <conditionalFormatting sqref="B3:B4">
    <cfRule type="cellIs" dxfId="3" priority="12" operator="equal">
      <formula>"Not Loaded"</formula>
    </cfRule>
  </conditionalFormatting>
  <conditionalFormatting sqref="B3:O4">
    <cfRule type="containsText" dxfId="2" priority="9" operator="containsText" text="&lt;&gt;">
      <formula>NOT(ISERROR(SEARCH("&lt;&gt;",B3)))</formula>
    </cfRule>
    <cfRule type="cellIs" dxfId="1" priority="10" operator="equal">
      <formula>"Not Loaded"</formula>
    </cfRule>
    <cfRule type="cellIs" dxfId="0" priority="1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9F96F9-CEE7-43BC-A705-25E8553BA032}"/>
</file>

<file path=customXml/itemProps2.xml><?xml version="1.0" encoding="utf-8"?>
<ds:datastoreItem xmlns:ds="http://schemas.openxmlformats.org/officeDocument/2006/customXml" ds:itemID="{5814068F-D91D-4A82-8E95-F6D589488A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865724-24C9-4B98-94AB-A0F15D2D4D95}">
  <ds:schemaRefs>
    <ds:schemaRef ds:uri="9e5ebb6e-1584-4dc0-b988-3e8cf38876a9"/>
    <ds:schemaRef ds:uri="http://schemas.microsoft.com/sharepoint/v3"/>
    <ds:schemaRef ds:uri="http://purl.org/dc/terms/"/>
    <ds:schemaRef ds:uri="http://schemas.microsoft.com/office/2006/documentManagement/types"/>
    <ds:schemaRef ds:uri="http://purl.org/dc/dcmitype/"/>
    <ds:schemaRef ds:uri="ac6a0247-43fa-4535-a5fb-6906f8e53d5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2018-01-29T13:24:10Z</dcterms:created>
  <dcterms:modified xsi:type="dcterms:W3CDTF">2021-07-05T14:55:31Z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